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Objects="placeholders" showInkAnnotation="0" codeName="DieseArbeitsmappe"/>
  <mc:AlternateContent xmlns:mc="http://schemas.openxmlformats.org/markup-compatibility/2006">
    <mc:Choice Requires="x15">
      <x15ac:absPath xmlns:x15ac="http://schemas.microsoft.com/office/spreadsheetml/2010/11/ac" url="D:\4_MODULE\Module 2021\"/>
    </mc:Choice>
  </mc:AlternateContent>
  <workbookProtection workbookPassword="E852" lockStructure="1"/>
  <bookViews>
    <workbookView xWindow="240" yWindow="180" windowWidth="7230" windowHeight="4605" tabRatio="940" firstSheet="3" activeTab="3"/>
  </bookViews>
  <sheets>
    <sheet name="Para" sheetId="1" state="hidden" r:id="rId1"/>
    <sheet name="Umse" sheetId="24" state="hidden" r:id="rId2"/>
    <sheet name="Kalk" sheetId="13" state="hidden" r:id="rId3"/>
    <sheet name="Maske" sheetId="16" r:id="rId4"/>
    <sheet name="Benutzerhinweise" sheetId="55" r:id="rId5"/>
    <sheet name="Bitte Seite ausdrucken" sheetId="56" r:id="rId6"/>
    <sheet name="B Mask" sheetId="35" state="hidden" r:id="rId7"/>
    <sheet name="B Ist" sheetId="19" state="hidden" r:id="rId8"/>
    <sheet name="B zwTab" sheetId="54" state="hidden" r:id="rId9"/>
    <sheet name="B Tab" sheetId="2" state="hidden" r:id="rId10"/>
    <sheet name="V Mask" sheetId="36" state="hidden" r:id="rId11"/>
    <sheet name="V Ist" sheetId="20" state="hidden" r:id="rId12"/>
    <sheet name="V zwTab" sheetId="53" state="hidden" r:id="rId13"/>
    <sheet name="V Tab" sheetId="3" state="hidden" r:id="rId14"/>
    <sheet name="VKr-AT Mask" sheetId="41" state="hidden" r:id="rId15"/>
    <sheet name="VKr-AT Ist" sheetId="40" state="hidden" r:id="rId16"/>
    <sheet name="Kr Mask" sheetId="48" state="hidden" r:id="rId17"/>
    <sheet name="VKr Mask" sheetId="42" state="hidden" r:id="rId18"/>
    <sheet name="VKr-K Ist" sheetId="21" state="hidden" r:id="rId19"/>
    <sheet name="VKr-B Ist" sheetId="44" state="hidden" r:id="rId20"/>
    <sheet name="LKr Mask" sheetId="46" state="hidden" r:id="rId21"/>
    <sheet name="LKr Ist" sheetId="31" state="hidden" r:id="rId22"/>
    <sheet name="KrBe Tab" sheetId="22" state="hidden" r:id="rId23"/>
    <sheet name="VKr Tab" sheetId="12" state="hidden" r:id="rId24"/>
    <sheet name="LKr Tab" sheetId="32" state="hidden" r:id="rId25"/>
    <sheet name="L Mask" sheetId="45" state="hidden" r:id="rId26"/>
    <sheet name="L Ist" sheetId="17" state="hidden" r:id="rId27"/>
    <sheet name="L Tab" sheetId="4" state="hidden" r:id="rId28"/>
    <sheet name="AVH Mask" sheetId="47" state="hidden" r:id="rId29"/>
    <sheet name="AVH Ist" sheetId="26" state="hidden" r:id="rId30"/>
    <sheet name="AVH Tab" sheetId="25" state="hidden" r:id="rId31"/>
  </sheets>
  <externalReferences>
    <externalReference r:id="rId32"/>
    <externalReference r:id="rId33"/>
  </externalReferences>
  <definedNames>
    <definedName name="_ftn1" localSheetId="22">'KrBe Tab'!#REF!</definedName>
    <definedName name="_ftn1" localSheetId="24">'LKr Tab'!$J$22</definedName>
    <definedName name="_ftn1" localSheetId="23">'VKr Tab'!#REF!</definedName>
    <definedName name="_ftn2" localSheetId="22">'KrBe Tab'!#REF!</definedName>
    <definedName name="_ftn2" localSheetId="24">'LKr Tab'!$J$24</definedName>
    <definedName name="_ftn2" localSheetId="23">'VKr Tab'!#REF!</definedName>
    <definedName name="_ftnref1" localSheetId="22">'KrBe Tab'!#REF!</definedName>
    <definedName name="_ftnref1" localSheetId="24">'LKr Tab'!$K$15</definedName>
    <definedName name="_ftnref1" localSheetId="23">'VKr Tab'!#REF!</definedName>
    <definedName name="_ftnref2" localSheetId="22">'KrBe Tab'!#REF!</definedName>
    <definedName name="_ftnref2" localSheetId="24">'LKr Tab'!$K$16</definedName>
    <definedName name="_ftnref2" localSheetId="23">'VKr Tab'!#REF!</definedName>
    <definedName name="AG">#REF!</definedName>
    <definedName name="Altersmethode">#REF!</definedName>
    <definedName name="Analysemodus">'[1]Steuerung Berechnungen'!$B$5</definedName>
    <definedName name="Anzahl" localSheetId="8">#REF!</definedName>
    <definedName name="Anzahl" localSheetId="12">#REF!</definedName>
    <definedName name="Anzahl">#REF!</definedName>
    <definedName name="Anzahl2" localSheetId="8">#REF!</definedName>
    <definedName name="Anzahl2" localSheetId="12">#REF!</definedName>
    <definedName name="Anzahl2">#REF!</definedName>
    <definedName name="Auto">#REF!</definedName>
    <definedName name="BG" localSheetId="4">#REF!</definedName>
    <definedName name="BG" localSheetId="5">#REF!</definedName>
    <definedName name="BG">#REF!</definedName>
    <definedName name="dbb" localSheetId="4">#REF!</definedName>
    <definedName name="dbb" localSheetId="5">#REF!</definedName>
    <definedName name="dbb">#REF!</definedName>
    <definedName name="_xlnm.Print_Area" localSheetId="28">'AVH Mask'!$B$2:$R$65</definedName>
    <definedName name="_xlnm.Print_Area" localSheetId="6">'B Mask'!$B$2:$R$65</definedName>
    <definedName name="_xlnm.Print_Area" localSheetId="4">Benutzerhinweise!$B$1:$L$39</definedName>
    <definedName name="_xlnm.Print_Area" localSheetId="5">'Bitte Seite ausdrucken'!$B$1:$K$38</definedName>
    <definedName name="_xlnm.Print_Area" localSheetId="16">'Kr Mask'!$B$2:$R$65</definedName>
    <definedName name="_xlnm.Print_Area" localSheetId="26">'L Ist'!$A$1:$AA$53</definedName>
    <definedName name="_xlnm.Print_Area" localSheetId="25">'L Mask'!$B$2:$R$66</definedName>
    <definedName name="_xlnm.Print_Area" localSheetId="27">'L Tab'!$A$1:$CB$89</definedName>
    <definedName name="_xlnm.Print_Area" localSheetId="20">'LKr Mask'!$B$2:$R$65</definedName>
    <definedName name="_xlnm.Print_Area" localSheetId="3">Maske!$B$2:$R$67</definedName>
    <definedName name="_xlnm.Print_Area" localSheetId="10">'V Mask'!$B$2:$R$65</definedName>
    <definedName name="_xlnm.Print_Area" localSheetId="17">'VKr Mask'!$B$2:$R$65</definedName>
    <definedName name="_xlnm.Print_Area" localSheetId="14">'VKr-AT Mask'!$B$2:$R$65</definedName>
    <definedName name="Einstieg" localSheetId="8">#REF!</definedName>
    <definedName name="Einstieg" localSheetId="12">#REF!</definedName>
    <definedName name="Einstieg">#REF!</definedName>
    <definedName name="Einstieg2" localSheetId="8">#REF!</definedName>
    <definedName name="Einstieg2" localSheetId="12">#REF!</definedName>
    <definedName name="Einstieg2">#REF!</definedName>
    <definedName name="neu">#REF!</definedName>
    <definedName name="Sprung">#REF!</definedName>
    <definedName name="Stichtag">'[2]Zusammenfassung gesamt'!$F$1</definedName>
    <definedName name="Tabelle">#REF!</definedName>
    <definedName name="Wo">'[1]Steuerung Berechnungen'!$B$7</definedName>
  </definedNames>
  <calcPr calcId="162913"/>
</workbook>
</file>

<file path=xl/calcChain.xml><?xml version="1.0" encoding="utf-8"?>
<calcChain xmlns="http://schemas.openxmlformats.org/spreadsheetml/2006/main">
  <c r="AF592" i="3" l="1"/>
  <c r="AC592" i="3"/>
  <c r="AI591" i="3"/>
  <c r="AE591" i="3"/>
  <c r="AC591" i="3"/>
  <c r="AH590" i="3"/>
  <c r="AD590" i="3"/>
  <c r="AC590" i="3"/>
  <c r="AG589" i="3"/>
  <c r="AC589" i="3"/>
  <c r="AF588" i="3"/>
  <c r="AC588" i="3"/>
  <c r="AI587" i="3"/>
  <c r="AE587" i="3"/>
  <c r="AC587" i="3"/>
  <c r="AH586" i="3"/>
  <c r="AD586" i="3"/>
  <c r="AC586" i="3"/>
  <c r="AG585" i="3"/>
  <c r="AC585" i="3"/>
  <c r="AF584" i="3"/>
  <c r="AC584" i="3"/>
  <c r="AI583" i="3"/>
  <c r="AE583" i="3"/>
  <c r="AC583" i="3"/>
  <c r="AH582" i="3"/>
  <c r="AD582" i="3"/>
  <c r="AC582" i="3"/>
  <c r="AG581" i="3"/>
  <c r="AC581" i="3"/>
  <c r="AF580" i="3"/>
  <c r="AC580" i="3"/>
  <c r="AI579" i="3"/>
  <c r="AE579" i="3"/>
  <c r="AC579" i="3"/>
  <c r="AH578" i="3"/>
  <c r="AD578" i="3"/>
  <c r="AC578" i="3"/>
  <c r="AI577" i="3"/>
  <c r="AH577" i="3"/>
  <c r="AG577" i="3"/>
  <c r="AF577" i="3"/>
  <c r="AE577" i="3"/>
  <c r="AD577" i="3"/>
  <c r="AI568" i="3"/>
  <c r="AI592" i="3"/>
  <c r="AH568" i="3"/>
  <c r="AH592" i="3"/>
  <c r="AG568" i="3"/>
  <c r="AG592" i="3"/>
  <c r="AF568" i="3"/>
  <c r="AE568" i="3"/>
  <c r="AE592" i="3"/>
  <c r="AD568" i="3"/>
  <c r="AD592" i="3"/>
  <c r="AC568" i="3"/>
  <c r="AI567" i="3"/>
  <c r="AH567" i="3"/>
  <c r="AH591" i="3"/>
  <c r="AG567" i="3"/>
  <c r="AG591" i="3"/>
  <c r="AF567" i="3"/>
  <c r="AF591" i="3"/>
  <c r="AE567" i="3"/>
  <c r="AD567" i="3"/>
  <c r="AD591" i="3"/>
  <c r="AC567" i="3"/>
  <c r="AI566" i="3"/>
  <c r="AI590" i="3"/>
  <c r="AH566" i="3"/>
  <c r="AG566" i="3"/>
  <c r="AG590" i="3"/>
  <c r="AF566" i="3"/>
  <c r="AF590" i="3"/>
  <c r="AE566" i="3"/>
  <c r="AE590" i="3"/>
  <c r="AD566" i="3"/>
  <c r="AC566" i="3"/>
  <c r="AI565" i="3"/>
  <c r="AI589" i="3"/>
  <c r="AH565" i="3"/>
  <c r="AH589" i="3"/>
  <c r="AG565" i="3"/>
  <c r="AF565" i="3"/>
  <c r="AF589" i="3"/>
  <c r="AE565" i="3"/>
  <c r="AE589" i="3"/>
  <c r="AD565" i="3"/>
  <c r="AD589" i="3"/>
  <c r="AC565" i="3"/>
  <c r="AI564" i="3"/>
  <c r="AI588" i="3"/>
  <c r="AH564" i="3"/>
  <c r="AH588" i="3"/>
  <c r="AG564" i="3"/>
  <c r="AG588" i="3"/>
  <c r="AF564" i="3"/>
  <c r="AE564" i="3"/>
  <c r="AE588" i="3"/>
  <c r="AD564" i="3"/>
  <c r="AD588" i="3"/>
  <c r="AC564" i="3"/>
  <c r="AI563" i="3"/>
  <c r="AH563" i="3"/>
  <c r="AH587" i="3"/>
  <c r="AG563" i="3"/>
  <c r="AG587" i="3"/>
  <c r="AF563" i="3"/>
  <c r="AF587" i="3"/>
  <c r="AE563" i="3"/>
  <c r="AD563" i="3"/>
  <c r="AD587" i="3"/>
  <c r="AC563" i="3"/>
  <c r="AI562" i="3"/>
  <c r="AI586" i="3"/>
  <c r="AH562" i="3"/>
  <c r="AG562" i="3"/>
  <c r="AG586" i="3"/>
  <c r="AF562" i="3"/>
  <c r="AF586" i="3"/>
  <c r="AE562" i="3"/>
  <c r="AE586" i="3"/>
  <c r="AD562" i="3"/>
  <c r="AC562" i="3"/>
  <c r="AI561" i="3"/>
  <c r="AI585" i="3"/>
  <c r="AH561" i="3"/>
  <c r="AH585" i="3"/>
  <c r="AG561" i="3"/>
  <c r="AF561" i="3"/>
  <c r="AF585" i="3"/>
  <c r="AE561" i="3"/>
  <c r="AE585" i="3"/>
  <c r="AD561" i="3"/>
  <c r="AD585" i="3"/>
  <c r="AC561" i="3"/>
  <c r="AI560" i="3"/>
  <c r="AI584" i="3"/>
  <c r="AH560" i="3"/>
  <c r="AH584" i="3"/>
  <c r="AG560" i="3"/>
  <c r="AG584" i="3"/>
  <c r="AF560" i="3"/>
  <c r="AE560" i="3"/>
  <c r="AE584" i="3"/>
  <c r="AD560" i="3"/>
  <c r="AD584" i="3"/>
  <c r="AC560" i="3"/>
  <c r="AI559" i="3"/>
  <c r="AH559" i="3"/>
  <c r="AH583" i="3"/>
  <c r="AG559" i="3"/>
  <c r="AG583" i="3"/>
  <c r="AF559" i="3"/>
  <c r="AF583" i="3"/>
  <c r="AE559" i="3"/>
  <c r="AD559" i="3"/>
  <c r="AD583" i="3"/>
  <c r="AC559" i="3"/>
  <c r="AI558" i="3"/>
  <c r="AI582" i="3"/>
  <c r="AH558" i="3"/>
  <c r="AG558" i="3"/>
  <c r="AG582" i="3"/>
  <c r="AF558" i="3"/>
  <c r="AF582" i="3"/>
  <c r="AE558" i="3"/>
  <c r="AE582" i="3"/>
  <c r="AD558" i="3"/>
  <c r="AC558" i="3"/>
  <c r="AI557" i="3"/>
  <c r="AI581" i="3"/>
  <c r="AH557" i="3"/>
  <c r="AH581" i="3"/>
  <c r="AG557" i="3"/>
  <c r="AF557" i="3"/>
  <c r="AF581" i="3"/>
  <c r="AE557" i="3"/>
  <c r="AE581" i="3"/>
  <c r="AD557" i="3"/>
  <c r="AD581" i="3"/>
  <c r="AC557" i="3"/>
  <c r="AI556" i="3"/>
  <c r="AI580" i="3"/>
  <c r="AH556" i="3"/>
  <c r="AH580" i="3"/>
  <c r="AG556" i="3"/>
  <c r="AG580" i="3"/>
  <c r="AF556" i="3"/>
  <c r="AE556" i="3"/>
  <c r="AE580" i="3"/>
  <c r="AD556" i="3"/>
  <c r="AD580" i="3"/>
  <c r="AC556" i="3"/>
  <c r="AI555" i="3"/>
  <c r="AH555" i="3"/>
  <c r="AH579" i="3"/>
  <c r="AG555" i="3"/>
  <c r="AG579" i="3"/>
  <c r="AF555" i="3"/>
  <c r="AF579" i="3"/>
  <c r="AE555" i="3"/>
  <c r="AD555" i="3"/>
  <c r="AD579" i="3"/>
  <c r="AC555" i="3"/>
  <c r="AI554" i="3"/>
  <c r="AI578" i="3"/>
  <c r="AH554" i="3"/>
  <c r="AG554" i="3"/>
  <c r="AG578" i="3"/>
  <c r="AF554" i="3"/>
  <c r="AF578" i="3"/>
  <c r="AE554" i="3"/>
  <c r="AE578" i="3"/>
  <c r="AD554" i="3"/>
  <c r="AC554" i="3"/>
  <c r="AI553" i="3"/>
  <c r="AH553" i="3"/>
  <c r="AG553" i="3"/>
  <c r="AF553" i="3"/>
  <c r="AE553" i="3"/>
  <c r="AD553" i="3"/>
  <c r="Z420" i="3"/>
  <c r="Z418" i="3"/>
  <c r="AA418" i="3"/>
  <c r="AA420" i="3"/>
  <c r="Z460" i="3"/>
  <c r="Z436" i="3"/>
  <c r="Z412" i="3"/>
  <c r="Z388" i="3"/>
  <c r="Z364" i="3"/>
  <c r="Z340" i="3"/>
  <c r="Z316" i="3"/>
  <c r="Z292" i="3"/>
  <c r="Z268" i="3"/>
  <c r="Z244" i="3"/>
  <c r="Z220" i="3"/>
  <c r="L440" i="2"/>
  <c r="K440" i="2"/>
  <c r="C441" i="2"/>
  <c r="C440" i="2"/>
  <c r="C463" i="2"/>
  <c r="AA588" i="3"/>
  <c r="AA586" i="3"/>
  <c r="AA562" i="3"/>
  <c r="AA564" i="3"/>
  <c r="E71" i="24"/>
  <c r="D71" i="24"/>
  <c r="E59" i="24"/>
  <c r="D59" i="24"/>
  <c r="E33" i="24"/>
  <c r="D33" i="24"/>
  <c r="E20" i="24"/>
  <c r="D20" i="24"/>
  <c r="BW3" i="25"/>
  <c r="BX3" i="25"/>
  <c r="BY3" i="25"/>
  <c r="BZ3" i="25"/>
  <c r="CA3" i="25"/>
  <c r="CB3" i="25"/>
  <c r="BW4" i="25"/>
  <c r="BX4" i="25"/>
  <c r="BY4" i="25"/>
  <c r="BZ4" i="25"/>
  <c r="CA4" i="25"/>
  <c r="CB4" i="25"/>
  <c r="BW5" i="25"/>
  <c r="BX5" i="25"/>
  <c r="BY5" i="25"/>
  <c r="BZ5" i="25"/>
  <c r="CA5" i="25"/>
  <c r="CB5" i="25"/>
  <c r="BW6" i="25"/>
  <c r="BX6" i="25"/>
  <c r="BY6" i="25"/>
  <c r="BZ6" i="25"/>
  <c r="CA6" i="25"/>
  <c r="CB6" i="25"/>
  <c r="BW7" i="25"/>
  <c r="BX7" i="25"/>
  <c r="BY7" i="25"/>
  <c r="BZ7" i="25"/>
  <c r="CA7" i="25"/>
  <c r="CB7" i="25"/>
  <c r="BW8" i="25"/>
  <c r="BX8" i="25"/>
  <c r="BY8" i="25"/>
  <c r="BZ8" i="25"/>
  <c r="CA8" i="25"/>
  <c r="CB8" i="25"/>
  <c r="BW9" i="25"/>
  <c r="BX9" i="25"/>
  <c r="BY9" i="25"/>
  <c r="BZ9" i="25"/>
  <c r="CA9" i="25"/>
  <c r="CB9" i="25"/>
  <c r="BW10" i="25"/>
  <c r="BX10" i="25"/>
  <c r="BY10" i="25"/>
  <c r="BZ10" i="25"/>
  <c r="CA10" i="25"/>
  <c r="CB10" i="25"/>
  <c r="BW11" i="25"/>
  <c r="BX11" i="25"/>
  <c r="BY11" i="25"/>
  <c r="BZ11" i="25"/>
  <c r="CA11" i="25"/>
  <c r="CB11" i="25"/>
  <c r="BW12" i="25"/>
  <c r="BX12" i="25"/>
  <c r="BY12" i="25"/>
  <c r="BZ12" i="25"/>
  <c r="CA12" i="25"/>
  <c r="CB12" i="25"/>
  <c r="BW13" i="25"/>
  <c r="BX13" i="25"/>
  <c r="BY13" i="25"/>
  <c r="BZ13" i="25"/>
  <c r="CA13" i="25"/>
  <c r="CB13" i="25"/>
  <c r="BW14" i="25"/>
  <c r="BX14" i="25"/>
  <c r="BY14" i="25"/>
  <c r="BZ14" i="25"/>
  <c r="CA14" i="25"/>
  <c r="CB14" i="25"/>
  <c r="BW15" i="25"/>
  <c r="BX15" i="25"/>
  <c r="BY15" i="25"/>
  <c r="BZ15" i="25"/>
  <c r="CA15" i="25"/>
  <c r="CB15" i="25"/>
  <c r="BW16" i="25"/>
  <c r="BX16" i="25"/>
  <c r="BY16" i="25"/>
  <c r="BZ16" i="25"/>
  <c r="CA16" i="25"/>
  <c r="CB16" i="25"/>
  <c r="BW17" i="25"/>
  <c r="BX17" i="25"/>
  <c r="BY17" i="25"/>
  <c r="BZ17" i="25"/>
  <c r="CA17" i="25"/>
  <c r="CB17" i="25"/>
  <c r="BW18" i="25"/>
  <c r="BX18" i="25"/>
  <c r="BY18" i="25"/>
  <c r="BZ18" i="25"/>
  <c r="CA18" i="25"/>
  <c r="CB18" i="25"/>
  <c r="BW19" i="25"/>
  <c r="BX19" i="25"/>
  <c r="BY19" i="25"/>
  <c r="BZ19" i="25"/>
  <c r="CA19" i="25"/>
  <c r="CB19" i="25"/>
  <c r="BW20" i="25"/>
  <c r="BX20" i="25"/>
  <c r="BY20" i="25"/>
  <c r="BZ20" i="25"/>
  <c r="CA20" i="25"/>
  <c r="CB20" i="25"/>
  <c r="BX2" i="25"/>
  <c r="BY2" i="25"/>
  <c r="BZ2" i="25"/>
  <c r="CA2" i="25"/>
  <c r="CB2" i="25"/>
  <c r="BW2" i="25"/>
  <c r="BO3" i="25"/>
  <c r="BP3" i="25"/>
  <c r="BQ3" i="25"/>
  <c r="BR3" i="25"/>
  <c r="BS3" i="25"/>
  <c r="BT3" i="25"/>
  <c r="BO4" i="25"/>
  <c r="BP4" i="25"/>
  <c r="BQ4" i="25"/>
  <c r="BR4" i="25"/>
  <c r="BS4" i="25"/>
  <c r="BT4" i="25"/>
  <c r="BO5" i="25"/>
  <c r="BP5" i="25"/>
  <c r="BQ5" i="25"/>
  <c r="BR5" i="25"/>
  <c r="BS5" i="25"/>
  <c r="BT5" i="25"/>
  <c r="BO6" i="25"/>
  <c r="BP6" i="25"/>
  <c r="BQ6" i="25"/>
  <c r="BR6" i="25"/>
  <c r="BS6" i="25"/>
  <c r="BT6" i="25"/>
  <c r="BO7" i="25"/>
  <c r="BP7" i="25"/>
  <c r="BQ7" i="25"/>
  <c r="BR7" i="25"/>
  <c r="BS7" i="25"/>
  <c r="BT7" i="25"/>
  <c r="BO8" i="25"/>
  <c r="BP8" i="25"/>
  <c r="BQ8" i="25"/>
  <c r="BR8" i="25"/>
  <c r="BS8" i="25"/>
  <c r="BT8" i="25"/>
  <c r="BO9" i="25"/>
  <c r="BP9" i="25"/>
  <c r="BQ9" i="25"/>
  <c r="BR9" i="25"/>
  <c r="BS9" i="25"/>
  <c r="BT9" i="25"/>
  <c r="BO10" i="25"/>
  <c r="BP10" i="25"/>
  <c r="BQ10" i="25"/>
  <c r="BR10" i="25"/>
  <c r="BS10" i="25"/>
  <c r="BT10" i="25"/>
  <c r="BO11" i="25"/>
  <c r="BP11" i="25"/>
  <c r="BQ11" i="25"/>
  <c r="BR11" i="25"/>
  <c r="BS11" i="25"/>
  <c r="BT11" i="25"/>
  <c r="BO12" i="25"/>
  <c r="BP12" i="25"/>
  <c r="BQ12" i="25"/>
  <c r="BR12" i="25"/>
  <c r="BS12" i="25"/>
  <c r="BT12" i="25"/>
  <c r="BO13" i="25"/>
  <c r="BP13" i="25"/>
  <c r="BQ13" i="25"/>
  <c r="BR13" i="25"/>
  <c r="BS13" i="25"/>
  <c r="BT13" i="25"/>
  <c r="BO14" i="25"/>
  <c r="BP14" i="25"/>
  <c r="BQ14" i="25"/>
  <c r="BR14" i="25"/>
  <c r="BS14" i="25"/>
  <c r="BT14" i="25"/>
  <c r="BO15" i="25"/>
  <c r="BP15" i="25"/>
  <c r="BQ15" i="25"/>
  <c r="BR15" i="25"/>
  <c r="BS15" i="25"/>
  <c r="BT15" i="25"/>
  <c r="BO16" i="25"/>
  <c r="BP16" i="25"/>
  <c r="BQ16" i="25"/>
  <c r="BR16" i="25"/>
  <c r="BS16" i="25"/>
  <c r="BT16" i="25"/>
  <c r="BO17" i="25"/>
  <c r="BP17" i="25"/>
  <c r="BQ17" i="25"/>
  <c r="BR17" i="25"/>
  <c r="BS17" i="25"/>
  <c r="BT17" i="25"/>
  <c r="BO18" i="25"/>
  <c r="BP18" i="25"/>
  <c r="BQ18" i="25"/>
  <c r="BR18" i="25"/>
  <c r="BS18" i="25"/>
  <c r="BT18" i="25"/>
  <c r="BO19" i="25"/>
  <c r="BP19" i="25"/>
  <c r="BQ19" i="25"/>
  <c r="BR19" i="25"/>
  <c r="BS19" i="25"/>
  <c r="BT19" i="25"/>
  <c r="BO20" i="25"/>
  <c r="BP20" i="25"/>
  <c r="BQ20" i="25"/>
  <c r="BR20" i="25"/>
  <c r="BS20" i="25"/>
  <c r="BT20" i="25"/>
  <c r="BP2" i="25"/>
  <c r="BQ2" i="25"/>
  <c r="BR2" i="25"/>
  <c r="BS2" i="25"/>
  <c r="BT2" i="25"/>
  <c r="BO2" i="25"/>
  <c r="DS2" i="4"/>
  <c r="BX23" i="25"/>
  <c r="BP23" i="25"/>
  <c r="BV34" i="25"/>
  <c r="BN34" i="25"/>
  <c r="BF34" i="25"/>
  <c r="BV31" i="25"/>
  <c r="BN31" i="25"/>
  <c r="BF31" i="25"/>
  <c r="BV30" i="25"/>
  <c r="BN30" i="25"/>
  <c r="BF30" i="25"/>
  <c r="BV29" i="25"/>
  <c r="BN29" i="25"/>
  <c r="BF29" i="25"/>
  <c r="BV28" i="25"/>
  <c r="BN28" i="25"/>
  <c r="BF28" i="25"/>
  <c r="J27" i="13"/>
  <c r="C71" i="24"/>
  <c r="C59" i="24"/>
  <c r="A153" i="1"/>
  <c r="A154" i="1"/>
  <c r="A155" i="1"/>
  <c r="C495" i="12"/>
  <c r="G277" i="22"/>
  <c r="G278" i="22"/>
  <c r="G279" i="22"/>
  <c r="G280" i="22"/>
  <c r="G281" i="22"/>
  <c r="G282" i="22"/>
  <c r="G283" i="22"/>
  <c r="G284" i="22"/>
  <c r="G285" i="22"/>
  <c r="G286" i="22"/>
  <c r="G287" i="22"/>
  <c r="G276" i="22"/>
  <c r="C277" i="22"/>
  <c r="C278" i="22"/>
  <c r="C279" i="22"/>
  <c r="C280" i="22"/>
  <c r="C281" i="22"/>
  <c r="C282" i="22"/>
  <c r="C283" i="22"/>
  <c r="C284" i="22"/>
  <c r="C285" i="22"/>
  <c r="C286" i="22"/>
  <c r="C287" i="22"/>
  <c r="C276" i="22"/>
  <c r="E273" i="22"/>
  <c r="G271" i="22"/>
  <c r="F271" i="22"/>
  <c r="E271" i="22"/>
  <c r="G270" i="22"/>
  <c r="F270" i="22"/>
  <c r="E270" i="22"/>
  <c r="G259" i="22"/>
  <c r="G260" i="22"/>
  <c r="G261" i="22"/>
  <c r="G262" i="22"/>
  <c r="G263" i="22"/>
  <c r="G264" i="22"/>
  <c r="G265" i="22"/>
  <c r="G266" i="22"/>
  <c r="G267" i="22"/>
  <c r="G268" i="22"/>
  <c r="G269" i="22"/>
  <c r="G258" i="22"/>
  <c r="C259" i="22"/>
  <c r="C260" i="22"/>
  <c r="C261" i="22"/>
  <c r="C262" i="22"/>
  <c r="C263" i="22"/>
  <c r="C264" i="22"/>
  <c r="C265" i="22"/>
  <c r="C266" i="22"/>
  <c r="C267" i="22"/>
  <c r="C268" i="22"/>
  <c r="C269" i="22"/>
  <c r="C258" i="22"/>
  <c r="E255" i="22"/>
  <c r="G253" i="22"/>
  <c r="F253" i="22"/>
  <c r="E253" i="22"/>
  <c r="G252" i="22"/>
  <c r="F252" i="22"/>
  <c r="E252" i="22"/>
  <c r="H29" i="24"/>
  <c r="H55" i="24"/>
  <c r="G29" i="24"/>
  <c r="F29" i="24"/>
  <c r="E29" i="24"/>
  <c r="D29" i="24"/>
  <c r="D55" i="24"/>
  <c r="C29" i="24"/>
  <c r="N28" i="24"/>
  <c r="M28" i="24"/>
  <c r="J28" i="24"/>
  <c r="I28" i="24"/>
  <c r="F28" i="24"/>
  <c r="E28" i="24"/>
  <c r="L28" i="24"/>
  <c r="L54" i="24"/>
  <c r="K28" i="24"/>
  <c r="A596" i="3"/>
  <c r="A595" i="3"/>
  <c r="A594" i="3"/>
  <c r="A593" i="3"/>
  <c r="A592" i="3"/>
  <c r="A591" i="3"/>
  <c r="A590" i="3"/>
  <c r="A589" i="3"/>
  <c r="A588" i="3"/>
  <c r="A587" i="3"/>
  <c r="A586" i="3"/>
  <c r="A585" i="3"/>
  <c r="A584" i="3"/>
  <c r="A583" i="3"/>
  <c r="A582" i="3"/>
  <c r="A581" i="3"/>
  <c r="A580" i="3"/>
  <c r="A579" i="3"/>
  <c r="A578" i="3"/>
  <c r="A572" i="3"/>
  <c r="A571" i="3"/>
  <c r="A570" i="3"/>
  <c r="A569" i="3"/>
  <c r="A568" i="3"/>
  <c r="A567" i="3"/>
  <c r="A566" i="3"/>
  <c r="A565" i="3"/>
  <c r="A564" i="3"/>
  <c r="A563" i="3"/>
  <c r="A562" i="3"/>
  <c r="A561" i="3"/>
  <c r="A560" i="3"/>
  <c r="A559" i="3"/>
  <c r="A558" i="3"/>
  <c r="A557" i="3"/>
  <c r="A556" i="3"/>
  <c r="A555" i="3"/>
  <c r="A554" i="3"/>
  <c r="N27" i="24"/>
  <c r="M27" i="24"/>
  <c r="J27" i="24"/>
  <c r="J53" i="24"/>
  <c r="I27" i="24"/>
  <c r="I53" i="24"/>
  <c r="F27" i="24"/>
  <c r="E27" i="24"/>
  <c r="H28" i="24"/>
  <c r="H54" i="24"/>
  <c r="G28" i="24"/>
  <c r="F54" i="24"/>
  <c r="E54" i="24"/>
  <c r="D28" i="24"/>
  <c r="D54" i="24"/>
  <c r="C28" i="24"/>
  <c r="N53" i="24"/>
  <c r="M53" i="24"/>
  <c r="L27" i="24"/>
  <c r="L53" i="24"/>
  <c r="K27" i="24"/>
  <c r="K53" i="24"/>
  <c r="H27" i="24"/>
  <c r="H53" i="24"/>
  <c r="G27" i="24"/>
  <c r="G53" i="24"/>
  <c r="F53" i="24"/>
  <c r="E53" i="24"/>
  <c r="D27" i="24"/>
  <c r="D53" i="24"/>
  <c r="C27" i="24"/>
  <c r="E26" i="24"/>
  <c r="E52" i="24"/>
  <c r="D26" i="24"/>
  <c r="D52" i="24"/>
  <c r="C26" i="24"/>
  <c r="C52" i="24"/>
  <c r="A98" i="1"/>
  <c r="A97" i="1"/>
  <c r="A75" i="1"/>
  <c r="A74" i="1"/>
  <c r="A73" i="1"/>
  <c r="C507" i="12"/>
  <c r="D507" i="12"/>
  <c r="E507" i="12"/>
  <c r="F507" i="12"/>
  <c r="G507" i="12"/>
  <c r="H507" i="12"/>
  <c r="C508" i="12"/>
  <c r="D508" i="12"/>
  <c r="E508" i="12"/>
  <c r="F508" i="12"/>
  <c r="G508" i="12"/>
  <c r="H508" i="12"/>
  <c r="C509" i="12"/>
  <c r="D509" i="12"/>
  <c r="E509" i="12"/>
  <c r="F509" i="12"/>
  <c r="G509" i="12"/>
  <c r="H509" i="12"/>
  <c r="C510" i="12"/>
  <c r="D510" i="12"/>
  <c r="E510" i="12"/>
  <c r="F510" i="12"/>
  <c r="G510" i="12"/>
  <c r="H510" i="12"/>
  <c r="C511" i="12"/>
  <c r="D511" i="12"/>
  <c r="E511" i="12"/>
  <c r="F511" i="12"/>
  <c r="G511" i="12"/>
  <c r="H511" i="12"/>
  <c r="C512" i="12"/>
  <c r="D512" i="12"/>
  <c r="E512" i="12"/>
  <c r="F512" i="12"/>
  <c r="G512" i="12"/>
  <c r="H512" i="12"/>
  <c r="C513" i="12"/>
  <c r="D513" i="12"/>
  <c r="E513" i="12"/>
  <c r="F513" i="12"/>
  <c r="G513" i="12"/>
  <c r="H513" i="12"/>
  <c r="C514" i="12"/>
  <c r="D514" i="12"/>
  <c r="E514" i="12"/>
  <c r="F514" i="12"/>
  <c r="G514" i="12"/>
  <c r="H514" i="12"/>
  <c r="C515" i="12"/>
  <c r="D515" i="12"/>
  <c r="E515" i="12"/>
  <c r="F515" i="12"/>
  <c r="G515" i="12"/>
  <c r="H515" i="12"/>
  <c r="C516" i="12"/>
  <c r="D516" i="12"/>
  <c r="E516" i="12"/>
  <c r="F516" i="12"/>
  <c r="G516" i="12"/>
  <c r="H516" i="12"/>
  <c r="C517" i="12"/>
  <c r="D517" i="12"/>
  <c r="E517" i="12"/>
  <c r="F517" i="12"/>
  <c r="G517" i="12"/>
  <c r="H517" i="12"/>
  <c r="D506" i="12"/>
  <c r="E506" i="12"/>
  <c r="F506" i="12"/>
  <c r="G506" i="12"/>
  <c r="H506" i="12"/>
  <c r="C506" i="12"/>
  <c r="B517" i="12"/>
  <c r="B516" i="12"/>
  <c r="B515" i="12"/>
  <c r="B514" i="12"/>
  <c r="B513" i="12"/>
  <c r="B512" i="12"/>
  <c r="B511" i="12"/>
  <c r="B510" i="12"/>
  <c r="B509" i="12"/>
  <c r="B508" i="12"/>
  <c r="B507" i="12"/>
  <c r="B506" i="12"/>
  <c r="H505" i="12"/>
  <c r="G505" i="12"/>
  <c r="F505" i="12"/>
  <c r="E505" i="12"/>
  <c r="D505" i="12"/>
  <c r="C505" i="12"/>
  <c r="C486" i="12"/>
  <c r="D486" i="12"/>
  <c r="E486" i="12"/>
  <c r="F486" i="12"/>
  <c r="G486" i="12"/>
  <c r="H486" i="12"/>
  <c r="C487" i="12"/>
  <c r="D487" i="12"/>
  <c r="E487" i="12"/>
  <c r="F487" i="12"/>
  <c r="G487" i="12"/>
  <c r="H487" i="12"/>
  <c r="C488" i="12"/>
  <c r="D488" i="12"/>
  <c r="E488" i="12"/>
  <c r="F488" i="12"/>
  <c r="G488" i="12"/>
  <c r="H488" i="12"/>
  <c r="C489" i="12"/>
  <c r="D489" i="12"/>
  <c r="E489" i="12"/>
  <c r="F489" i="12"/>
  <c r="G489" i="12"/>
  <c r="H489" i="12"/>
  <c r="C490" i="12"/>
  <c r="D490" i="12"/>
  <c r="E490" i="12"/>
  <c r="F490" i="12"/>
  <c r="G490" i="12"/>
  <c r="H490" i="12"/>
  <c r="C491" i="12"/>
  <c r="D491" i="12"/>
  <c r="E491" i="12"/>
  <c r="F491" i="12"/>
  <c r="G491" i="12"/>
  <c r="H491" i="12"/>
  <c r="C492" i="12"/>
  <c r="D492" i="12"/>
  <c r="E492" i="12"/>
  <c r="F492" i="12"/>
  <c r="G492" i="12"/>
  <c r="H492" i="12"/>
  <c r="C493" i="12"/>
  <c r="D493" i="12"/>
  <c r="E493" i="12"/>
  <c r="F493" i="12"/>
  <c r="G493" i="12"/>
  <c r="H493" i="12"/>
  <c r="C494" i="12"/>
  <c r="D494" i="12"/>
  <c r="E494" i="12"/>
  <c r="F494" i="12"/>
  <c r="G494" i="12"/>
  <c r="H494" i="12"/>
  <c r="D495" i="12"/>
  <c r="E495" i="12"/>
  <c r="F495" i="12"/>
  <c r="G495" i="12"/>
  <c r="H495" i="12"/>
  <c r="C496" i="12"/>
  <c r="D496" i="12"/>
  <c r="E496" i="12"/>
  <c r="F496" i="12"/>
  <c r="G496" i="12"/>
  <c r="H496" i="12"/>
  <c r="D485" i="12"/>
  <c r="E485" i="12"/>
  <c r="F485" i="12"/>
  <c r="G485" i="12"/>
  <c r="H485" i="12"/>
  <c r="C485" i="12"/>
  <c r="C554" i="3"/>
  <c r="B496" i="12"/>
  <c r="B495" i="12"/>
  <c r="B494" i="12"/>
  <c r="B493" i="12"/>
  <c r="B492" i="12"/>
  <c r="B491" i="12"/>
  <c r="B490" i="12"/>
  <c r="B489" i="12"/>
  <c r="B488" i="12"/>
  <c r="B487" i="12"/>
  <c r="B486" i="12"/>
  <c r="B485" i="12"/>
  <c r="H484" i="12"/>
  <c r="G484" i="12"/>
  <c r="F484" i="12"/>
  <c r="E484" i="12"/>
  <c r="D484" i="12"/>
  <c r="C484" i="12"/>
  <c r="U554" i="3"/>
  <c r="U578" i="3"/>
  <c r="U579" i="3"/>
  <c r="V579" i="3"/>
  <c r="W579" i="3"/>
  <c r="X579" i="3"/>
  <c r="Y579" i="3"/>
  <c r="Z579" i="3"/>
  <c r="U580" i="3"/>
  <c r="V580" i="3"/>
  <c r="W580" i="3"/>
  <c r="X580" i="3"/>
  <c r="Y580" i="3"/>
  <c r="U581" i="3"/>
  <c r="V581" i="3"/>
  <c r="W581" i="3"/>
  <c r="X581" i="3"/>
  <c r="Y581" i="3"/>
  <c r="Z581" i="3"/>
  <c r="U582" i="3"/>
  <c r="V582" i="3"/>
  <c r="W582" i="3"/>
  <c r="X582" i="3"/>
  <c r="Y582" i="3"/>
  <c r="Z582" i="3"/>
  <c r="U583" i="3"/>
  <c r="V583" i="3"/>
  <c r="W583" i="3"/>
  <c r="X583" i="3"/>
  <c r="Y583" i="3"/>
  <c r="Z583" i="3"/>
  <c r="U584" i="3"/>
  <c r="V584" i="3"/>
  <c r="W584" i="3"/>
  <c r="X584" i="3"/>
  <c r="Y584" i="3"/>
  <c r="Z584" i="3"/>
  <c r="U585" i="3"/>
  <c r="V585" i="3"/>
  <c r="W585" i="3"/>
  <c r="X585" i="3"/>
  <c r="Y585" i="3"/>
  <c r="Z585" i="3"/>
  <c r="U586" i="3"/>
  <c r="V586" i="3"/>
  <c r="W586" i="3"/>
  <c r="X586" i="3"/>
  <c r="Y586" i="3"/>
  <c r="U587" i="3"/>
  <c r="V587" i="3"/>
  <c r="W587" i="3"/>
  <c r="X587" i="3"/>
  <c r="Y587" i="3"/>
  <c r="Z587" i="3"/>
  <c r="U588" i="3"/>
  <c r="V588" i="3"/>
  <c r="W588" i="3"/>
  <c r="X588" i="3"/>
  <c r="Y588" i="3"/>
  <c r="U589" i="3"/>
  <c r="V589" i="3"/>
  <c r="W589" i="3"/>
  <c r="X589" i="3"/>
  <c r="Y589" i="3"/>
  <c r="Z589" i="3"/>
  <c r="U590" i="3"/>
  <c r="V590" i="3"/>
  <c r="W590" i="3"/>
  <c r="X590" i="3"/>
  <c r="Y590" i="3"/>
  <c r="Z590" i="3"/>
  <c r="U591" i="3"/>
  <c r="V591" i="3"/>
  <c r="W591" i="3"/>
  <c r="X591" i="3"/>
  <c r="Y591" i="3"/>
  <c r="Z591" i="3"/>
  <c r="U592" i="3"/>
  <c r="V592" i="3"/>
  <c r="W592" i="3"/>
  <c r="X592" i="3"/>
  <c r="Y592" i="3"/>
  <c r="Z592" i="3"/>
  <c r="U593" i="3"/>
  <c r="V593" i="3"/>
  <c r="W593" i="3"/>
  <c r="X593" i="3"/>
  <c r="Y593" i="3"/>
  <c r="Z593" i="3"/>
  <c r="U594" i="3"/>
  <c r="V594" i="3"/>
  <c r="W594" i="3"/>
  <c r="X594" i="3"/>
  <c r="Y594" i="3"/>
  <c r="Z594" i="3"/>
  <c r="U595" i="3"/>
  <c r="V595" i="3"/>
  <c r="W595" i="3"/>
  <c r="X595" i="3"/>
  <c r="Y595" i="3"/>
  <c r="Z595" i="3"/>
  <c r="U596" i="3"/>
  <c r="V596" i="3"/>
  <c r="W596" i="3"/>
  <c r="X596" i="3"/>
  <c r="Y596" i="3"/>
  <c r="Z596" i="3"/>
  <c r="U597" i="3"/>
  <c r="V597" i="3"/>
  <c r="W597" i="3"/>
  <c r="X597" i="3"/>
  <c r="Y597" i="3"/>
  <c r="Z597" i="3"/>
  <c r="U598" i="3"/>
  <c r="V598" i="3"/>
  <c r="W598" i="3"/>
  <c r="X598" i="3"/>
  <c r="Y598" i="3"/>
  <c r="Z598" i="3"/>
  <c r="V578" i="3"/>
  <c r="W578" i="3"/>
  <c r="X578" i="3"/>
  <c r="Y578" i="3"/>
  <c r="Z578" i="3"/>
  <c r="U555" i="3"/>
  <c r="V555" i="3"/>
  <c r="W555" i="3"/>
  <c r="X555" i="3"/>
  <c r="Y555" i="3"/>
  <c r="Z555" i="3"/>
  <c r="U556" i="3"/>
  <c r="V556" i="3"/>
  <c r="W556" i="3"/>
  <c r="X556" i="3"/>
  <c r="Y556" i="3"/>
  <c r="Z556" i="3"/>
  <c r="Z580" i="3"/>
  <c r="U557" i="3"/>
  <c r="V557" i="3"/>
  <c r="W557" i="3"/>
  <c r="X557" i="3"/>
  <c r="Y557" i="3"/>
  <c r="Z557" i="3"/>
  <c r="U558" i="3"/>
  <c r="V558" i="3"/>
  <c r="W558" i="3"/>
  <c r="X558" i="3"/>
  <c r="Y558" i="3"/>
  <c r="Z558" i="3"/>
  <c r="U559" i="3"/>
  <c r="V559" i="3"/>
  <c r="W559" i="3"/>
  <c r="X559" i="3"/>
  <c r="Y559" i="3"/>
  <c r="Z559" i="3"/>
  <c r="U560" i="3"/>
  <c r="V560" i="3"/>
  <c r="W560" i="3"/>
  <c r="X560" i="3"/>
  <c r="Y560" i="3"/>
  <c r="Z560" i="3"/>
  <c r="U561" i="3"/>
  <c r="V561" i="3"/>
  <c r="W561" i="3"/>
  <c r="X561" i="3"/>
  <c r="Y561" i="3"/>
  <c r="Z561" i="3"/>
  <c r="U562" i="3"/>
  <c r="V562" i="3"/>
  <c r="W562" i="3"/>
  <c r="X562" i="3"/>
  <c r="Y562" i="3"/>
  <c r="U563" i="3"/>
  <c r="V563" i="3"/>
  <c r="W563" i="3"/>
  <c r="X563" i="3"/>
  <c r="Y563" i="3"/>
  <c r="Z563" i="3"/>
  <c r="U564" i="3"/>
  <c r="V564" i="3"/>
  <c r="W564" i="3"/>
  <c r="X564" i="3"/>
  <c r="Y564" i="3"/>
  <c r="U565" i="3"/>
  <c r="V565" i="3"/>
  <c r="W565" i="3"/>
  <c r="X565" i="3"/>
  <c r="Y565" i="3"/>
  <c r="Z565" i="3"/>
  <c r="U566" i="3"/>
  <c r="V566" i="3"/>
  <c r="W566" i="3"/>
  <c r="X566" i="3"/>
  <c r="Y566" i="3"/>
  <c r="Z566" i="3"/>
  <c r="U567" i="3"/>
  <c r="V567" i="3"/>
  <c r="W567" i="3"/>
  <c r="X567" i="3"/>
  <c r="Y567" i="3"/>
  <c r="Z567" i="3"/>
  <c r="U568" i="3"/>
  <c r="V568" i="3"/>
  <c r="W568" i="3"/>
  <c r="X568" i="3"/>
  <c r="Y568" i="3"/>
  <c r="Z568" i="3"/>
  <c r="U569" i="3"/>
  <c r="V569" i="3"/>
  <c r="W569" i="3"/>
  <c r="X569" i="3"/>
  <c r="Y569" i="3"/>
  <c r="Z569" i="3"/>
  <c r="U570" i="3"/>
  <c r="V570" i="3"/>
  <c r="W570" i="3"/>
  <c r="X570" i="3"/>
  <c r="Y570" i="3"/>
  <c r="Z570" i="3"/>
  <c r="U571" i="3"/>
  <c r="V571" i="3"/>
  <c r="W571" i="3"/>
  <c r="X571" i="3"/>
  <c r="Y571" i="3"/>
  <c r="Z571" i="3"/>
  <c r="U572" i="3"/>
  <c r="V572" i="3"/>
  <c r="W572" i="3"/>
  <c r="X572" i="3"/>
  <c r="Y572" i="3"/>
  <c r="Z572" i="3"/>
  <c r="U573" i="3"/>
  <c r="V573" i="3"/>
  <c r="W573" i="3"/>
  <c r="X573" i="3"/>
  <c r="Y573" i="3"/>
  <c r="Z573" i="3"/>
  <c r="U574" i="3"/>
  <c r="V574" i="3"/>
  <c r="W574" i="3"/>
  <c r="X574" i="3"/>
  <c r="Y574" i="3"/>
  <c r="Z574" i="3"/>
  <c r="V554" i="3"/>
  <c r="W554" i="3"/>
  <c r="X554" i="3"/>
  <c r="Y554" i="3"/>
  <c r="Z554" i="3"/>
  <c r="U552" i="3"/>
  <c r="Z577" i="3"/>
  <c r="Y577" i="3"/>
  <c r="X577" i="3"/>
  <c r="W577" i="3"/>
  <c r="V577" i="3"/>
  <c r="U577" i="3"/>
  <c r="S577" i="3"/>
  <c r="T576" i="3"/>
  <c r="Z553" i="3"/>
  <c r="Y553" i="3"/>
  <c r="X553" i="3"/>
  <c r="W553" i="3"/>
  <c r="V553" i="3"/>
  <c r="U553" i="3"/>
  <c r="S553" i="3"/>
  <c r="T552" i="3"/>
  <c r="C579" i="3"/>
  <c r="D579" i="3"/>
  <c r="E579" i="3"/>
  <c r="F579" i="3"/>
  <c r="G579" i="3"/>
  <c r="H579" i="3"/>
  <c r="C580" i="3"/>
  <c r="D580" i="3"/>
  <c r="E580" i="3"/>
  <c r="F580" i="3"/>
  <c r="G580" i="3"/>
  <c r="H580" i="3"/>
  <c r="C581" i="3"/>
  <c r="D581" i="3"/>
  <c r="E581" i="3"/>
  <c r="F581" i="3"/>
  <c r="G581" i="3"/>
  <c r="H581" i="3"/>
  <c r="C582" i="3"/>
  <c r="D582" i="3"/>
  <c r="E582" i="3"/>
  <c r="F582" i="3"/>
  <c r="G582" i="3"/>
  <c r="H582" i="3"/>
  <c r="C583" i="3"/>
  <c r="D583" i="3"/>
  <c r="E583" i="3"/>
  <c r="F583" i="3"/>
  <c r="G583" i="3"/>
  <c r="H583" i="3"/>
  <c r="C584" i="3"/>
  <c r="D584" i="3"/>
  <c r="E584" i="3"/>
  <c r="F584" i="3"/>
  <c r="G584" i="3"/>
  <c r="H584" i="3"/>
  <c r="C585" i="3"/>
  <c r="D585" i="3"/>
  <c r="E585" i="3"/>
  <c r="F585" i="3"/>
  <c r="G585" i="3"/>
  <c r="H585" i="3"/>
  <c r="C586" i="3"/>
  <c r="D586" i="3"/>
  <c r="E586" i="3"/>
  <c r="F586" i="3"/>
  <c r="G586" i="3"/>
  <c r="H586" i="3"/>
  <c r="C587" i="3"/>
  <c r="D587" i="3"/>
  <c r="E587" i="3"/>
  <c r="F587" i="3"/>
  <c r="G587" i="3"/>
  <c r="H587" i="3"/>
  <c r="C588" i="3"/>
  <c r="D588" i="3"/>
  <c r="E588" i="3"/>
  <c r="F588" i="3"/>
  <c r="G588" i="3"/>
  <c r="H588" i="3"/>
  <c r="C589" i="3"/>
  <c r="D589" i="3"/>
  <c r="E589" i="3"/>
  <c r="F589" i="3"/>
  <c r="G589" i="3"/>
  <c r="H589" i="3"/>
  <c r="C590" i="3"/>
  <c r="D590" i="3"/>
  <c r="E590" i="3"/>
  <c r="F590" i="3"/>
  <c r="G590" i="3"/>
  <c r="H590" i="3"/>
  <c r="C591" i="3"/>
  <c r="D591" i="3"/>
  <c r="E591" i="3"/>
  <c r="F591" i="3"/>
  <c r="G591" i="3"/>
  <c r="H591" i="3"/>
  <c r="C592" i="3"/>
  <c r="D592" i="3"/>
  <c r="E592" i="3"/>
  <c r="F592" i="3"/>
  <c r="G592" i="3"/>
  <c r="H592" i="3"/>
  <c r="C593" i="3"/>
  <c r="D593" i="3"/>
  <c r="E593" i="3"/>
  <c r="F593" i="3"/>
  <c r="G593" i="3"/>
  <c r="H593" i="3"/>
  <c r="H594" i="3"/>
  <c r="C595" i="3"/>
  <c r="D595" i="3"/>
  <c r="E595" i="3"/>
  <c r="F595" i="3"/>
  <c r="G595" i="3"/>
  <c r="H595" i="3"/>
  <c r="C596" i="3"/>
  <c r="D596" i="3"/>
  <c r="E596" i="3"/>
  <c r="F596" i="3"/>
  <c r="G596" i="3"/>
  <c r="H596" i="3"/>
  <c r="C555" i="3"/>
  <c r="D555" i="3"/>
  <c r="E555" i="3"/>
  <c r="F555" i="3"/>
  <c r="G555" i="3"/>
  <c r="H555" i="3"/>
  <c r="C556" i="3"/>
  <c r="D556" i="3"/>
  <c r="E556" i="3"/>
  <c r="F556" i="3"/>
  <c r="G556" i="3"/>
  <c r="H556" i="3"/>
  <c r="C557" i="3"/>
  <c r="D557" i="3"/>
  <c r="E557" i="3"/>
  <c r="F557" i="3"/>
  <c r="G557" i="3"/>
  <c r="H557" i="3"/>
  <c r="C558" i="3"/>
  <c r="D558" i="3"/>
  <c r="E558" i="3"/>
  <c r="F558" i="3"/>
  <c r="G558" i="3"/>
  <c r="H558" i="3"/>
  <c r="C559" i="3"/>
  <c r="D559" i="3"/>
  <c r="E559" i="3"/>
  <c r="F559" i="3"/>
  <c r="G559" i="3"/>
  <c r="H559" i="3"/>
  <c r="C560" i="3"/>
  <c r="D560" i="3"/>
  <c r="E560" i="3"/>
  <c r="F560" i="3"/>
  <c r="G560" i="3"/>
  <c r="H560" i="3"/>
  <c r="C561" i="3"/>
  <c r="D561" i="3"/>
  <c r="E561" i="3"/>
  <c r="F561" i="3"/>
  <c r="G561" i="3"/>
  <c r="H561" i="3"/>
  <c r="C562" i="3"/>
  <c r="D562" i="3"/>
  <c r="E562" i="3"/>
  <c r="F562" i="3"/>
  <c r="G562" i="3"/>
  <c r="H562" i="3"/>
  <c r="C563" i="3"/>
  <c r="D563" i="3"/>
  <c r="E563" i="3"/>
  <c r="F563" i="3"/>
  <c r="G563" i="3"/>
  <c r="H563" i="3"/>
  <c r="C564" i="3"/>
  <c r="D564" i="3"/>
  <c r="E564" i="3"/>
  <c r="F564" i="3"/>
  <c r="G564" i="3"/>
  <c r="H564" i="3"/>
  <c r="C565" i="3"/>
  <c r="D565" i="3"/>
  <c r="E565" i="3"/>
  <c r="F565" i="3"/>
  <c r="G565" i="3"/>
  <c r="H565" i="3"/>
  <c r="C566" i="3"/>
  <c r="D566" i="3"/>
  <c r="E566" i="3"/>
  <c r="F566" i="3"/>
  <c r="G566" i="3"/>
  <c r="H566" i="3"/>
  <c r="C567" i="3"/>
  <c r="D567" i="3"/>
  <c r="E567" i="3"/>
  <c r="F567" i="3"/>
  <c r="G567" i="3"/>
  <c r="H567" i="3"/>
  <c r="C568" i="3"/>
  <c r="D568" i="3"/>
  <c r="E568" i="3"/>
  <c r="F568" i="3"/>
  <c r="G568" i="3"/>
  <c r="H568" i="3"/>
  <c r="C569" i="3"/>
  <c r="D569" i="3"/>
  <c r="E569" i="3"/>
  <c r="F569" i="3"/>
  <c r="G569" i="3"/>
  <c r="H569" i="3"/>
  <c r="H570" i="3"/>
  <c r="C571" i="3"/>
  <c r="D571" i="3"/>
  <c r="E571" i="3"/>
  <c r="F571" i="3"/>
  <c r="G571" i="3"/>
  <c r="H571" i="3"/>
  <c r="C572" i="3"/>
  <c r="D572" i="3"/>
  <c r="E572" i="3"/>
  <c r="F572" i="3"/>
  <c r="G572" i="3"/>
  <c r="H572" i="3"/>
  <c r="C457" i="2"/>
  <c r="D457" i="2"/>
  <c r="E457" i="2"/>
  <c r="F457" i="2"/>
  <c r="G457" i="2"/>
  <c r="H457" i="2"/>
  <c r="C458" i="2"/>
  <c r="D458" i="2"/>
  <c r="E458" i="2"/>
  <c r="F458" i="2"/>
  <c r="G458" i="2"/>
  <c r="H458" i="2"/>
  <c r="C459" i="2"/>
  <c r="D459" i="2"/>
  <c r="E459" i="2"/>
  <c r="F459" i="2"/>
  <c r="G459" i="2"/>
  <c r="H459" i="2"/>
  <c r="C460" i="2"/>
  <c r="D460" i="2"/>
  <c r="E460" i="2"/>
  <c r="F460" i="2"/>
  <c r="G460" i="2"/>
  <c r="H460" i="2"/>
  <c r="C461" i="2"/>
  <c r="D461" i="2"/>
  <c r="E461" i="2"/>
  <c r="F461" i="2"/>
  <c r="G461" i="2"/>
  <c r="H461" i="2"/>
  <c r="C462" i="2"/>
  <c r="D462" i="2"/>
  <c r="E462" i="2"/>
  <c r="F462" i="2"/>
  <c r="G462" i="2"/>
  <c r="H462" i="2"/>
  <c r="D463" i="2"/>
  <c r="E463" i="2"/>
  <c r="F463" i="2"/>
  <c r="G463" i="2"/>
  <c r="H463" i="2"/>
  <c r="C464" i="2"/>
  <c r="D464" i="2"/>
  <c r="E464" i="2"/>
  <c r="F464" i="2"/>
  <c r="G464" i="2"/>
  <c r="H464" i="2"/>
  <c r="C465" i="2"/>
  <c r="D465" i="2"/>
  <c r="E465" i="2"/>
  <c r="F465" i="2"/>
  <c r="G465" i="2"/>
  <c r="H465" i="2"/>
  <c r="C466" i="2"/>
  <c r="D466" i="2"/>
  <c r="E466" i="2"/>
  <c r="F466" i="2"/>
  <c r="G466" i="2"/>
  <c r="H466" i="2"/>
  <c r="C467" i="2"/>
  <c r="D467" i="2"/>
  <c r="E467" i="2"/>
  <c r="F467" i="2"/>
  <c r="G467" i="2"/>
  <c r="H467" i="2"/>
  <c r="C468" i="2"/>
  <c r="D468" i="2"/>
  <c r="E468" i="2"/>
  <c r="F468" i="2"/>
  <c r="G468" i="2"/>
  <c r="H468" i="2"/>
  <c r="C469" i="2"/>
  <c r="D469" i="2"/>
  <c r="E469" i="2"/>
  <c r="F469" i="2"/>
  <c r="G469" i="2"/>
  <c r="H469" i="2"/>
  <c r="C470" i="2"/>
  <c r="D470" i="2"/>
  <c r="E470" i="2"/>
  <c r="F470" i="2"/>
  <c r="G470" i="2"/>
  <c r="H470" i="2"/>
  <c r="C471" i="2"/>
  <c r="D471" i="2"/>
  <c r="E471" i="2"/>
  <c r="F471" i="2"/>
  <c r="G471" i="2"/>
  <c r="H471" i="2"/>
  <c r="C472" i="2"/>
  <c r="D472" i="2"/>
  <c r="E472" i="2"/>
  <c r="F472" i="2"/>
  <c r="G472" i="2"/>
  <c r="H472" i="2"/>
  <c r="C473" i="2"/>
  <c r="D473" i="2"/>
  <c r="E473" i="2"/>
  <c r="F473" i="2"/>
  <c r="G473" i="2"/>
  <c r="H473" i="2"/>
  <c r="C474" i="2"/>
  <c r="D474" i="2"/>
  <c r="E474" i="2"/>
  <c r="F474" i="2"/>
  <c r="G474" i="2"/>
  <c r="H474" i="2"/>
  <c r="D456" i="2"/>
  <c r="E456" i="2"/>
  <c r="F456" i="2"/>
  <c r="G456" i="2"/>
  <c r="H456" i="2"/>
  <c r="C456" i="2"/>
  <c r="C435" i="2"/>
  <c r="D435" i="2"/>
  <c r="E435" i="2"/>
  <c r="F435" i="2"/>
  <c r="G435" i="2"/>
  <c r="H435" i="2"/>
  <c r="C436" i="2"/>
  <c r="D436" i="2"/>
  <c r="E436" i="2"/>
  <c r="F436" i="2"/>
  <c r="G436" i="2"/>
  <c r="H436" i="2"/>
  <c r="C437" i="2"/>
  <c r="D437" i="2"/>
  <c r="E437" i="2"/>
  <c r="F437" i="2"/>
  <c r="G437" i="2"/>
  <c r="H437" i="2"/>
  <c r="C438" i="2"/>
  <c r="D438" i="2"/>
  <c r="E438" i="2"/>
  <c r="F438" i="2"/>
  <c r="G438" i="2"/>
  <c r="H438" i="2"/>
  <c r="C439" i="2"/>
  <c r="D439" i="2"/>
  <c r="E439" i="2"/>
  <c r="F439" i="2"/>
  <c r="G439" i="2"/>
  <c r="H439" i="2"/>
  <c r="D440" i="2"/>
  <c r="E440" i="2"/>
  <c r="F440" i="2"/>
  <c r="G440" i="2"/>
  <c r="H440" i="2"/>
  <c r="D441" i="2"/>
  <c r="E441" i="2"/>
  <c r="F441" i="2"/>
  <c r="G441" i="2"/>
  <c r="H441" i="2"/>
  <c r="C442" i="2"/>
  <c r="D442" i="2"/>
  <c r="E442" i="2"/>
  <c r="F442" i="2"/>
  <c r="G442" i="2"/>
  <c r="H442" i="2"/>
  <c r="C443" i="2"/>
  <c r="D443" i="2"/>
  <c r="E443" i="2"/>
  <c r="F443" i="2"/>
  <c r="G443" i="2"/>
  <c r="H443" i="2"/>
  <c r="C444" i="2"/>
  <c r="D444" i="2"/>
  <c r="E444" i="2"/>
  <c r="F444" i="2"/>
  <c r="G444" i="2"/>
  <c r="H444" i="2"/>
  <c r="C445" i="2"/>
  <c r="D445" i="2"/>
  <c r="E445" i="2"/>
  <c r="F445" i="2"/>
  <c r="G445" i="2"/>
  <c r="H445" i="2"/>
  <c r="C446" i="2"/>
  <c r="D446" i="2"/>
  <c r="E446" i="2"/>
  <c r="F446" i="2"/>
  <c r="G446" i="2"/>
  <c r="H446" i="2"/>
  <c r="C447" i="2"/>
  <c r="D447" i="2"/>
  <c r="E447" i="2"/>
  <c r="F447" i="2"/>
  <c r="G447" i="2"/>
  <c r="H447" i="2"/>
  <c r="C448" i="2"/>
  <c r="D448" i="2"/>
  <c r="E448" i="2"/>
  <c r="F448" i="2"/>
  <c r="G448" i="2"/>
  <c r="H448" i="2"/>
  <c r="C449" i="2"/>
  <c r="D449" i="2"/>
  <c r="E449" i="2"/>
  <c r="F449" i="2"/>
  <c r="G449" i="2"/>
  <c r="H449" i="2"/>
  <c r="C450" i="2"/>
  <c r="D450" i="2"/>
  <c r="E450" i="2"/>
  <c r="F450" i="2"/>
  <c r="G450" i="2"/>
  <c r="H450" i="2"/>
  <c r="C451" i="2"/>
  <c r="D451" i="2"/>
  <c r="E451" i="2"/>
  <c r="F451" i="2"/>
  <c r="G451" i="2"/>
  <c r="H451" i="2"/>
  <c r="C434" i="2"/>
  <c r="D434" i="2"/>
  <c r="E434" i="2"/>
  <c r="F434" i="2"/>
  <c r="G434" i="2"/>
  <c r="H434" i="2"/>
  <c r="D433" i="2"/>
  <c r="E433" i="2"/>
  <c r="F433" i="2"/>
  <c r="G433" i="2"/>
  <c r="H433" i="2"/>
  <c r="C433" i="2"/>
  <c r="B451" i="2"/>
  <c r="B474" i="2"/>
  <c r="B450" i="2"/>
  <c r="B473" i="2"/>
  <c r="B449" i="2"/>
  <c r="B472" i="2"/>
  <c r="B448" i="2"/>
  <c r="B471" i="2"/>
  <c r="B447" i="2"/>
  <c r="B470" i="2"/>
  <c r="B446" i="2"/>
  <c r="B469" i="2"/>
  <c r="B445" i="2"/>
  <c r="B468" i="2"/>
  <c r="B444" i="2"/>
  <c r="B467" i="2"/>
  <c r="B443" i="2"/>
  <c r="B466" i="2"/>
  <c r="B442" i="2"/>
  <c r="B465" i="2"/>
  <c r="B441" i="2"/>
  <c r="B464" i="2"/>
  <c r="B440" i="2"/>
  <c r="B463" i="2"/>
  <c r="B439" i="2"/>
  <c r="B462" i="2"/>
  <c r="B438" i="2"/>
  <c r="B461" i="2"/>
  <c r="B437" i="2"/>
  <c r="B460" i="2"/>
  <c r="B436" i="2"/>
  <c r="B459" i="2"/>
  <c r="B435" i="2"/>
  <c r="B458" i="2"/>
  <c r="B434" i="2"/>
  <c r="B457" i="2"/>
  <c r="B433" i="2"/>
  <c r="B456" i="2"/>
  <c r="H432" i="2"/>
  <c r="H455" i="2"/>
  <c r="G432" i="2"/>
  <c r="G455" i="2"/>
  <c r="F432" i="2"/>
  <c r="F455" i="2"/>
  <c r="E432" i="2"/>
  <c r="E455" i="2"/>
  <c r="D432" i="2"/>
  <c r="D455" i="2"/>
  <c r="C432" i="2"/>
  <c r="C455" i="2"/>
  <c r="DH18" i="4"/>
  <c r="K64" i="13"/>
  <c r="J64" i="13"/>
  <c r="I64" i="13"/>
  <c r="K62" i="13"/>
  <c r="J62" i="13"/>
  <c r="I62" i="13"/>
  <c r="K60" i="13"/>
  <c r="J60" i="13"/>
  <c r="I60" i="13"/>
  <c r="K58" i="13"/>
  <c r="J58" i="13"/>
  <c r="I58" i="13"/>
  <c r="K56" i="13"/>
  <c r="J56" i="13"/>
  <c r="I56" i="13"/>
  <c r="K54" i="13"/>
  <c r="J54" i="13"/>
  <c r="I54" i="13"/>
  <c r="AF19" i="17"/>
  <c r="AG19" i="17"/>
  <c r="AG21" i="17"/>
  <c r="AF21" i="17"/>
  <c r="AG20" i="17"/>
  <c r="AF20" i="17"/>
  <c r="DT137" i="4"/>
  <c r="DU137" i="4"/>
  <c r="DV137" i="4"/>
  <c r="DW137" i="4"/>
  <c r="DX137" i="4"/>
  <c r="DS137" i="4"/>
  <c r="DL137" i="4"/>
  <c r="DM137" i="4"/>
  <c r="DN137" i="4"/>
  <c r="DO137" i="4"/>
  <c r="DP137" i="4"/>
  <c r="DK137" i="4"/>
  <c r="DS123" i="4"/>
  <c r="DT123" i="4"/>
  <c r="DU123" i="4"/>
  <c r="DV123" i="4"/>
  <c r="DW123" i="4"/>
  <c r="DX123" i="4"/>
  <c r="DS124" i="4"/>
  <c r="DT124" i="4"/>
  <c r="DU124" i="4"/>
  <c r="DV124" i="4"/>
  <c r="DW124" i="4"/>
  <c r="DX124" i="4"/>
  <c r="DS125" i="4"/>
  <c r="DT125" i="4"/>
  <c r="DU125" i="4"/>
  <c r="DV125" i="4"/>
  <c r="DW125" i="4"/>
  <c r="DX125" i="4"/>
  <c r="DS126" i="4"/>
  <c r="DT126" i="4"/>
  <c r="DU126" i="4"/>
  <c r="DV126" i="4"/>
  <c r="DW126" i="4"/>
  <c r="DX126" i="4"/>
  <c r="DS127" i="4"/>
  <c r="DT127" i="4"/>
  <c r="DU127" i="4"/>
  <c r="DV127" i="4"/>
  <c r="DW127" i="4"/>
  <c r="DX127" i="4"/>
  <c r="DS128" i="4"/>
  <c r="DT128" i="4"/>
  <c r="DU128" i="4"/>
  <c r="DV128" i="4"/>
  <c r="DW128" i="4"/>
  <c r="DX128" i="4"/>
  <c r="DS129" i="4"/>
  <c r="DT129" i="4"/>
  <c r="DU129" i="4"/>
  <c r="DV129" i="4"/>
  <c r="DW129" i="4"/>
  <c r="DX129" i="4"/>
  <c r="DS130" i="4"/>
  <c r="DT130" i="4"/>
  <c r="DU130" i="4"/>
  <c r="DV130" i="4"/>
  <c r="DW130" i="4"/>
  <c r="DX130" i="4"/>
  <c r="DS131" i="4"/>
  <c r="DT131" i="4"/>
  <c r="DU131" i="4"/>
  <c r="DV131" i="4"/>
  <c r="DW131" i="4"/>
  <c r="DX131" i="4"/>
  <c r="DS132" i="4"/>
  <c r="DT132" i="4"/>
  <c r="DU132" i="4"/>
  <c r="DV132" i="4"/>
  <c r="DW132" i="4"/>
  <c r="DX132" i="4"/>
  <c r="DS133" i="4"/>
  <c r="DT133" i="4"/>
  <c r="DU133" i="4"/>
  <c r="DV133" i="4"/>
  <c r="DW133" i="4"/>
  <c r="DX133" i="4"/>
  <c r="DS134" i="4"/>
  <c r="DT134" i="4"/>
  <c r="DU134" i="4"/>
  <c r="DV134" i="4"/>
  <c r="DW134" i="4"/>
  <c r="DX134" i="4"/>
  <c r="DS135" i="4"/>
  <c r="DT135" i="4"/>
  <c r="DU135" i="4"/>
  <c r="DV135" i="4"/>
  <c r="DW135" i="4"/>
  <c r="DX135" i="4"/>
  <c r="DS136" i="4"/>
  <c r="DT136" i="4"/>
  <c r="DU136" i="4"/>
  <c r="DV136" i="4"/>
  <c r="DW136" i="4"/>
  <c r="DX136" i="4"/>
  <c r="DT122" i="4"/>
  <c r="DU122" i="4"/>
  <c r="DV122" i="4"/>
  <c r="DW122" i="4"/>
  <c r="DX122" i="4"/>
  <c r="DR123" i="4"/>
  <c r="DR124" i="4"/>
  <c r="DR125" i="4"/>
  <c r="DR126" i="4"/>
  <c r="DR127" i="4"/>
  <c r="DR128" i="4"/>
  <c r="DR129" i="4"/>
  <c r="DR130" i="4"/>
  <c r="DR131" i="4"/>
  <c r="DR132" i="4"/>
  <c r="DR133" i="4"/>
  <c r="DR134" i="4"/>
  <c r="DR135" i="4"/>
  <c r="DR136" i="4"/>
  <c r="DR137" i="4"/>
  <c r="DR122" i="4"/>
  <c r="DS122" i="4"/>
  <c r="DK123" i="4"/>
  <c r="DL123" i="4"/>
  <c r="DM123" i="4"/>
  <c r="DN123" i="4"/>
  <c r="DO123" i="4"/>
  <c r="DP123" i="4"/>
  <c r="DK124" i="4"/>
  <c r="DL124" i="4"/>
  <c r="DM124" i="4"/>
  <c r="DN124" i="4"/>
  <c r="DO124" i="4"/>
  <c r="DP124" i="4"/>
  <c r="DK125" i="4"/>
  <c r="DL125" i="4"/>
  <c r="DM125" i="4"/>
  <c r="DN125" i="4"/>
  <c r="DO125" i="4"/>
  <c r="DP125" i="4"/>
  <c r="DK126" i="4"/>
  <c r="DL126" i="4"/>
  <c r="DM126" i="4"/>
  <c r="DN126" i="4"/>
  <c r="DO126" i="4"/>
  <c r="DP126" i="4"/>
  <c r="DK127" i="4"/>
  <c r="DL127" i="4"/>
  <c r="DM127" i="4"/>
  <c r="DN127" i="4"/>
  <c r="DO127" i="4"/>
  <c r="DP127" i="4"/>
  <c r="DK128" i="4"/>
  <c r="DL128" i="4"/>
  <c r="DM128" i="4"/>
  <c r="DN128" i="4"/>
  <c r="DO128" i="4"/>
  <c r="DP128" i="4"/>
  <c r="DK129" i="4"/>
  <c r="DL129" i="4"/>
  <c r="DM129" i="4"/>
  <c r="DN129" i="4"/>
  <c r="DO129" i="4"/>
  <c r="DP129" i="4"/>
  <c r="DK130" i="4"/>
  <c r="DL130" i="4"/>
  <c r="DM130" i="4"/>
  <c r="DN130" i="4"/>
  <c r="DO130" i="4"/>
  <c r="DP130" i="4"/>
  <c r="DK131" i="4"/>
  <c r="DL131" i="4"/>
  <c r="DM131" i="4"/>
  <c r="DN131" i="4"/>
  <c r="DO131" i="4"/>
  <c r="DP131" i="4"/>
  <c r="DK132" i="4"/>
  <c r="DL132" i="4"/>
  <c r="DM132" i="4"/>
  <c r="DN132" i="4"/>
  <c r="DO132" i="4"/>
  <c r="DP132" i="4"/>
  <c r="DK133" i="4"/>
  <c r="DL133" i="4"/>
  <c r="DM133" i="4"/>
  <c r="DN133" i="4"/>
  <c r="DO133" i="4"/>
  <c r="DP133" i="4"/>
  <c r="DK134" i="4"/>
  <c r="DL134" i="4"/>
  <c r="DM134" i="4"/>
  <c r="DN134" i="4"/>
  <c r="DO134" i="4"/>
  <c r="DP134" i="4"/>
  <c r="DK135" i="4"/>
  <c r="DL135" i="4"/>
  <c r="DM135" i="4"/>
  <c r="DN135" i="4"/>
  <c r="DO135" i="4"/>
  <c r="DP135" i="4"/>
  <c r="DK136" i="4"/>
  <c r="DL136" i="4"/>
  <c r="DM136" i="4"/>
  <c r="DN136" i="4"/>
  <c r="DO136" i="4"/>
  <c r="DP136" i="4"/>
  <c r="DL122" i="4"/>
  <c r="DM122" i="4"/>
  <c r="DN122" i="4"/>
  <c r="DO122" i="4"/>
  <c r="DP122" i="4"/>
  <c r="DK122" i="4"/>
  <c r="DK2" i="4"/>
  <c r="DJ123" i="4"/>
  <c r="DJ124" i="4"/>
  <c r="DJ125" i="4"/>
  <c r="DJ126" i="4"/>
  <c r="DJ127" i="4"/>
  <c r="DJ128" i="4"/>
  <c r="DJ129" i="4"/>
  <c r="DJ130" i="4"/>
  <c r="DJ131" i="4"/>
  <c r="DJ132" i="4"/>
  <c r="DJ133" i="4"/>
  <c r="DJ134" i="4"/>
  <c r="DJ135" i="4"/>
  <c r="DJ136" i="4"/>
  <c r="DJ122" i="4"/>
  <c r="A184" i="1"/>
  <c r="A183" i="1"/>
  <c r="A182" i="1"/>
  <c r="A175" i="1"/>
  <c r="A174" i="1"/>
  <c r="A173" i="1"/>
  <c r="A172" i="1"/>
  <c r="I29" i="13"/>
  <c r="L166" i="13"/>
  <c r="H29" i="13"/>
  <c r="L165" i="13"/>
  <c r="G29" i="13"/>
  <c r="L164" i="13"/>
  <c r="D46" i="24"/>
  <c r="E46" i="24"/>
  <c r="F46" i="24"/>
  <c r="G46" i="24"/>
  <c r="H46" i="24"/>
  <c r="I46" i="24"/>
  <c r="J46" i="24"/>
  <c r="K46" i="24"/>
  <c r="L46" i="24"/>
  <c r="M46" i="24"/>
  <c r="N46" i="24"/>
  <c r="O46" i="24"/>
  <c r="P46" i="24"/>
  <c r="Q46" i="24"/>
  <c r="R46" i="24"/>
  <c r="S46" i="24"/>
  <c r="T46" i="24"/>
  <c r="U46" i="24"/>
  <c r="V46" i="24"/>
  <c r="W46" i="24"/>
  <c r="X46" i="24"/>
  <c r="C46" i="24"/>
  <c r="B46" i="24"/>
  <c r="B47" i="24"/>
  <c r="B48" i="24"/>
  <c r="B49" i="24"/>
  <c r="B32" i="24"/>
  <c r="B19" i="24"/>
  <c r="B20" i="24"/>
  <c r="B21" i="24"/>
  <c r="B22" i="24"/>
  <c r="B7" i="24"/>
  <c r="B8" i="24"/>
  <c r="B9" i="24"/>
  <c r="B10" i="24"/>
  <c r="B58" i="24"/>
  <c r="B59" i="24"/>
  <c r="B60" i="24"/>
  <c r="B61" i="24"/>
  <c r="B70" i="24"/>
  <c r="B35" i="24"/>
  <c r="B73" i="24"/>
  <c r="B72" i="24"/>
  <c r="B71" i="24"/>
  <c r="B33" i="24"/>
  <c r="B34" i="24"/>
  <c r="C184" i="1"/>
  <c r="C183" i="1"/>
  <c r="C59" i="42"/>
  <c r="B59" i="42"/>
  <c r="L24" i="42"/>
  <c r="K24" i="42"/>
  <c r="DC36" i="32"/>
  <c r="DD36" i="32"/>
  <c r="DE36" i="32"/>
  <c r="DF36" i="32"/>
  <c r="DG36" i="32"/>
  <c r="DH36" i="32"/>
  <c r="DC37" i="32"/>
  <c r="DD37" i="32"/>
  <c r="DE37" i="32"/>
  <c r="DF37" i="32"/>
  <c r="DG37" i="32"/>
  <c r="DH37" i="32"/>
  <c r="DC38" i="32"/>
  <c r="DD38" i="32"/>
  <c r="DE38" i="32"/>
  <c r="DF38" i="32"/>
  <c r="DG38" i="32"/>
  <c r="DH38" i="32"/>
  <c r="DC39" i="32"/>
  <c r="DD39" i="32"/>
  <c r="DE39" i="32"/>
  <c r="DF39" i="32"/>
  <c r="DG39" i="32"/>
  <c r="DH39" i="32"/>
  <c r="DC40" i="32"/>
  <c r="DD40" i="32"/>
  <c r="DE40" i="32"/>
  <c r="DF40" i="32"/>
  <c r="DG40" i="32"/>
  <c r="DH40" i="32"/>
  <c r="DC41" i="32"/>
  <c r="DD41" i="32"/>
  <c r="DE41" i="32"/>
  <c r="DF41" i="32"/>
  <c r="DG41" i="32"/>
  <c r="DH41" i="32"/>
  <c r="DC42" i="32"/>
  <c r="DD42" i="32"/>
  <c r="DE42" i="32"/>
  <c r="DF42" i="32"/>
  <c r="DG42" i="32"/>
  <c r="DH42" i="32"/>
  <c r="DC43" i="32"/>
  <c r="DD43" i="32"/>
  <c r="DE43" i="32"/>
  <c r="DF43" i="32"/>
  <c r="DG43" i="32"/>
  <c r="DH43" i="32"/>
  <c r="DC44" i="32"/>
  <c r="DD44" i="32"/>
  <c r="DE44" i="32"/>
  <c r="DF44" i="32"/>
  <c r="DG44" i="32"/>
  <c r="DH44" i="32"/>
  <c r="DC45" i="32"/>
  <c r="DD45" i="32"/>
  <c r="DE45" i="32"/>
  <c r="DF45" i="32"/>
  <c r="DG45" i="32"/>
  <c r="DH45" i="32"/>
  <c r="DC46" i="32"/>
  <c r="DD46" i="32"/>
  <c r="DE46" i="32"/>
  <c r="DF46" i="32"/>
  <c r="DG46" i="32"/>
  <c r="DH46" i="32"/>
  <c r="DC47" i="32"/>
  <c r="DD47" i="32"/>
  <c r="DE47" i="32"/>
  <c r="DF47" i="32"/>
  <c r="DG47" i="32"/>
  <c r="DH47" i="32"/>
  <c r="DD35" i="32"/>
  <c r="DE35" i="32"/>
  <c r="DF35" i="32"/>
  <c r="DG35" i="32"/>
  <c r="DH35" i="32"/>
  <c r="DC35" i="32"/>
  <c r="DC2" i="32"/>
  <c r="DK2" i="32"/>
  <c r="DS2" i="32"/>
  <c r="DP14" i="32"/>
  <c r="DC3" i="32"/>
  <c r="DD3" i="32"/>
  <c r="DE3" i="32"/>
  <c r="DF3" i="32"/>
  <c r="DN3" i="32"/>
  <c r="DV3" i="32"/>
  <c r="DG3" i="32"/>
  <c r="DH3" i="32"/>
  <c r="DC4" i="32"/>
  <c r="DD4" i="32"/>
  <c r="DL4" i="32"/>
  <c r="DT4" i="32"/>
  <c r="DE4" i="32"/>
  <c r="DF4" i="32"/>
  <c r="DG4" i="32"/>
  <c r="DH4" i="32"/>
  <c r="DP4" i="32"/>
  <c r="DX4" i="32"/>
  <c r="DC5" i="32"/>
  <c r="DD5" i="32"/>
  <c r="DE5" i="32"/>
  <c r="DF5" i="32"/>
  <c r="DN5" i="32"/>
  <c r="DV5" i="32"/>
  <c r="DG5" i="32"/>
  <c r="DH5" i="32"/>
  <c r="DC6" i="32"/>
  <c r="DD6" i="32"/>
  <c r="DL6" i="32"/>
  <c r="DT6" i="32"/>
  <c r="DE6" i="32"/>
  <c r="DF6" i="32"/>
  <c r="DG6" i="32"/>
  <c r="DH6" i="32"/>
  <c r="DP6" i="32"/>
  <c r="DX6" i="32"/>
  <c r="DC7" i="32"/>
  <c r="DD7" i="32"/>
  <c r="DE7" i="32"/>
  <c r="DF7" i="32"/>
  <c r="DN7" i="32"/>
  <c r="DV7" i="32"/>
  <c r="DG7" i="32"/>
  <c r="DH7" i="32"/>
  <c r="DC8" i="32"/>
  <c r="DD8" i="32"/>
  <c r="DL8" i="32"/>
  <c r="DT8" i="32"/>
  <c r="DE8" i="32"/>
  <c r="DF8" i="32"/>
  <c r="DG8" i="32"/>
  <c r="DH8" i="32"/>
  <c r="DP8" i="32"/>
  <c r="DX8" i="32"/>
  <c r="DC9" i="32"/>
  <c r="DD9" i="32"/>
  <c r="DE9" i="32"/>
  <c r="DF9" i="32"/>
  <c r="DN9" i="32"/>
  <c r="DV9" i="32"/>
  <c r="DG9" i="32"/>
  <c r="DH9" i="32"/>
  <c r="DC10" i="32"/>
  <c r="DD10" i="32"/>
  <c r="DL10" i="32"/>
  <c r="DT10" i="32"/>
  <c r="DE10" i="32"/>
  <c r="DF10" i="32"/>
  <c r="DG10" i="32"/>
  <c r="DH10" i="32"/>
  <c r="DP10" i="32"/>
  <c r="DX10" i="32"/>
  <c r="DC11" i="32"/>
  <c r="DD11" i="32"/>
  <c r="DE11" i="32"/>
  <c r="DF11" i="32"/>
  <c r="DN11" i="32"/>
  <c r="DV11" i="32"/>
  <c r="DG11" i="32"/>
  <c r="DH11" i="32"/>
  <c r="DC12" i="32"/>
  <c r="DD12" i="32"/>
  <c r="DL12" i="32"/>
  <c r="DT12" i="32"/>
  <c r="DE12" i="32"/>
  <c r="DF12" i="32"/>
  <c r="DG12" i="32"/>
  <c r="DH12" i="32"/>
  <c r="DP12" i="32"/>
  <c r="DX12" i="32"/>
  <c r="DC13" i="32"/>
  <c r="DD13" i="32"/>
  <c r="DE13" i="32"/>
  <c r="DF13" i="32"/>
  <c r="DN13" i="32"/>
  <c r="DV13" i="32"/>
  <c r="DG13" i="32"/>
  <c r="DH13" i="32"/>
  <c r="DC14" i="32"/>
  <c r="DD14" i="32"/>
  <c r="DL14" i="32"/>
  <c r="DT14" i="32"/>
  <c r="DE14" i="32"/>
  <c r="DF14" i="32"/>
  <c r="DG14" i="32"/>
  <c r="DH14" i="32"/>
  <c r="DE2" i="32"/>
  <c r="DF2" i="32"/>
  <c r="DG2" i="32"/>
  <c r="DH2" i="32"/>
  <c r="DP2" i="32"/>
  <c r="DX2" i="32"/>
  <c r="DD2" i="32"/>
  <c r="CV34" i="32"/>
  <c r="CW34" i="32"/>
  <c r="CX34" i="32"/>
  <c r="CY34" i="32"/>
  <c r="CZ34" i="32"/>
  <c r="CU34" i="32"/>
  <c r="K223" i="22"/>
  <c r="K241" i="22"/>
  <c r="K227" i="22"/>
  <c r="K245" i="22"/>
  <c r="K231" i="22"/>
  <c r="K249" i="22"/>
  <c r="K235" i="22"/>
  <c r="K253" i="22"/>
  <c r="L205" i="22"/>
  <c r="L223" i="22"/>
  <c r="L241" i="22"/>
  <c r="L206" i="22"/>
  <c r="L224" i="22"/>
  <c r="L242" i="22"/>
  <c r="L207" i="22"/>
  <c r="L225" i="22"/>
  <c r="L243" i="22"/>
  <c r="L208" i="22"/>
  <c r="L226" i="22"/>
  <c r="L244" i="22"/>
  <c r="L209" i="22"/>
  <c r="L227" i="22"/>
  <c r="L245" i="22"/>
  <c r="L210" i="22"/>
  <c r="L228" i="22"/>
  <c r="L246" i="22"/>
  <c r="L211" i="22"/>
  <c r="L229" i="22"/>
  <c r="L247" i="22"/>
  <c r="L212" i="22"/>
  <c r="L230" i="22"/>
  <c r="L248" i="22"/>
  <c r="L213" i="22"/>
  <c r="L231" i="22"/>
  <c r="L249" i="22"/>
  <c r="L214" i="22"/>
  <c r="L232" i="22"/>
  <c r="L250" i="22"/>
  <c r="L215" i="22"/>
  <c r="L233" i="22"/>
  <c r="L251" i="22"/>
  <c r="L216" i="22"/>
  <c r="L234" i="22"/>
  <c r="L252" i="22"/>
  <c r="L217" i="22"/>
  <c r="L235" i="22"/>
  <c r="L253" i="22"/>
  <c r="L204" i="22"/>
  <c r="L222" i="22"/>
  <c r="L240" i="22"/>
  <c r="K205" i="22"/>
  <c r="K206" i="22"/>
  <c r="K224" i="22"/>
  <c r="K242" i="22"/>
  <c r="K207" i="22"/>
  <c r="K225" i="22"/>
  <c r="K243" i="22"/>
  <c r="K208" i="22"/>
  <c r="K226" i="22"/>
  <c r="K244" i="22"/>
  <c r="K209" i="22"/>
  <c r="K210" i="22"/>
  <c r="K228" i="22"/>
  <c r="K246" i="22"/>
  <c r="K211" i="22"/>
  <c r="K229" i="22"/>
  <c r="K247" i="22"/>
  <c r="K212" i="22"/>
  <c r="K230" i="22"/>
  <c r="K248" i="22"/>
  <c r="K213" i="22"/>
  <c r="K214" i="22"/>
  <c r="K232" i="22"/>
  <c r="K250" i="22"/>
  <c r="K215" i="22"/>
  <c r="K233" i="22"/>
  <c r="K251" i="22"/>
  <c r="K216" i="22"/>
  <c r="K234" i="22"/>
  <c r="K252" i="22"/>
  <c r="K217" i="22"/>
  <c r="K204" i="22"/>
  <c r="K222" i="22"/>
  <c r="K240" i="22"/>
  <c r="DZ104" i="4"/>
  <c r="DZ103" i="4"/>
  <c r="DI103" i="4"/>
  <c r="DJ103" i="4"/>
  <c r="DQ103" i="4"/>
  <c r="DR103" i="4"/>
  <c r="DY103" i="4"/>
  <c r="DI104" i="4"/>
  <c r="DJ104" i="4"/>
  <c r="DQ104" i="4"/>
  <c r="DR104" i="4"/>
  <c r="DY104" i="4"/>
  <c r="DB104" i="4"/>
  <c r="DB103" i="4"/>
  <c r="AD21" i="17"/>
  <c r="AD20" i="17"/>
  <c r="AC21" i="17"/>
  <c r="AC20" i="17"/>
  <c r="DZ87" i="4"/>
  <c r="DZ88" i="4"/>
  <c r="DZ89" i="4"/>
  <c r="DZ90" i="4"/>
  <c r="DZ91" i="4"/>
  <c r="DZ92" i="4"/>
  <c r="DZ93" i="4"/>
  <c r="DZ94" i="4"/>
  <c r="DZ95" i="4"/>
  <c r="DZ96" i="4"/>
  <c r="DZ97" i="4"/>
  <c r="DZ98" i="4"/>
  <c r="DZ99" i="4"/>
  <c r="DZ100" i="4"/>
  <c r="DZ101" i="4"/>
  <c r="DZ102" i="4"/>
  <c r="DZ86" i="4"/>
  <c r="DR87" i="4"/>
  <c r="DR88" i="4"/>
  <c r="DR89" i="4"/>
  <c r="DR90" i="4"/>
  <c r="DR91" i="4"/>
  <c r="DR92" i="4"/>
  <c r="DR93" i="4"/>
  <c r="DR94" i="4"/>
  <c r="DR95" i="4"/>
  <c r="DR96" i="4"/>
  <c r="DR97" i="4"/>
  <c r="DR98" i="4"/>
  <c r="DR99" i="4"/>
  <c r="DR100" i="4"/>
  <c r="DR101" i="4"/>
  <c r="DR102" i="4"/>
  <c r="DR86" i="4"/>
  <c r="DJ87" i="4"/>
  <c r="DJ88" i="4"/>
  <c r="DJ89" i="4"/>
  <c r="DJ90" i="4"/>
  <c r="DJ91" i="4"/>
  <c r="DJ92" i="4"/>
  <c r="DJ93" i="4"/>
  <c r="DJ94" i="4"/>
  <c r="DJ95" i="4"/>
  <c r="DJ96" i="4"/>
  <c r="DJ97" i="4"/>
  <c r="DJ98" i="4"/>
  <c r="DJ99" i="4"/>
  <c r="DJ100" i="4"/>
  <c r="DJ101" i="4"/>
  <c r="DJ102" i="4"/>
  <c r="DJ86" i="4"/>
  <c r="DH87" i="4"/>
  <c r="DP87" i="4"/>
  <c r="DX87" i="4"/>
  <c r="EF87" i="4"/>
  <c r="DH88" i="4"/>
  <c r="DP88" i="4"/>
  <c r="DX88" i="4"/>
  <c r="EF88" i="4"/>
  <c r="DH89" i="4"/>
  <c r="DP89" i="4"/>
  <c r="DX89" i="4"/>
  <c r="EF89" i="4"/>
  <c r="DH90" i="4"/>
  <c r="DP90" i="4"/>
  <c r="DX90" i="4"/>
  <c r="EF90" i="4"/>
  <c r="DH91" i="4"/>
  <c r="DP91" i="4"/>
  <c r="DX91" i="4"/>
  <c r="EF91" i="4"/>
  <c r="DH92" i="4"/>
  <c r="DP92" i="4"/>
  <c r="DX92" i="4"/>
  <c r="EF92" i="4"/>
  <c r="DH93" i="4"/>
  <c r="DP93" i="4"/>
  <c r="DX93" i="4"/>
  <c r="EF93" i="4"/>
  <c r="DH94" i="4"/>
  <c r="DP94" i="4"/>
  <c r="DX94" i="4"/>
  <c r="EF94" i="4"/>
  <c r="DB73" i="4"/>
  <c r="DJ78" i="4"/>
  <c r="DJ77" i="4"/>
  <c r="C73" i="24"/>
  <c r="DJ76" i="4"/>
  <c r="DJ75" i="4"/>
  <c r="DZ78" i="4"/>
  <c r="DR78" i="4"/>
  <c r="DZ77" i="4"/>
  <c r="E73" i="24"/>
  <c r="DR77" i="4"/>
  <c r="D73" i="24"/>
  <c r="DZ76" i="4"/>
  <c r="DR76" i="4"/>
  <c r="DZ75" i="4"/>
  <c r="DR75" i="4"/>
  <c r="EB73" i="4"/>
  <c r="DZ73" i="4"/>
  <c r="DT73" i="4"/>
  <c r="DR73" i="4"/>
  <c r="DJ73" i="4"/>
  <c r="EB72" i="4"/>
  <c r="DZ81" i="4"/>
  <c r="DZ72" i="4"/>
  <c r="DT72" i="4"/>
  <c r="DR72" i="4"/>
  <c r="DL72" i="4"/>
  <c r="DJ72" i="4"/>
  <c r="DZ71" i="4"/>
  <c r="DR71" i="4"/>
  <c r="DJ71" i="4"/>
  <c r="K3" i="1"/>
  <c r="E37" i="1"/>
  <c r="C173" i="1"/>
  <c r="DR81" i="4"/>
  <c r="DJ81" i="4"/>
  <c r="C182" i="1"/>
  <c r="DJ79" i="4"/>
  <c r="DJ80" i="4"/>
  <c r="EH42" i="4"/>
  <c r="EH41" i="4"/>
  <c r="F72" i="24"/>
  <c r="EH40" i="4"/>
  <c r="F60" i="24"/>
  <c r="EH39" i="4"/>
  <c r="F21" i="24"/>
  <c r="J28" i="13"/>
  <c r="L161" i="13"/>
  <c r="EJ37" i="4"/>
  <c r="EH37" i="4"/>
  <c r="EJ36" i="4"/>
  <c r="EH45" i="4"/>
  <c r="C175" i="1"/>
  <c r="EH36" i="4"/>
  <c r="EH35" i="4"/>
  <c r="DZ59" i="4"/>
  <c r="EH59" i="4"/>
  <c r="DZ42" i="4"/>
  <c r="DZ41" i="4"/>
  <c r="E72" i="24"/>
  <c r="DZ40" i="4"/>
  <c r="DZ39" i="4"/>
  <c r="E21" i="24"/>
  <c r="I28" i="13"/>
  <c r="L160" i="13"/>
  <c r="DR42" i="4"/>
  <c r="DR41" i="4"/>
  <c r="D72" i="24"/>
  <c r="DR40" i="4"/>
  <c r="DR39" i="4"/>
  <c r="D21" i="24"/>
  <c r="H28" i="13"/>
  <c r="L159" i="13"/>
  <c r="DJ42" i="4"/>
  <c r="DJ41" i="4"/>
  <c r="C72" i="24"/>
  <c r="DJ40" i="4"/>
  <c r="C34" i="24"/>
  <c r="DJ39" i="4"/>
  <c r="C21" i="24"/>
  <c r="G28" i="13"/>
  <c r="L158" i="13"/>
  <c r="DB42" i="4"/>
  <c r="DB41" i="4"/>
  <c r="DB40" i="4"/>
  <c r="DB39" i="4"/>
  <c r="DZ45" i="4"/>
  <c r="C174" i="1"/>
  <c r="EB37" i="4"/>
  <c r="DZ37" i="4"/>
  <c r="EB36" i="4"/>
  <c r="DZ36" i="4"/>
  <c r="DZ35" i="4"/>
  <c r="DR58" i="4"/>
  <c r="DZ58" i="4"/>
  <c r="EH58" i="4"/>
  <c r="DP51" i="4"/>
  <c r="DX51" i="4"/>
  <c r="EF51" i="4"/>
  <c r="EN51" i="4"/>
  <c r="DP52" i="4"/>
  <c r="DX52" i="4"/>
  <c r="EF52" i="4"/>
  <c r="EN52" i="4"/>
  <c r="DP53" i="4"/>
  <c r="DX53" i="4"/>
  <c r="EF53" i="4"/>
  <c r="EN53" i="4"/>
  <c r="DP54" i="4"/>
  <c r="DX54" i="4"/>
  <c r="EF54" i="4"/>
  <c r="EN54" i="4"/>
  <c r="DP55" i="4"/>
  <c r="DX55" i="4"/>
  <c r="EF55" i="4"/>
  <c r="EN55" i="4"/>
  <c r="DP56" i="4"/>
  <c r="DX56" i="4"/>
  <c r="EF56" i="4"/>
  <c r="EN56" i="4"/>
  <c r="DP57" i="4"/>
  <c r="DX57" i="4"/>
  <c r="EF57" i="4"/>
  <c r="EN57" i="4"/>
  <c r="DP58" i="4"/>
  <c r="DX58" i="4"/>
  <c r="EF58" i="4"/>
  <c r="EN58" i="4"/>
  <c r="DJ37" i="4"/>
  <c r="DL36" i="4"/>
  <c r="DJ36" i="4"/>
  <c r="DJ35" i="4"/>
  <c r="DJ44" i="4"/>
  <c r="DJ45" i="4"/>
  <c r="C172" i="1"/>
  <c r="DJ43" i="4"/>
  <c r="DR3" i="32"/>
  <c r="DR4" i="32"/>
  <c r="DR5" i="32"/>
  <c r="DR6" i="32"/>
  <c r="DR7" i="32"/>
  <c r="DR8" i="32"/>
  <c r="DR9" i="32"/>
  <c r="DR10" i="32"/>
  <c r="DR11" i="32"/>
  <c r="DR12" i="32"/>
  <c r="DR13" i="32"/>
  <c r="DR14" i="32"/>
  <c r="DR2" i="32"/>
  <c r="DJ2" i="32"/>
  <c r="DJ3" i="32"/>
  <c r="DJ4" i="32"/>
  <c r="DJ5" i="32"/>
  <c r="DJ6" i="32"/>
  <c r="DJ7" i="32"/>
  <c r="DJ8" i="32"/>
  <c r="DJ9" i="32"/>
  <c r="DJ10" i="32"/>
  <c r="DJ11" i="32"/>
  <c r="DJ12" i="32"/>
  <c r="DJ13" i="32"/>
  <c r="DJ14" i="32"/>
  <c r="DL3" i="32"/>
  <c r="DT3" i="32"/>
  <c r="DM3" i="32"/>
  <c r="DU3" i="32"/>
  <c r="DO3" i="32"/>
  <c r="DW3" i="32"/>
  <c r="DP3" i="32"/>
  <c r="DX3" i="32"/>
  <c r="DM4" i="32"/>
  <c r="DU4" i="32"/>
  <c r="DN4" i="32"/>
  <c r="DV4" i="32"/>
  <c r="DO4" i="32"/>
  <c r="DW4" i="32"/>
  <c r="DL5" i="32"/>
  <c r="DT5" i="32"/>
  <c r="DM5" i="32"/>
  <c r="DU5" i="32"/>
  <c r="DO5" i="32"/>
  <c r="DW5" i="32"/>
  <c r="DP5" i="32"/>
  <c r="DX5" i="32"/>
  <c r="DM6" i="32"/>
  <c r="DU6" i="32"/>
  <c r="DN6" i="32"/>
  <c r="DV6" i="32"/>
  <c r="DO6" i="32"/>
  <c r="DW6" i="32"/>
  <c r="DL7" i="32"/>
  <c r="DT7" i="32"/>
  <c r="DM7" i="32"/>
  <c r="DU7" i="32"/>
  <c r="DO7" i="32"/>
  <c r="DW7" i="32"/>
  <c r="DP7" i="32"/>
  <c r="DX7" i="32"/>
  <c r="DM8" i="32"/>
  <c r="DU8" i="32"/>
  <c r="DN8" i="32"/>
  <c r="DV8" i="32"/>
  <c r="DO8" i="32"/>
  <c r="DW8" i="32"/>
  <c r="DL9" i="32"/>
  <c r="DT9" i="32"/>
  <c r="DM9" i="32"/>
  <c r="DU9" i="32"/>
  <c r="DO9" i="32"/>
  <c r="DW9" i="32"/>
  <c r="DP9" i="32"/>
  <c r="DX9" i="32"/>
  <c r="DM10" i="32"/>
  <c r="DU10" i="32"/>
  <c r="DN10" i="32"/>
  <c r="DV10" i="32"/>
  <c r="DO10" i="32"/>
  <c r="DW10" i="32"/>
  <c r="DL11" i="32"/>
  <c r="DT11" i="32"/>
  <c r="DM11" i="32"/>
  <c r="DU11" i="32"/>
  <c r="DO11" i="32"/>
  <c r="DW11" i="32"/>
  <c r="DP11" i="32"/>
  <c r="DX11" i="32"/>
  <c r="DM12" i="32"/>
  <c r="DU12" i="32"/>
  <c r="DN12" i="32"/>
  <c r="DV12" i="32"/>
  <c r="DO12" i="32"/>
  <c r="DW12" i="32"/>
  <c r="DK13" i="32"/>
  <c r="DS13" i="32"/>
  <c r="DL13" i="32"/>
  <c r="DT13" i="32"/>
  <c r="DM13" i="32"/>
  <c r="DU13" i="32"/>
  <c r="DO13" i="32"/>
  <c r="DW13" i="32"/>
  <c r="DP13" i="32"/>
  <c r="DX13" i="32"/>
  <c r="DK14" i="32"/>
  <c r="DS14" i="32"/>
  <c r="DM14" i="32"/>
  <c r="DU14" i="32"/>
  <c r="DN14" i="32"/>
  <c r="DV14" i="32"/>
  <c r="DO14" i="32"/>
  <c r="DW14" i="32"/>
  <c r="DL2" i="32"/>
  <c r="DT2" i="32"/>
  <c r="DM2" i="32"/>
  <c r="DU2" i="32"/>
  <c r="DN2" i="32"/>
  <c r="DV2" i="32"/>
  <c r="DO2" i="32"/>
  <c r="DW2" i="32"/>
  <c r="J2" i="31"/>
  <c r="J3" i="31"/>
  <c r="J4" i="31"/>
  <c r="J5" i="31"/>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11" i="46"/>
  <c r="DX1" i="32"/>
  <c r="DW1" i="32"/>
  <c r="DV1" i="32"/>
  <c r="DU1" i="32"/>
  <c r="DT1" i="32"/>
  <c r="DS1" i="32"/>
  <c r="DP1" i="32"/>
  <c r="DO1" i="32"/>
  <c r="DN1" i="32"/>
  <c r="DM1" i="32"/>
  <c r="DL1" i="32"/>
  <c r="DK1" i="32"/>
  <c r="DH1" i="32"/>
  <c r="DG1" i="32"/>
  <c r="DF1" i="32"/>
  <c r="DE1" i="32"/>
  <c r="DD1" i="32"/>
  <c r="DC1" i="32"/>
  <c r="A136" i="1"/>
  <c r="A135" i="1"/>
  <c r="K1" i="25"/>
  <c r="L1" i="25"/>
  <c r="M1" i="25"/>
  <c r="N1" i="25"/>
  <c r="O1" i="25"/>
  <c r="P1" i="25"/>
  <c r="S1" i="25"/>
  <c r="T1" i="25"/>
  <c r="U1" i="25"/>
  <c r="V1" i="25"/>
  <c r="W1" i="25"/>
  <c r="X1" i="25"/>
  <c r="AA1" i="25"/>
  <c r="AB1" i="25"/>
  <c r="AC1" i="25"/>
  <c r="AD1" i="25"/>
  <c r="AE1" i="25"/>
  <c r="AF1" i="25"/>
  <c r="AI1" i="25"/>
  <c r="AJ1" i="25"/>
  <c r="AK1" i="25"/>
  <c r="AL1" i="25"/>
  <c r="AM1" i="25"/>
  <c r="AN1" i="25"/>
  <c r="J2" i="25"/>
  <c r="K2" i="25"/>
  <c r="L2" i="25"/>
  <c r="M2" i="25"/>
  <c r="N2" i="25"/>
  <c r="O2" i="25"/>
  <c r="P2" i="25"/>
  <c r="S2" i="25"/>
  <c r="T2" i="25"/>
  <c r="U2" i="25"/>
  <c r="V2" i="25"/>
  <c r="W2" i="25"/>
  <c r="X2" i="25"/>
  <c r="AA2" i="25"/>
  <c r="AB2" i="25"/>
  <c r="AC2" i="25"/>
  <c r="AD2" i="25"/>
  <c r="AE2" i="25"/>
  <c r="AF2" i="25"/>
  <c r="J3" i="25"/>
  <c r="S3" i="25"/>
  <c r="T3" i="25"/>
  <c r="U3" i="25"/>
  <c r="V3" i="25"/>
  <c r="W3" i="25"/>
  <c r="X3" i="25"/>
  <c r="AA3" i="25"/>
  <c r="AB3" i="25"/>
  <c r="AC3" i="25"/>
  <c r="AD3" i="25"/>
  <c r="AE3" i="25"/>
  <c r="AF3" i="25"/>
  <c r="J4" i="25"/>
  <c r="S4" i="25"/>
  <c r="T4" i="25"/>
  <c r="U4" i="25"/>
  <c r="V4" i="25"/>
  <c r="W4" i="25"/>
  <c r="X4" i="25"/>
  <c r="AA4" i="25"/>
  <c r="AB4" i="25"/>
  <c r="AC4" i="25"/>
  <c r="AD4" i="25"/>
  <c r="AE4" i="25"/>
  <c r="AF4" i="25"/>
  <c r="J5" i="25"/>
  <c r="S5" i="25"/>
  <c r="T5" i="25"/>
  <c r="U5" i="25"/>
  <c r="V5" i="25"/>
  <c r="W5" i="25"/>
  <c r="X5" i="25"/>
  <c r="AA5" i="25"/>
  <c r="AB5" i="25"/>
  <c r="AC5" i="25"/>
  <c r="AD5" i="25"/>
  <c r="AE5" i="25"/>
  <c r="AF5" i="25"/>
  <c r="J6" i="25"/>
  <c r="S6" i="25"/>
  <c r="T6" i="25"/>
  <c r="U6" i="25"/>
  <c r="V6" i="25"/>
  <c r="W6" i="25"/>
  <c r="X6" i="25"/>
  <c r="AA6" i="25"/>
  <c r="AB6" i="25"/>
  <c r="AC6" i="25"/>
  <c r="AD6" i="25"/>
  <c r="AE6" i="25"/>
  <c r="AF6" i="25"/>
  <c r="J7" i="25"/>
  <c r="S7" i="25"/>
  <c r="T7" i="25"/>
  <c r="U7" i="25"/>
  <c r="V7" i="25"/>
  <c r="W7" i="25"/>
  <c r="X7" i="25"/>
  <c r="AA7" i="25"/>
  <c r="AB7" i="25"/>
  <c r="AC7" i="25"/>
  <c r="AD7" i="25"/>
  <c r="AE7" i="25"/>
  <c r="AF7" i="25"/>
  <c r="J8" i="25"/>
  <c r="S8" i="25"/>
  <c r="T8" i="25"/>
  <c r="U8" i="25"/>
  <c r="V8" i="25"/>
  <c r="W8" i="25"/>
  <c r="X8" i="25"/>
  <c r="AA8" i="25"/>
  <c r="AB8" i="25"/>
  <c r="AC8" i="25"/>
  <c r="AD8" i="25"/>
  <c r="AE8" i="25"/>
  <c r="AF8" i="25"/>
  <c r="S9" i="25"/>
  <c r="T9" i="25"/>
  <c r="U9" i="25"/>
  <c r="V9" i="25"/>
  <c r="W9" i="25"/>
  <c r="X9" i="25"/>
  <c r="AA9" i="25"/>
  <c r="AB9" i="25"/>
  <c r="AC9" i="25"/>
  <c r="AD9" i="25"/>
  <c r="AE9" i="25"/>
  <c r="AF9" i="25"/>
  <c r="C10" i="25"/>
  <c r="D10" i="25"/>
  <c r="E10" i="25"/>
  <c r="F10" i="25"/>
  <c r="K10" i="25"/>
  <c r="L10" i="25"/>
  <c r="M10" i="25"/>
  <c r="N10" i="25"/>
  <c r="O10" i="25"/>
  <c r="P10" i="25"/>
  <c r="S10" i="25"/>
  <c r="T10" i="25"/>
  <c r="U10" i="25"/>
  <c r="V10" i="25"/>
  <c r="W10" i="25"/>
  <c r="X10" i="25"/>
  <c r="AA10" i="25"/>
  <c r="AB10" i="25"/>
  <c r="AC10" i="25"/>
  <c r="AD10" i="25"/>
  <c r="AE10" i="25"/>
  <c r="AF10" i="25"/>
  <c r="C11" i="25"/>
  <c r="D11" i="25"/>
  <c r="E11" i="25"/>
  <c r="F11" i="25"/>
  <c r="G11" i="25"/>
  <c r="H11" i="25"/>
  <c r="K11" i="25"/>
  <c r="M11" i="25"/>
  <c r="N11" i="25"/>
  <c r="Q11" i="25"/>
  <c r="S11" i="25"/>
  <c r="T11" i="25"/>
  <c r="U11" i="25"/>
  <c r="V11" i="25"/>
  <c r="W11" i="25"/>
  <c r="X11" i="25"/>
  <c r="AA11" i="25"/>
  <c r="AB11" i="25"/>
  <c r="AC11" i="25"/>
  <c r="AD11" i="25"/>
  <c r="AE11" i="25"/>
  <c r="AF11" i="25"/>
  <c r="K12" i="25"/>
  <c r="L12" i="25"/>
  <c r="M12" i="25"/>
  <c r="N12" i="25"/>
  <c r="S12" i="25"/>
  <c r="T12" i="25"/>
  <c r="U12" i="25"/>
  <c r="V12" i="25"/>
  <c r="W12" i="25"/>
  <c r="X12" i="25"/>
  <c r="AA12" i="25"/>
  <c r="AB12" i="25"/>
  <c r="AC12" i="25"/>
  <c r="AD12" i="25"/>
  <c r="AE12" i="25"/>
  <c r="J13" i="25"/>
  <c r="S13" i="25"/>
  <c r="T13" i="25"/>
  <c r="U13" i="25"/>
  <c r="V13" i="25"/>
  <c r="W13" i="25"/>
  <c r="X13" i="25"/>
  <c r="AA13" i="25"/>
  <c r="AB13" i="25"/>
  <c r="AC13" i="25"/>
  <c r="AD13" i="25"/>
  <c r="AE13" i="25"/>
  <c r="AF13" i="25"/>
  <c r="J14" i="25"/>
  <c r="S14" i="25"/>
  <c r="T14" i="25"/>
  <c r="U14" i="25"/>
  <c r="V14" i="25"/>
  <c r="W14" i="25"/>
  <c r="X14" i="25"/>
  <c r="AA14" i="25"/>
  <c r="AB14" i="25"/>
  <c r="AC14" i="25"/>
  <c r="AD14" i="25"/>
  <c r="AE14" i="25"/>
  <c r="AF14" i="25"/>
  <c r="J15" i="25"/>
  <c r="S15" i="25"/>
  <c r="T15" i="25"/>
  <c r="U15" i="25"/>
  <c r="V15" i="25"/>
  <c r="W15" i="25"/>
  <c r="X15" i="25"/>
  <c r="AA15" i="25"/>
  <c r="AB15" i="25"/>
  <c r="AC15" i="25"/>
  <c r="AD15" i="25"/>
  <c r="AE15" i="25"/>
  <c r="AF15" i="25"/>
  <c r="J16" i="25"/>
  <c r="S16" i="25"/>
  <c r="T16" i="25"/>
  <c r="U16" i="25"/>
  <c r="V16" i="25"/>
  <c r="W16" i="25"/>
  <c r="X16" i="25"/>
  <c r="AA16" i="25"/>
  <c r="AB16" i="25"/>
  <c r="AC16" i="25"/>
  <c r="AD16" i="25"/>
  <c r="AE16" i="25"/>
  <c r="AF16" i="25"/>
  <c r="J17" i="25"/>
  <c r="S17" i="25"/>
  <c r="T17" i="25"/>
  <c r="U17" i="25"/>
  <c r="V17" i="25"/>
  <c r="W17" i="25"/>
  <c r="X17" i="25"/>
  <c r="AA17" i="25"/>
  <c r="AB17" i="25"/>
  <c r="AC17" i="25"/>
  <c r="AD17" i="25"/>
  <c r="AE17" i="25"/>
  <c r="AF17" i="25"/>
  <c r="J18" i="25"/>
  <c r="S18" i="25"/>
  <c r="T18" i="25"/>
  <c r="U18" i="25"/>
  <c r="V18" i="25"/>
  <c r="W18" i="25"/>
  <c r="X18" i="25"/>
  <c r="AA18" i="25"/>
  <c r="AB18" i="25"/>
  <c r="AC18" i="25"/>
  <c r="AD18" i="25"/>
  <c r="AE18" i="25"/>
  <c r="AF18" i="25"/>
  <c r="J19" i="25"/>
  <c r="S19" i="25"/>
  <c r="T19" i="25"/>
  <c r="U19" i="25"/>
  <c r="V19" i="25"/>
  <c r="W19" i="25"/>
  <c r="X19" i="25"/>
  <c r="AA19" i="25"/>
  <c r="AB19" i="25"/>
  <c r="AC19" i="25"/>
  <c r="AD19" i="25"/>
  <c r="AE19" i="25"/>
  <c r="AF19" i="25"/>
  <c r="J20" i="25"/>
  <c r="S20" i="25"/>
  <c r="T20" i="25"/>
  <c r="U20" i="25"/>
  <c r="V20" i="25"/>
  <c r="W20" i="25"/>
  <c r="X20" i="25"/>
  <c r="AA20" i="25"/>
  <c r="AB20" i="25"/>
  <c r="AC20" i="25"/>
  <c r="AD20" i="25"/>
  <c r="AE20" i="25"/>
  <c r="AF20" i="25"/>
  <c r="B21" i="25"/>
  <c r="J21" i="25"/>
  <c r="S21" i="25"/>
  <c r="T21" i="25"/>
  <c r="U21" i="25"/>
  <c r="V21" i="25"/>
  <c r="W21" i="25"/>
  <c r="X21" i="25"/>
  <c r="AA21" i="25"/>
  <c r="AB21" i="25"/>
  <c r="AC21" i="25"/>
  <c r="AD21" i="25"/>
  <c r="AE21" i="25"/>
  <c r="AF21" i="25"/>
  <c r="T25" i="25"/>
  <c r="T26" i="25"/>
  <c r="B28" i="25"/>
  <c r="J28" i="25"/>
  <c r="R28" i="25"/>
  <c r="Z28" i="25"/>
  <c r="AH28" i="25"/>
  <c r="AP28" i="25"/>
  <c r="AX28" i="25"/>
  <c r="B29" i="25"/>
  <c r="J29" i="25"/>
  <c r="R29" i="25"/>
  <c r="Z29" i="25"/>
  <c r="AH29" i="25"/>
  <c r="AP29" i="25"/>
  <c r="H27" i="13"/>
  <c r="L153" i="13"/>
  <c r="AX29" i="25"/>
  <c r="I27" i="13"/>
  <c r="L154" i="13"/>
  <c r="B30" i="25"/>
  <c r="J30" i="25"/>
  <c r="R30" i="25"/>
  <c r="Z30" i="25"/>
  <c r="AH30" i="25"/>
  <c r="AP30" i="25"/>
  <c r="AX30" i="25"/>
  <c r="C33" i="24"/>
  <c r="B31" i="25"/>
  <c r="J31" i="25"/>
  <c r="R31" i="25"/>
  <c r="Z31" i="25"/>
  <c r="AH31" i="25"/>
  <c r="AP31" i="25"/>
  <c r="AX31" i="25"/>
  <c r="R32" i="25"/>
  <c r="R33" i="25"/>
  <c r="R34" i="25"/>
  <c r="AH34" i="25"/>
  <c r="AX34" i="25"/>
  <c r="J2" i="26"/>
  <c r="J3" i="26"/>
  <c r="J4" i="26"/>
  <c r="J5" i="26"/>
  <c r="J6" i="26"/>
  <c r="J7" i="26"/>
  <c r="J8" i="26"/>
  <c r="J9" i="26"/>
  <c r="J10" i="26"/>
  <c r="J11" i="26"/>
  <c r="J12" i="26"/>
  <c r="J13" i="26"/>
  <c r="J14" i="26"/>
  <c r="J15" i="26"/>
  <c r="J16" i="26"/>
  <c r="J17" i="26"/>
  <c r="J18" i="26"/>
  <c r="J19" i="26"/>
  <c r="J20" i="26"/>
  <c r="J21" i="26"/>
  <c r="AA22" i="26"/>
  <c r="B23" i="26"/>
  <c r="C23" i="26"/>
  <c r="D23" i="26"/>
  <c r="E23" i="26"/>
  <c r="F23" i="26"/>
  <c r="H57" i="26" s="1"/>
  <c r="G23" i="26"/>
  <c r="H23" i="26"/>
  <c r="I23" i="26"/>
  <c r="J23" i="26"/>
  <c r="K23" i="26"/>
  <c r="L23" i="26"/>
  <c r="M23" i="26"/>
  <c r="N23" i="26"/>
  <c r="O23" i="26"/>
  <c r="P23" i="26"/>
  <c r="Q23" i="26"/>
  <c r="R23" i="26"/>
  <c r="J24" i="26"/>
  <c r="J25" i="26"/>
  <c r="J26" i="26"/>
  <c r="J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B57" i="26"/>
  <c r="C57" i="26"/>
  <c r="J57" i="26"/>
  <c r="K57" i="26"/>
  <c r="L57" i="26"/>
  <c r="M57" i="26"/>
  <c r="N57" i="26"/>
  <c r="O57" i="26"/>
  <c r="P57" i="26"/>
  <c r="Q57" i="26" s="1"/>
  <c r="K1" i="4"/>
  <c r="L1" i="4"/>
  <c r="CF1" i="4"/>
  <c r="M1" i="4"/>
  <c r="CG1" i="4"/>
  <c r="N1" i="4"/>
  <c r="O1" i="4"/>
  <c r="P1" i="4"/>
  <c r="CJ1" i="4"/>
  <c r="S1" i="4"/>
  <c r="CM1" i="4"/>
  <c r="T1" i="4"/>
  <c r="U1" i="4"/>
  <c r="V1" i="4"/>
  <c r="CP1" i="4"/>
  <c r="W1" i="4"/>
  <c r="CQ1" i="4"/>
  <c r="X1" i="4"/>
  <c r="AA1" i="4"/>
  <c r="AB1" i="4"/>
  <c r="CV1" i="4"/>
  <c r="AC1" i="4"/>
  <c r="CW1" i="4"/>
  <c r="AD1" i="4"/>
  <c r="AE1" i="4"/>
  <c r="AF1" i="4"/>
  <c r="CZ1" i="4"/>
  <c r="AI1" i="4"/>
  <c r="DC1" i="4"/>
  <c r="AJ1" i="4"/>
  <c r="AK1" i="4"/>
  <c r="AL1" i="4"/>
  <c r="DF1" i="4"/>
  <c r="AM1" i="4"/>
  <c r="AN1" i="4"/>
  <c r="AQ1" i="4"/>
  <c r="AR1" i="4"/>
  <c r="DL1" i="4"/>
  <c r="AS1" i="4"/>
  <c r="AT1" i="4"/>
  <c r="AU1" i="4"/>
  <c r="AV1" i="4"/>
  <c r="DP1" i="4"/>
  <c r="AY1" i="4"/>
  <c r="DS1" i="4"/>
  <c r="AZ1" i="4"/>
  <c r="BA1" i="4"/>
  <c r="BB1" i="4"/>
  <c r="DV1" i="4"/>
  <c r="BC1" i="4"/>
  <c r="DW1" i="4"/>
  <c r="BD1" i="4"/>
  <c r="BG1" i="4"/>
  <c r="BH1" i="4"/>
  <c r="BI1" i="4"/>
  <c r="BJ1" i="4"/>
  <c r="BK1" i="4"/>
  <c r="BL1" i="4"/>
  <c r="BO1" i="4"/>
  <c r="BP1" i="4"/>
  <c r="BQ1" i="4"/>
  <c r="BR1" i="4"/>
  <c r="BS1" i="4"/>
  <c r="BT1" i="4"/>
  <c r="BW1" i="4"/>
  <c r="BX1" i="4"/>
  <c r="BY1" i="4"/>
  <c r="BZ1" i="4"/>
  <c r="CA1" i="4"/>
  <c r="CB1" i="4"/>
  <c r="CE1" i="4"/>
  <c r="CH1" i="4"/>
  <c r="CI1" i="4"/>
  <c r="CN1" i="4"/>
  <c r="CO1" i="4"/>
  <c r="CR1" i="4"/>
  <c r="CU1" i="4"/>
  <c r="CX1" i="4"/>
  <c r="CY1" i="4"/>
  <c r="DD1" i="4"/>
  <c r="DE1" i="4"/>
  <c r="DG1" i="4"/>
  <c r="DH1" i="4"/>
  <c r="DK1" i="4"/>
  <c r="DN1" i="4"/>
  <c r="DO1" i="4"/>
  <c r="DT1" i="4"/>
  <c r="DU1" i="4"/>
  <c r="DX1" i="4"/>
  <c r="J2" i="4"/>
  <c r="R2" i="4"/>
  <c r="CL2" i="4"/>
  <c r="S2" i="4"/>
  <c r="AA2" i="4"/>
  <c r="AI2" i="4"/>
  <c r="T2" i="4"/>
  <c r="AB2" i="4"/>
  <c r="AJ2" i="4"/>
  <c r="AR2" i="4"/>
  <c r="U2" i="4"/>
  <c r="V2" i="4"/>
  <c r="AD2" i="4"/>
  <c r="AL2" i="4"/>
  <c r="W2" i="4"/>
  <c r="AE2" i="4"/>
  <c r="AM2" i="4"/>
  <c r="AU2" i="4"/>
  <c r="BC2" i="4"/>
  <c r="BK2" i="4"/>
  <c r="BS2" i="4"/>
  <c r="CA2" i="4"/>
  <c r="CI2" i="4"/>
  <c r="CQ2" i="4"/>
  <c r="CY2" i="4"/>
  <c r="X2" i="4"/>
  <c r="AF2" i="4"/>
  <c r="AN2" i="4"/>
  <c r="AV2" i="4"/>
  <c r="Z2" i="4"/>
  <c r="AC2" i="4"/>
  <c r="AK2" i="4"/>
  <c r="AS2" i="4"/>
  <c r="BA2" i="4"/>
  <c r="BI2" i="4"/>
  <c r="BQ2" i="4"/>
  <c r="BY2" i="4"/>
  <c r="CG2" i="4"/>
  <c r="CO2" i="4"/>
  <c r="CW2" i="4"/>
  <c r="AH2" i="4"/>
  <c r="DB2" i="4"/>
  <c r="AP2" i="4"/>
  <c r="AQ2" i="4"/>
  <c r="AY2" i="4"/>
  <c r="BG2" i="4"/>
  <c r="BO2" i="4"/>
  <c r="BW2" i="4"/>
  <c r="CE2" i="4"/>
  <c r="CM2" i="4"/>
  <c r="CU2" i="4"/>
  <c r="AX2" i="4"/>
  <c r="AZ2" i="4"/>
  <c r="BH2" i="4"/>
  <c r="BP2" i="4"/>
  <c r="BX2" i="4"/>
  <c r="BD2" i="4"/>
  <c r="BL2" i="4"/>
  <c r="BT2" i="4"/>
  <c r="CB2" i="4"/>
  <c r="CJ2" i="4"/>
  <c r="CR2" i="4"/>
  <c r="CZ2" i="4"/>
  <c r="BF2" i="4"/>
  <c r="BN2" i="4"/>
  <c r="BV2" i="4"/>
  <c r="CD2" i="4"/>
  <c r="CF2" i="4"/>
  <c r="CN2" i="4"/>
  <c r="CV2" i="4"/>
  <c r="CT2" i="4"/>
  <c r="DR2" i="4"/>
  <c r="J3" i="4"/>
  <c r="R3" i="4"/>
  <c r="S3" i="4"/>
  <c r="AA3" i="4"/>
  <c r="AI3" i="4"/>
  <c r="AQ3" i="4"/>
  <c r="AY3" i="4"/>
  <c r="BG3" i="4"/>
  <c r="BO3" i="4"/>
  <c r="BW3" i="4"/>
  <c r="CE3" i="4"/>
  <c r="CM3" i="4"/>
  <c r="CU3" i="4"/>
  <c r="T3" i="4"/>
  <c r="AB3" i="4"/>
  <c r="AJ3" i="4"/>
  <c r="AR3" i="4"/>
  <c r="AZ3" i="4"/>
  <c r="BH3" i="4"/>
  <c r="BP3" i="4"/>
  <c r="BX3" i="4"/>
  <c r="CF3" i="4"/>
  <c r="CN3" i="4"/>
  <c r="CV3" i="4"/>
  <c r="U3" i="4"/>
  <c r="V3" i="4"/>
  <c r="AD3" i="4"/>
  <c r="AL3" i="4"/>
  <c r="W3" i="4"/>
  <c r="AE3" i="4"/>
  <c r="AM3" i="4"/>
  <c r="AU3" i="4"/>
  <c r="X3" i="4"/>
  <c r="AF3" i="4"/>
  <c r="AN3" i="4"/>
  <c r="Z3" i="4"/>
  <c r="AC3" i="4"/>
  <c r="AK3" i="4"/>
  <c r="AH3" i="4"/>
  <c r="DB3" i="4"/>
  <c r="AP3" i="4"/>
  <c r="DJ3" i="4"/>
  <c r="AT3" i="4"/>
  <c r="BB3" i="4"/>
  <c r="BJ3" i="4"/>
  <c r="BR3" i="4"/>
  <c r="BZ3" i="4"/>
  <c r="CH3" i="4"/>
  <c r="CP3" i="4"/>
  <c r="CX3" i="4"/>
  <c r="AX3" i="4"/>
  <c r="BC3" i="4"/>
  <c r="BK3" i="4"/>
  <c r="BS3" i="4"/>
  <c r="CA3" i="4"/>
  <c r="CI3" i="4"/>
  <c r="CQ3" i="4"/>
  <c r="CY3" i="4"/>
  <c r="BF3" i="4"/>
  <c r="BN3" i="4"/>
  <c r="BV3" i="4"/>
  <c r="CD3" i="4"/>
  <c r="CL3" i="4"/>
  <c r="CT3" i="4"/>
  <c r="DH3" i="4"/>
  <c r="DP3" i="4"/>
  <c r="DX3" i="4"/>
  <c r="DR3" i="4"/>
  <c r="J4" i="4"/>
  <c r="R4" i="4"/>
  <c r="CL4" i="4"/>
  <c r="S4" i="4"/>
  <c r="AA4" i="4"/>
  <c r="AI4" i="4"/>
  <c r="T4" i="4"/>
  <c r="U4" i="4"/>
  <c r="V4" i="4"/>
  <c r="AD4" i="4"/>
  <c r="AL4" i="4"/>
  <c r="AT4" i="4"/>
  <c r="W4" i="4"/>
  <c r="AE4" i="4"/>
  <c r="AM4" i="4"/>
  <c r="X4" i="4"/>
  <c r="Z4" i="4"/>
  <c r="AB4" i="4"/>
  <c r="AJ4" i="4"/>
  <c r="AR4" i="4"/>
  <c r="AZ4" i="4"/>
  <c r="BH4" i="4"/>
  <c r="BP4" i="4"/>
  <c r="BX4" i="4"/>
  <c r="CF4" i="4"/>
  <c r="CN4" i="4"/>
  <c r="CV4" i="4"/>
  <c r="AC4" i="4"/>
  <c r="AK4" i="4"/>
  <c r="AS4" i="4"/>
  <c r="BA4" i="4"/>
  <c r="BI4" i="4"/>
  <c r="BQ4" i="4"/>
  <c r="BY4" i="4"/>
  <c r="CG4" i="4"/>
  <c r="CO4" i="4"/>
  <c r="CW4" i="4"/>
  <c r="AF4" i="4"/>
  <c r="AH4" i="4"/>
  <c r="DB4" i="4"/>
  <c r="AN4" i="4"/>
  <c r="AV4" i="4"/>
  <c r="BD4" i="4"/>
  <c r="BL4" i="4"/>
  <c r="AP4" i="4"/>
  <c r="AX4" i="4"/>
  <c r="DR4" i="4"/>
  <c r="BB4" i="4"/>
  <c r="BJ4" i="4"/>
  <c r="BR4" i="4"/>
  <c r="BZ4" i="4"/>
  <c r="BF4" i="4"/>
  <c r="BN4" i="4"/>
  <c r="BT4" i="4"/>
  <c r="CB4" i="4"/>
  <c r="CJ4" i="4"/>
  <c r="BV4" i="4"/>
  <c r="CD4" i="4"/>
  <c r="CH4" i="4"/>
  <c r="CP4" i="4"/>
  <c r="CX4" i="4"/>
  <c r="CT4" i="4"/>
  <c r="DH4" i="4"/>
  <c r="DP4" i="4"/>
  <c r="DX4" i="4"/>
  <c r="J5" i="4"/>
  <c r="CD5" i="4"/>
  <c r="R5" i="4"/>
  <c r="CL5" i="4"/>
  <c r="S5" i="4"/>
  <c r="T5" i="4"/>
  <c r="U5" i="4"/>
  <c r="AC5" i="4"/>
  <c r="AK5" i="4"/>
  <c r="V5" i="4"/>
  <c r="AD5" i="4"/>
  <c r="AL5" i="4"/>
  <c r="W5" i="4"/>
  <c r="X5" i="4"/>
  <c r="Z5" i="4"/>
  <c r="CT5" i="4"/>
  <c r="AA5" i="4"/>
  <c r="AI5" i="4"/>
  <c r="AQ5" i="4"/>
  <c r="AY5" i="4"/>
  <c r="BG5" i="4"/>
  <c r="BO5" i="4"/>
  <c r="BW5" i="4"/>
  <c r="AB5" i="4"/>
  <c r="AE5" i="4"/>
  <c r="AF5" i="4"/>
  <c r="AN5" i="4"/>
  <c r="AV5" i="4"/>
  <c r="BD5" i="4"/>
  <c r="BL5" i="4"/>
  <c r="BT5" i="4"/>
  <c r="CB5" i="4"/>
  <c r="CI5" i="4"/>
  <c r="CQ5" i="4"/>
  <c r="CY5" i="4"/>
  <c r="AH5" i="4"/>
  <c r="AJ5" i="4"/>
  <c r="AM5" i="4"/>
  <c r="AP5" i="4"/>
  <c r="AR5" i="4"/>
  <c r="AZ5" i="4"/>
  <c r="BH5" i="4"/>
  <c r="BP5" i="4"/>
  <c r="BX5" i="4"/>
  <c r="CE5" i="4"/>
  <c r="CM5" i="4"/>
  <c r="CU5" i="4"/>
  <c r="AX5" i="4"/>
  <c r="BF5" i="4"/>
  <c r="BN5" i="4"/>
  <c r="BV5" i="4"/>
  <c r="CJ5" i="4"/>
  <c r="DB5" i="4"/>
  <c r="DH5" i="4"/>
  <c r="DP5" i="4"/>
  <c r="DX5" i="4"/>
  <c r="DJ5" i="4"/>
  <c r="DR5" i="4"/>
  <c r="J6" i="4"/>
  <c r="CD6" i="4"/>
  <c r="R6" i="4"/>
  <c r="S6" i="4"/>
  <c r="AA6" i="4"/>
  <c r="AI6" i="4"/>
  <c r="AQ6" i="4"/>
  <c r="AY6" i="4"/>
  <c r="BG6" i="4"/>
  <c r="BO6" i="4"/>
  <c r="T6" i="4"/>
  <c r="AB6" i="4"/>
  <c r="AJ6" i="4"/>
  <c r="U6" i="4"/>
  <c r="AC6" i="4"/>
  <c r="AK6" i="4"/>
  <c r="AS6" i="4"/>
  <c r="BA6" i="4"/>
  <c r="BI6" i="4"/>
  <c r="BQ6" i="4"/>
  <c r="BY6" i="4"/>
  <c r="CG6" i="4"/>
  <c r="CO6" i="4"/>
  <c r="CW6" i="4"/>
  <c r="V6" i="4"/>
  <c r="W6" i="4"/>
  <c r="AE6" i="4"/>
  <c r="AM6" i="4"/>
  <c r="AU6" i="4"/>
  <c r="BC6" i="4"/>
  <c r="BK6" i="4"/>
  <c r="BS6" i="4"/>
  <c r="CA6" i="4"/>
  <c r="CI6" i="4"/>
  <c r="CQ6" i="4"/>
  <c r="CY6" i="4"/>
  <c r="X6" i="4"/>
  <c r="Z6" i="4"/>
  <c r="CT6" i="4"/>
  <c r="AD6" i="4"/>
  <c r="AF6" i="4"/>
  <c r="AN6" i="4"/>
  <c r="AH6" i="4"/>
  <c r="DB6" i="4"/>
  <c r="AL6" i="4"/>
  <c r="AT6" i="4"/>
  <c r="BB6" i="4"/>
  <c r="BJ6" i="4"/>
  <c r="BR6" i="4"/>
  <c r="BZ6" i="4"/>
  <c r="CH6" i="4"/>
  <c r="CP6" i="4"/>
  <c r="CX6" i="4"/>
  <c r="AP6" i="4"/>
  <c r="DJ6" i="4"/>
  <c r="AX6" i="4"/>
  <c r="BF6" i="4"/>
  <c r="BN6" i="4"/>
  <c r="BV6" i="4"/>
  <c r="BW6" i="4"/>
  <c r="CE6" i="4"/>
  <c r="CM6" i="4"/>
  <c r="CU6" i="4"/>
  <c r="CL6" i="4"/>
  <c r="DH6" i="4"/>
  <c r="DP6" i="4"/>
  <c r="DX6" i="4"/>
  <c r="DR6" i="4"/>
  <c r="J7" i="4"/>
  <c r="R7" i="4"/>
  <c r="CL7" i="4"/>
  <c r="S7" i="4"/>
  <c r="AA7" i="4"/>
  <c r="AI7" i="4"/>
  <c r="T7" i="4"/>
  <c r="U7" i="4"/>
  <c r="AC7" i="4"/>
  <c r="AK7" i="4"/>
  <c r="AS7" i="4"/>
  <c r="BA7" i="4"/>
  <c r="BI7" i="4"/>
  <c r="V7" i="4"/>
  <c r="AD7" i="4"/>
  <c r="AL7" i="4"/>
  <c r="AT7" i="4"/>
  <c r="BB7" i="4"/>
  <c r="BJ7" i="4"/>
  <c r="BR7" i="4"/>
  <c r="BZ7" i="4"/>
  <c r="CH7" i="4"/>
  <c r="CP7" i="4"/>
  <c r="CX7" i="4"/>
  <c r="W7" i="4"/>
  <c r="X7" i="4"/>
  <c r="Z7" i="4"/>
  <c r="CT7" i="4"/>
  <c r="AB7" i="4"/>
  <c r="AJ7" i="4"/>
  <c r="AR7" i="4"/>
  <c r="AE7" i="4"/>
  <c r="AM7" i="4"/>
  <c r="AU7" i="4"/>
  <c r="BC7" i="4"/>
  <c r="BK7" i="4"/>
  <c r="BS7" i="4"/>
  <c r="CA7" i="4"/>
  <c r="CI7" i="4"/>
  <c r="CQ7" i="4"/>
  <c r="CY7" i="4"/>
  <c r="AF7" i="4"/>
  <c r="AH7" i="4"/>
  <c r="DB7" i="4"/>
  <c r="AN7" i="4"/>
  <c r="AV7" i="4"/>
  <c r="BD7" i="4"/>
  <c r="BL7" i="4"/>
  <c r="BT7" i="4"/>
  <c r="CB7" i="4"/>
  <c r="CJ7" i="4"/>
  <c r="AP7" i="4"/>
  <c r="AQ7" i="4"/>
  <c r="AY7" i="4"/>
  <c r="BG7" i="4"/>
  <c r="BO7" i="4"/>
  <c r="AX7" i="4"/>
  <c r="DR7" i="4"/>
  <c r="AZ7" i="4"/>
  <c r="BH7" i="4"/>
  <c r="BP7" i="4"/>
  <c r="BX7" i="4"/>
  <c r="CF7" i="4"/>
  <c r="CN7" i="4"/>
  <c r="CV7" i="4"/>
  <c r="BF7" i="4"/>
  <c r="BN7" i="4"/>
  <c r="BQ7" i="4"/>
  <c r="BY7" i="4"/>
  <c r="CG7" i="4"/>
  <c r="CO7" i="4"/>
  <c r="CW7" i="4"/>
  <c r="BV7" i="4"/>
  <c r="BW7" i="4"/>
  <c r="CE7" i="4"/>
  <c r="CM7" i="4"/>
  <c r="CU7" i="4"/>
  <c r="CD7" i="4"/>
  <c r="DH7" i="4"/>
  <c r="DP7" i="4"/>
  <c r="DX7" i="4"/>
  <c r="DJ7" i="4"/>
  <c r="J8" i="4"/>
  <c r="CD8" i="4"/>
  <c r="R8" i="4"/>
  <c r="CL8" i="4"/>
  <c r="S8" i="4"/>
  <c r="AA8" i="4"/>
  <c r="AI8" i="4"/>
  <c r="AQ8" i="4"/>
  <c r="T8" i="4"/>
  <c r="U8" i="4"/>
  <c r="AC8" i="4"/>
  <c r="AK8" i="4"/>
  <c r="V8" i="4"/>
  <c r="AD8" i="4"/>
  <c r="AL8" i="4"/>
  <c r="AT8" i="4"/>
  <c r="BB8" i="4"/>
  <c r="BJ8" i="4"/>
  <c r="BR8" i="4"/>
  <c r="BZ8" i="4"/>
  <c r="W8" i="4"/>
  <c r="X8" i="4"/>
  <c r="Z8" i="4"/>
  <c r="CT8" i="4"/>
  <c r="AB8" i="4"/>
  <c r="AE8" i="4"/>
  <c r="AF8" i="4"/>
  <c r="AN8" i="4"/>
  <c r="AV8" i="4"/>
  <c r="BD8" i="4"/>
  <c r="BL8" i="4"/>
  <c r="BT8" i="4"/>
  <c r="CB8" i="4"/>
  <c r="CJ8" i="4"/>
  <c r="AH8" i="4"/>
  <c r="AJ8" i="4"/>
  <c r="AR8" i="4"/>
  <c r="AZ8" i="4"/>
  <c r="AM8" i="4"/>
  <c r="AU8" i="4"/>
  <c r="BC8" i="4"/>
  <c r="AP8" i="4"/>
  <c r="DJ8" i="4"/>
  <c r="AS8" i="4"/>
  <c r="BA8" i="4"/>
  <c r="BI8" i="4"/>
  <c r="BQ8" i="4"/>
  <c r="AX8" i="4"/>
  <c r="DR8" i="4"/>
  <c r="AY8" i="4"/>
  <c r="BG8" i="4"/>
  <c r="BO8" i="4"/>
  <c r="BW8" i="4"/>
  <c r="CE8" i="4"/>
  <c r="CM8" i="4"/>
  <c r="CU8" i="4"/>
  <c r="BF8" i="4"/>
  <c r="BH8" i="4"/>
  <c r="BP8" i="4"/>
  <c r="BX8" i="4"/>
  <c r="CF8" i="4"/>
  <c r="CN8" i="4"/>
  <c r="CV8" i="4"/>
  <c r="BK8" i="4"/>
  <c r="BS8" i="4"/>
  <c r="CA8" i="4"/>
  <c r="CI8" i="4"/>
  <c r="CQ8" i="4"/>
  <c r="CY8" i="4"/>
  <c r="DG92" i="4"/>
  <c r="DO92" i="4"/>
  <c r="DW92" i="4"/>
  <c r="EE92" i="4"/>
  <c r="BN8" i="4"/>
  <c r="BV8" i="4"/>
  <c r="BY8" i="4"/>
  <c r="CG8" i="4"/>
  <c r="CO8" i="4"/>
  <c r="CW8" i="4"/>
  <c r="CH8" i="4"/>
  <c r="CP8" i="4"/>
  <c r="CX8" i="4"/>
  <c r="DB8" i="4"/>
  <c r="DH8" i="4"/>
  <c r="DP8" i="4"/>
  <c r="DX8" i="4"/>
  <c r="J9" i="4"/>
  <c r="CD9" i="4"/>
  <c r="R9" i="4"/>
  <c r="CL9" i="4"/>
  <c r="S9" i="4"/>
  <c r="AA9" i="4"/>
  <c r="AI9" i="4"/>
  <c r="AQ9" i="4"/>
  <c r="AY9" i="4"/>
  <c r="BG9" i="4"/>
  <c r="BO9" i="4"/>
  <c r="BW9" i="4"/>
  <c r="CE9" i="4"/>
  <c r="CM9" i="4"/>
  <c r="CU9" i="4"/>
  <c r="T9" i="4"/>
  <c r="U9" i="4"/>
  <c r="AC9" i="4"/>
  <c r="AK9" i="4"/>
  <c r="AS9" i="4"/>
  <c r="BA9" i="4"/>
  <c r="BI9" i="4"/>
  <c r="BQ9" i="4"/>
  <c r="BY9" i="4"/>
  <c r="CG9" i="4"/>
  <c r="CO9" i="4"/>
  <c r="CW9" i="4"/>
  <c r="V9" i="4"/>
  <c r="AD9" i="4"/>
  <c r="AL9" i="4"/>
  <c r="AT9" i="4"/>
  <c r="BB9" i="4"/>
  <c r="W9" i="4"/>
  <c r="AE9" i="4"/>
  <c r="X9" i="4"/>
  <c r="Z9" i="4"/>
  <c r="CT9" i="4"/>
  <c r="AB9" i="4"/>
  <c r="AJ9" i="4"/>
  <c r="AR9" i="4"/>
  <c r="AZ9" i="4"/>
  <c r="BH9" i="4"/>
  <c r="BP9" i="4"/>
  <c r="BX9" i="4"/>
  <c r="CF9" i="4"/>
  <c r="CN9" i="4"/>
  <c r="CV9" i="4"/>
  <c r="AF9" i="4"/>
  <c r="AN9" i="4"/>
  <c r="AH9" i="4"/>
  <c r="DB9" i="4"/>
  <c r="AM9" i="4"/>
  <c r="AU9" i="4"/>
  <c r="BC9" i="4"/>
  <c r="BK9" i="4"/>
  <c r="BS9" i="4"/>
  <c r="CA9" i="4"/>
  <c r="CI9" i="4"/>
  <c r="CQ9" i="4"/>
  <c r="CY9" i="4"/>
  <c r="AP9" i="4"/>
  <c r="AV9" i="4"/>
  <c r="BD9" i="4"/>
  <c r="BL9" i="4"/>
  <c r="BT9" i="4"/>
  <c r="CB9" i="4"/>
  <c r="CJ9" i="4"/>
  <c r="AX9" i="4"/>
  <c r="BF9" i="4"/>
  <c r="BJ9" i="4"/>
  <c r="BR9" i="4"/>
  <c r="BZ9" i="4"/>
  <c r="CH9" i="4"/>
  <c r="CP9" i="4"/>
  <c r="CX9" i="4"/>
  <c r="BN9" i="4"/>
  <c r="BV9" i="4"/>
  <c r="DH9" i="4"/>
  <c r="DP9" i="4"/>
  <c r="DX9" i="4"/>
  <c r="DJ9" i="4"/>
  <c r="DR9" i="4"/>
  <c r="J10" i="4"/>
  <c r="R10" i="4"/>
  <c r="S10" i="4"/>
  <c r="AA10" i="4"/>
  <c r="AI10" i="4"/>
  <c r="AQ10" i="4"/>
  <c r="AY10" i="4"/>
  <c r="BG10" i="4"/>
  <c r="BO10" i="4"/>
  <c r="BW10" i="4"/>
  <c r="T10" i="4"/>
  <c r="U10" i="4"/>
  <c r="V10" i="4"/>
  <c r="AD10" i="4"/>
  <c r="AL10" i="4"/>
  <c r="AT10" i="4"/>
  <c r="BB10" i="4"/>
  <c r="BJ10" i="4"/>
  <c r="BR10" i="4"/>
  <c r="BZ10" i="4"/>
  <c r="CH10" i="4"/>
  <c r="CP10" i="4"/>
  <c r="CX10" i="4"/>
  <c r="W10" i="4"/>
  <c r="AE10" i="4"/>
  <c r="AM10" i="4"/>
  <c r="AU10" i="4"/>
  <c r="BC10" i="4"/>
  <c r="BK10" i="4"/>
  <c r="BS10" i="4"/>
  <c r="CA10" i="4"/>
  <c r="CI10" i="4"/>
  <c r="CQ10" i="4"/>
  <c r="CY10" i="4"/>
  <c r="X10" i="4"/>
  <c r="Z10" i="4"/>
  <c r="AB10" i="4"/>
  <c r="AJ10" i="4"/>
  <c r="AR10" i="4"/>
  <c r="AZ10" i="4"/>
  <c r="BH10" i="4"/>
  <c r="BP10" i="4"/>
  <c r="BX10" i="4"/>
  <c r="AC10" i="4"/>
  <c r="AF10" i="4"/>
  <c r="AN10" i="4"/>
  <c r="AV10" i="4"/>
  <c r="BD10" i="4"/>
  <c r="BL10" i="4"/>
  <c r="BT10" i="4"/>
  <c r="CB10" i="4"/>
  <c r="AH10" i="4"/>
  <c r="AK10" i="4"/>
  <c r="AP10" i="4"/>
  <c r="AS10" i="4"/>
  <c r="BA10" i="4"/>
  <c r="AX10" i="4"/>
  <c r="BF10" i="4"/>
  <c r="BI10" i="4"/>
  <c r="BQ10" i="4"/>
  <c r="BY10" i="4"/>
  <c r="BN10" i="4"/>
  <c r="BV10" i="4"/>
  <c r="CD10" i="4"/>
  <c r="CT10" i="4"/>
  <c r="DH10" i="4"/>
  <c r="DP10" i="4"/>
  <c r="DX10" i="4"/>
  <c r="J11" i="4"/>
  <c r="CD12" i="4"/>
  <c r="R11" i="4"/>
  <c r="S11" i="4"/>
  <c r="AA11" i="4"/>
  <c r="AI11" i="4"/>
  <c r="T11" i="4"/>
  <c r="AB11" i="4"/>
  <c r="U11" i="4"/>
  <c r="V11" i="4"/>
  <c r="AD11" i="4"/>
  <c r="AL11" i="4"/>
  <c r="AT11" i="4"/>
  <c r="BB11" i="4"/>
  <c r="BJ11" i="4"/>
  <c r="BR11" i="4"/>
  <c r="BZ11" i="4"/>
  <c r="CH12" i="4"/>
  <c r="CP12" i="4"/>
  <c r="CX12" i="4"/>
  <c r="W11" i="4"/>
  <c r="AE11" i="4"/>
  <c r="AM11" i="4"/>
  <c r="AU11" i="4"/>
  <c r="BC11" i="4"/>
  <c r="BK11" i="4"/>
  <c r="BS11" i="4"/>
  <c r="CA11" i="4"/>
  <c r="CI12" i="4"/>
  <c r="CQ12" i="4"/>
  <c r="CY12" i="4"/>
  <c r="X11" i="4"/>
  <c r="AF11" i="4"/>
  <c r="AN11" i="4"/>
  <c r="AV11" i="4"/>
  <c r="BD11" i="4"/>
  <c r="BL11" i="4"/>
  <c r="BT11" i="4"/>
  <c r="CB11" i="4"/>
  <c r="CJ12" i="4"/>
  <c r="CR12" i="4"/>
  <c r="CZ12" i="4"/>
  <c r="DH95" i="4"/>
  <c r="DP95" i="4"/>
  <c r="DX95" i="4"/>
  <c r="EF95" i="4"/>
  <c r="Z11" i="4"/>
  <c r="AC11" i="4"/>
  <c r="AK11" i="4"/>
  <c r="AS11" i="4"/>
  <c r="BA11" i="4"/>
  <c r="BI11" i="4"/>
  <c r="BQ11" i="4"/>
  <c r="BY11" i="4"/>
  <c r="CG12" i="4"/>
  <c r="CO12" i="4"/>
  <c r="CW12" i="4"/>
  <c r="AH11" i="4"/>
  <c r="DB12" i="4"/>
  <c r="AJ11" i="4"/>
  <c r="AR11" i="4"/>
  <c r="AZ11" i="4"/>
  <c r="BH11" i="4"/>
  <c r="BP11" i="4"/>
  <c r="BX11" i="4"/>
  <c r="CF12" i="4"/>
  <c r="CN12" i="4"/>
  <c r="CV12" i="4"/>
  <c r="AP11" i="4"/>
  <c r="AX11" i="4"/>
  <c r="DR12" i="4"/>
  <c r="BF11" i="4"/>
  <c r="BN11" i="4"/>
  <c r="BV11" i="4"/>
  <c r="CD11" i="4"/>
  <c r="CT11" i="4"/>
  <c r="J12" i="4"/>
  <c r="CD13" i="4"/>
  <c r="R12" i="4"/>
  <c r="CL13" i="4"/>
  <c r="S12" i="4"/>
  <c r="AA12" i="4"/>
  <c r="T12" i="4"/>
  <c r="U12" i="4"/>
  <c r="AC12" i="4"/>
  <c r="AK12" i="4"/>
  <c r="AS12" i="4"/>
  <c r="BA12" i="4"/>
  <c r="BI12" i="4"/>
  <c r="BQ12" i="4"/>
  <c r="BY12" i="4"/>
  <c r="CG13" i="4"/>
  <c r="CO13" i="4"/>
  <c r="CW13" i="4"/>
  <c r="V12" i="4"/>
  <c r="AD12" i="4"/>
  <c r="AL12" i="4"/>
  <c r="AT12" i="4"/>
  <c r="BB12" i="4"/>
  <c r="BJ12" i="4"/>
  <c r="BR12" i="4"/>
  <c r="BZ12" i="4"/>
  <c r="CH13" i="4"/>
  <c r="CP13" i="4"/>
  <c r="CX13" i="4"/>
  <c r="W12" i="4"/>
  <c r="AE12" i="4"/>
  <c r="AM12" i="4"/>
  <c r="AU12" i="4"/>
  <c r="BC12" i="4"/>
  <c r="BK12" i="4"/>
  <c r="BS12" i="4"/>
  <c r="CA12" i="4"/>
  <c r="CI13" i="4"/>
  <c r="CQ13" i="4"/>
  <c r="CY13" i="4"/>
  <c r="X12" i="4"/>
  <c r="Z12" i="4"/>
  <c r="CT13" i="4"/>
  <c r="AB12" i="4"/>
  <c r="AJ12" i="4"/>
  <c r="AR12" i="4"/>
  <c r="AZ12" i="4"/>
  <c r="BH12" i="4"/>
  <c r="BP12" i="4"/>
  <c r="BX12" i="4"/>
  <c r="CF13" i="4"/>
  <c r="CN13" i="4"/>
  <c r="CV13" i="4"/>
  <c r="AF12" i="4"/>
  <c r="AN12" i="4"/>
  <c r="AV12" i="4"/>
  <c r="BD12" i="4"/>
  <c r="BL12" i="4"/>
  <c r="BT12" i="4"/>
  <c r="CB12" i="4"/>
  <c r="CJ13" i="4"/>
  <c r="CR13" i="4"/>
  <c r="CZ13" i="4"/>
  <c r="AH12" i="4"/>
  <c r="DB13" i="4"/>
  <c r="AI12" i="4"/>
  <c r="AQ12" i="4"/>
  <c r="AP12" i="4"/>
  <c r="AX12" i="4"/>
  <c r="AY12" i="4"/>
  <c r="BG12" i="4"/>
  <c r="BO12" i="4"/>
  <c r="BW12" i="4"/>
  <c r="CE13" i="4"/>
  <c r="CM13" i="4"/>
  <c r="CU13" i="4"/>
  <c r="BF12" i="4"/>
  <c r="BN12" i="4"/>
  <c r="BV12" i="4"/>
  <c r="CL12" i="4"/>
  <c r="CT12" i="4"/>
  <c r="DJ12" i="4"/>
  <c r="J13" i="4"/>
  <c r="CD14" i="4"/>
  <c r="R13" i="4"/>
  <c r="S13" i="4"/>
  <c r="T13" i="4"/>
  <c r="AB13" i="4"/>
  <c r="U13" i="4"/>
  <c r="AC13" i="4"/>
  <c r="AK13" i="4"/>
  <c r="AS13" i="4"/>
  <c r="BA13" i="4"/>
  <c r="BI13" i="4"/>
  <c r="BQ13" i="4"/>
  <c r="BY13" i="4"/>
  <c r="CG14" i="4"/>
  <c r="CO14" i="4"/>
  <c r="CW14" i="4"/>
  <c r="V13" i="4"/>
  <c r="W13" i="4"/>
  <c r="X13" i="4"/>
  <c r="AF13" i="4"/>
  <c r="AN13" i="4"/>
  <c r="AV13" i="4"/>
  <c r="BD13" i="4"/>
  <c r="BL13" i="4"/>
  <c r="BT13" i="4"/>
  <c r="CB13" i="4"/>
  <c r="CJ14" i="4"/>
  <c r="CR14" i="4"/>
  <c r="CZ14" i="4"/>
  <c r="Z13" i="4"/>
  <c r="CT14" i="4"/>
  <c r="AA13" i="4"/>
  <c r="AI13" i="4"/>
  <c r="AQ13" i="4"/>
  <c r="AY13" i="4"/>
  <c r="BG13" i="4"/>
  <c r="BO13" i="4"/>
  <c r="BW13" i="4"/>
  <c r="CE14" i="4"/>
  <c r="CM14" i="4"/>
  <c r="CU14" i="4"/>
  <c r="AD13" i="4"/>
  <c r="AL13" i="4"/>
  <c r="AT13" i="4"/>
  <c r="AE13" i="4"/>
  <c r="AM13" i="4"/>
  <c r="AU13" i="4"/>
  <c r="BC13" i="4"/>
  <c r="BK13" i="4"/>
  <c r="BS13" i="4"/>
  <c r="CA13" i="4"/>
  <c r="CI14" i="4"/>
  <c r="CQ14" i="4"/>
  <c r="CY14" i="4"/>
  <c r="AH13" i="4"/>
  <c r="DB14" i="4"/>
  <c r="AJ13" i="4"/>
  <c r="AR13" i="4"/>
  <c r="AZ13" i="4"/>
  <c r="BH13" i="4"/>
  <c r="BP13" i="4"/>
  <c r="BX13" i="4"/>
  <c r="CF14" i="4"/>
  <c r="CN14" i="4"/>
  <c r="CV14" i="4"/>
  <c r="AP13" i="4"/>
  <c r="AX13" i="4"/>
  <c r="BB13" i="4"/>
  <c r="BJ13" i="4"/>
  <c r="BR13" i="4"/>
  <c r="BZ13" i="4"/>
  <c r="CH14" i="4"/>
  <c r="CP14" i="4"/>
  <c r="CX14" i="4"/>
  <c r="BF13" i="4"/>
  <c r="BN13" i="4"/>
  <c r="BV13" i="4"/>
  <c r="DJ13" i="4"/>
  <c r="DR13" i="4"/>
  <c r="J14" i="4"/>
  <c r="CD15" i="4"/>
  <c r="R14" i="4"/>
  <c r="CL15" i="4"/>
  <c r="S14" i="4"/>
  <c r="AA14" i="4"/>
  <c r="AI14" i="4"/>
  <c r="AQ14" i="4"/>
  <c r="AY14" i="4"/>
  <c r="BG14" i="4"/>
  <c r="BO14" i="4"/>
  <c r="BW14" i="4"/>
  <c r="CE15" i="4"/>
  <c r="CM15" i="4"/>
  <c r="CU15" i="4"/>
  <c r="T14" i="4"/>
  <c r="AB14" i="4"/>
  <c r="AJ14" i="4"/>
  <c r="AR14" i="4"/>
  <c r="AZ14" i="4"/>
  <c r="BH14" i="4"/>
  <c r="BP14" i="4"/>
  <c r="BX14" i="4"/>
  <c r="CF15" i="4"/>
  <c r="CN15" i="4"/>
  <c r="CV15" i="4"/>
  <c r="U14" i="4"/>
  <c r="AC14" i="4"/>
  <c r="AK14" i="4"/>
  <c r="AS14" i="4"/>
  <c r="BA14" i="4"/>
  <c r="BI14" i="4"/>
  <c r="BQ14" i="4"/>
  <c r="BY14" i="4"/>
  <c r="CG15" i="4"/>
  <c r="V14" i="4"/>
  <c r="AD14" i="4"/>
  <c r="AL14" i="4"/>
  <c r="AT14" i="4"/>
  <c r="BB14" i="4"/>
  <c r="BJ14" i="4"/>
  <c r="BR14" i="4"/>
  <c r="BZ14" i="4"/>
  <c r="CH15" i="4"/>
  <c r="CP15" i="4"/>
  <c r="CX15" i="4"/>
  <c r="W14" i="4"/>
  <c r="AE14" i="4"/>
  <c r="AM14" i="4"/>
  <c r="AU14" i="4"/>
  <c r="BC14" i="4"/>
  <c r="BK14" i="4"/>
  <c r="BS14" i="4"/>
  <c r="CA14" i="4"/>
  <c r="CI15" i="4"/>
  <c r="CQ15" i="4"/>
  <c r="CY15" i="4"/>
  <c r="X14" i="4"/>
  <c r="AF14" i="4"/>
  <c r="AN14" i="4"/>
  <c r="Z14" i="4"/>
  <c r="AH14" i="4"/>
  <c r="AP14" i="4"/>
  <c r="DJ15" i="4"/>
  <c r="AX14" i="4"/>
  <c r="DR15" i="4"/>
  <c r="BF14" i="4"/>
  <c r="BN14" i="4"/>
  <c r="BV14" i="4"/>
  <c r="CL14" i="4"/>
  <c r="DJ14" i="4"/>
  <c r="DR14" i="4"/>
  <c r="J15" i="4"/>
  <c r="R15" i="4"/>
  <c r="S15" i="4"/>
  <c r="AA15" i="4"/>
  <c r="AI15" i="4"/>
  <c r="T15" i="4"/>
  <c r="U15" i="4"/>
  <c r="V15" i="4"/>
  <c r="AD15" i="4"/>
  <c r="AL15" i="4"/>
  <c r="W15" i="4"/>
  <c r="AE15" i="4"/>
  <c r="AM15" i="4"/>
  <c r="AU15" i="4"/>
  <c r="BC15" i="4"/>
  <c r="BK15" i="4"/>
  <c r="BS15" i="4"/>
  <c r="CA15" i="4"/>
  <c r="CI16" i="4"/>
  <c r="CQ16" i="4"/>
  <c r="CY16" i="4"/>
  <c r="X15" i="4"/>
  <c r="AF15" i="4"/>
  <c r="AN15" i="4"/>
  <c r="AV15" i="4"/>
  <c r="BD15" i="4"/>
  <c r="BL15" i="4"/>
  <c r="BT15" i="4"/>
  <c r="CB15" i="4"/>
  <c r="CJ16" i="4"/>
  <c r="CR16" i="4"/>
  <c r="CZ16" i="4"/>
  <c r="Z15" i="4"/>
  <c r="AB15" i="4"/>
  <c r="AJ15" i="4"/>
  <c r="AR15" i="4"/>
  <c r="AZ15" i="4"/>
  <c r="BH15" i="4"/>
  <c r="BP15" i="4"/>
  <c r="BX15" i="4"/>
  <c r="CF16" i="4"/>
  <c r="CN16" i="4"/>
  <c r="CV16" i="4"/>
  <c r="AC15" i="4"/>
  <c r="AK15" i="4"/>
  <c r="AS15" i="4"/>
  <c r="BA15" i="4"/>
  <c r="BI15" i="4"/>
  <c r="BQ15" i="4"/>
  <c r="BY15" i="4"/>
  <c r="CG16" i="4"/>
  <c r="CO16" i="4"/>
  <c r="CW16" i="4"/>
  <c r="AH15" i="4"/>
  <c r="DB16" i="4"/>
  <c r="AP15" i="4"/>
  <c r="DJ16" i="4"/>
  <c r="AT15" i="4"/>
  <c r="BB15" i="4"/>
  <c r="BJ15" i="4"/>
  <c r="BR15" i="4"/>
  <c r="BZ15" i="4"/>
  <c r="CH16" i="4"/>
  <c r="CP16" i="4"/>
  <c r="CX16" i="4"/>
  <c r="AX15" i="4"/>
  <c r="BF15" i="4"/>
  <c r="BN15" i="4"/>
  <c r="BV15" i="4"/>
  <c r="CO15" i="4"/>
  <c r="CW15" i="4"/>
  <c r="CT15" i="4"/>
  <c r="DB15" i="4"/>
  <c r="J16" i="4"/>
  <c r="CD17" i="4"/>
  <c r="R16" i="4"/>
  <c r="CL17" i="4"/>
  <c r="S16" i="4"/>
  <c r="T16" i="4"/>
  <c r="AB16" i="4"/>
  <c r="U16" i="4"/>
  <c r="AC16" i="4"/>
  <c r="AK16" i="4"/>
  <c r="AS16" i="4"/>
  <c r="BA16" i="4"/>
  <c r="BI16" i="4"/>
  <c r="BQ16" i="4"/>
  <c r="BY16" i="4"/>
  <c r="CG17" i="4"/>
  <c r="CO17" i="4"/>
  <c r="CW17" i="4"/>
  <c r="V16" i="4"/>
  <c r="AD16" i="4"/>
  <c r="W16" i="4"/>
  <c r="X16" i="4"/>
  <c r="AF16" i="4"/>
  <c r="AN16" i="4"/>
  <c r="Z16" i="4"/>
  <c r="CT17" i="4"/>
  <c r="AA16" i="4"/>
  <c r="AI16" i="4"/>
  <c r="AQ64" i="4"/>
  <c r="AE16" i="4"/>
  <c r="AM16" i="4"/>
  <c r="AU16" i="4"/>
  <c r="BC16" i="4"/>
  <c r="BK16" i="4"/>
  <c r="BS16" i="4"/>
  <c r="CA16" i="4"/>
  <c r="CI17" i="4"/>
  <c r="CQ17" i="4"/>
  <c r="CY17" i="4"/>
  <c r="AH16" i="4"/>
  <c r="AJ16" i="4"/>
  <c r="AR16" i="4"/>
  <c r="AZ16" i="4"/>
  <c r="BH16" i="4"/>
  <c r="BP16" i="4"/>
  <c r="BX16" i="4"/>
  <c r="CF17" i="4"/>
  <c r="CN17" i="4"/>
  <c r="CV17" i="4"/>
  <c r="AL16" i="4"/>
  <c r="AT16" i="4"/>
  <c r="BB16" i="4"/>
  <c r="BJ16" i="4"/>
  <c r="BR16" i="4"/>
  <c r="BZ16" i="4"/>
  <c r="CH17" i="4"/>
  <c r="CP17" i="4"/>
  <c r="CX17" i="4"/>
  <c r="AP16" i="4"/>
  <c r="AV16" i="4"/>
  <c r="BD16" i="4"/>
  <c r="BL16" i="4"/>
  <c r="BT16" i="4"/>
  <c r="CB16" i="4"/>
  <c r="CJ17" i="4"/>
  <c r="CR17" i="4"/>
  <c r="CZ17" i="4"/>
  <c r="AX16" i="4"/>
  <c r="DR17" i="4"/>
  <c r="BF16" i="4"/>
  <c r="BN16" i="4"/>
  <c r="BV16" i="4"/>
  <c r="CD16" i="4"/>
  <c r="CL16" i="4"/>
  <c r="CT16" i="4"/>
  <c r="DR16" i="4"/>
  <c r="J17" i="4"/>
  <c r="CD18" i="4"/>
  <c r="R17" i="4"/>
  <c r="S17" i="4"/>
  <c r="AA17" i="4"/>
  <c r="AI17" i="4"/>
  <c r="AQ17" i="4"/>
  <c r="AY17" i="4"/>
  <c r="BG17" i="4"/>
  <c r="BO17" i="4"/>
  <c r="BW17" i="4"/>
  <c r="CE18" i="4"/>
  <c r="CM18" i="4"/>
  <c r="CU18" i="4"/>
  <c r="DC18" i="4"/>
  <c r="DK18" i="4"/>
  <c r="DS18" i="4"/>
  <c r="T17" i="4"/>
  <c r="AB17" i="4"/>
  <c r="AJ17" i="4"/>
  <c r="AR17" i="4"/>
  <c r="AZ17" i="4"/>
  <c r="BH17" i="4"/>
  <c r="BP17" i="4"/>
  <c r="BX17" i="4"/>
  <c r="CF18" i="4"/>
  <c r="CN18" i="4"/>
  <c r="CV18" i="4"/>
  <c r="DD18" i="4"/>
  <c r="DL18" i="4"/>
  <c r="DT18" i="4"/>
  <c r="U17" i="4"/>
  <c r="AC17" i="4"/>
  <c r="AK17" i="4"/>
  <c r="AS17" i="4"/>
  <c r="BA17" i="4"/>
  <c r="BI17" i="4"/>
  <c r="BQ17" i="4"/>
  <c r="BY17" i="4"/>
  <c r="CG18" i="4"/>
  <c r="CO18" i="4"/>
  <c r="CW18" i="4"/>
  <c r="DE18" i="4"/>
  <c r="DM18" i="4"/>
  <c r="DU18" i="4"/>
  <c r="V17" i="4"/>
  <c r="AD17" i="4"/>
  <c r="AL17" i="4"/>
  <c r="AT17" i="4"/>
  <c r="BB17" i="4"/>
  <c r="BJ17" i="4"/>
  <c r="BR17" i="4"/>
  <c r="BZ17" i="4"/>
  <c r="CH18" i="4"/>
  <c r="CP18" i="4"/>
  <c r="CX18" i="4"/>
  <c r="DF18" i="4"/>
  <c r="DN18" i="4"/>
  <c r="DV18" i="4"/>
  <c r="W17" i="4"/>
  <c r="AE17" i="4"/>
  <c r="X17" i="4"/>
  <c r="Z17" i="4"/>
  <c r="CT18" i="4"/>
  <c r="AF17" i="4"/>
  <c r="AH17" i="4"/>
  <c r="DB18" i="4"/>
  <c r="AM17" i="4"/>
  <c r="AU17" i="4"/>
  <c r="BC17" i="4"/>
  <c r="AN17" i="4"/>
  <c r="AV17" i="4"/>
  <c r="BD17" i="4"/>
  <c r="BL17" i="4"/>
  <c r="BT17" i="4"/>
  <c r="CB17" i="4"/>
  <c r="CJ18" i="4"/>
  <c r="CR18" i="4"/>
  <c r="CZ18" i="4"/>
  <c r="DP18" i="4"/>
  <c r="DX18" i="4"/>
  <c r="AP17" i="4"/>
  <c r="DJ18" i="4"/>
  <c r="AX17" i="4"/>
  <c r="BF17" i="4"/>
  <c r="BK17" i="4"/>
  <c r="BS17" i="4"/>
  <c r="CA17" i="4"/>
  <c r="CI18" i="4"/>
  <c r="CQ18" i="4"/>
  <c r="CY18" i="4"/>
  <c r="DG18" i="4"/>
  <c r="DO18" i="4"/>
  <c r="DW18" i="4"/>
  <c r="BN17" i="4"/>
  <c r="BV17" i="4"/>
  <c r="DB17" i="4"/>
  <c r="DJ17" i="4"/>
  <c r="J18" i="4"/>
  <c r="R18" i="4"/>
  <c r="S18" i="4"/>
  <c r="AA18" i="4"/>
  <c r="AI18" i="4"/>
  <c r="AQ18" i="4"/>
  <c r="AY18" i="4"/>
  <c r="BG18" i="4"/>
  <c r="BO18" i="4"/>
  <c r="BW18" i="4"/>
  <c r="CE19" i="4"/>
  <c r="CM19" i="4"/>
  <c r="CU19" i="4"/>
  <c r="T18" i="4"/>
  <c r="AB18" i="4"/>
  <c r="AJ18" i="4"/>
  <c r="AR18" i="4"/>
  <c r="AZ18" i="4"/>
  <c r="BH18" i="4"/>
  <c r="BP18" i="4"/>
  <c r="BX18" i="4"/>
  <c r="CF19" i="4"/>
  <c r="CN19" i="4"/>
  <c r="CV19" i="4"/>
  <c r="U18" i="4"/>
  <c r="V18" i="4"/>
  <c r="AD18" i="4"/>
  <c r="W18" i="4"/>
  <c r="X18" i="4"/>
  <c r="AF18" i="4"/>
  <c r="AN18" i="4"/>
  <c r="AV18" i="4"/>
  <c r="BD18" i="4"/>
  <c r="BL18" i="4"/>
  <c r="BT18" i="4"/>
  <c r="CB18" i="4"/>
  <c r="CJ19" i="4"/>
  <c r="CR19" i="4"/>
  <c r="CZ19" i="4"/>
  <c r="Z18" i="4"/>
  <c r="AC18" i="4"/>
  <c r="AK18" i="4"/>
  <c r="AS18" i="4"/>
  <c r="BA18" i="4"/>
  <c r="BI18" i="4"/>
  <c r="BQ18" i="4"/>
  <c r="BY18" i="4"/>
  <c r="CG19" i="4"/>
  <c r="CO19" i="4"/>
  <c r="CW19" i="4"/>
  <c r="AE18" i="4"/>
  <c r="AM18" i="4"/>
  <c r="AU18" i="4"/>
  <c r="BC18" i="4"/>
  <c r="BK18" i="4"/>
  <c r="BS18" i="4"/>
  <c r="CA18" i="4"/>
  <c r="CI19" i="4"/>
  <c r="CQ19" i="4"/>
  <c r="CY19" i="4"/>
  <c r="AH18" i="4"/>
  <c r="AL18" i="4"/>
  <c r="AT18" i="4"/>
  <c r="AP18" i="4"/>
  <c r="DJ19" i="4"/>
  <c r="AX18" i="4"/>
  <c r="BB18" i="4"/>
  <c r="BJ18" i="4"/>
  <c r="BR18" i="4"/>
  <c r="BZ18" i="4"/>
  <c r="CH19" i="4"/>
  <c r="CP19" i="4"/>
  <c r="CX19" i="4"/>
  <c r="BF18" i="4"/>
  <c r="BN18" i="4"/>
  <c r="BV18" i="4"/>
  <c r="CL18" i="4"/>
  <c r="DR18" i="4"/>
  <c r="J19" i="4"/>
  <c r="CD20" i="4"/>
  <c r="R19" i="4"/>
  <c r="S19" i="4"/>
  <c r="AA19" i="4"/>
  <c r="AI19" i="4"/>
  <c r="T19" i="4"/>
  <c r="AB19" i="4"/>
  <c r="AJ19" i="4"/>
  <c r="AR19" i="4"/>
  <c r="AZ19" i="4"/>
  <c r="BH19" i="4"/>
  <c r="BP19" i="4"/>
  <c r="BX19" i="4"/>
  <c r="CF20" i="4"/>
  <c r="CN20" i="4"/>
  <c r="CV20" i="4"/>
  <c r="U19" i="4"/>
  <c r="AC19" i="4"/>
  <c r="AK19" i="4"/>
  <c r="AS19" i="4"/>
  <c r="BA19" i="4"/>
  <c r="BI19" i="4"/>
  <c r="BQ19" i="4"/>
  <c r="BY19" i="4"/>
  <c r="CG20" i="4"/>
  <c r="CO20" i="4"/>
  <c r="CW20" i="4"/>
  <c r="V19" i="4"/>
  <c r="W19" i="4"/>
  <c r="AE19" i="4"/>
  <c r="AM19" i="4"/>
  <c r="X19" i="4"/>
  <c r="AF19" i="4"/>
  <c r="AN19" i="4"/>
  <c r="AV19" i="4"/>
  <c r="BD19" i="4"/>
  <c r="BL19" i="4"/>
  <c r="BT19" i="4"/>
  <c r="CB19" i="4"/>
  <c r="CJ20" i="4"/>
  <c r="CR20" i="4"/>
  <c r="CZ20" i="4"/>
  <c r="Z19" i="4"/>
  <c r="AD19" i="4"/>
  <c r="AL19" i="4"/>
  <c r="AT19" i="4"/>
  <c r="BB19" i="4"/>
  <c r="BJ19" i="4"/>
  <c r="BR19" i="4"/>
  <c r="BZ19" i="4"/>
  <c r="CH20" i="4"/>
  <c r="CP20" i="4"/>
  <c r="CX20" i="4"/>
  <c r="AH19" i="4"/>
  <c r="DB20" i="4"/>
  <c r="AP19" i="4"/>
  <c r="AQ19" i="4"/>
  <c r="AY19" i="4"/>
  <c r="BG19" i="4"/>
  <c r="BO19" i="4"/>
  <c r="BW19" i="4"/>
  <c r="CE20" i="4"/>
  <c r="CM20" i="4"/>
  <c r="CU20" i="4"/>
  <c r="AU19" i="4"/>
  <c r="BC19" i="4"/>
  <c r="BK19" i="4"/>
  <c r="BS19" i="4"/>
  <c r="CA19" i="4"/>
  <c r="CI20" i="4"/>
  <c r="CQ20" i="4"/>
  <c r="CY20" i="4"/>
  <c r="AX19" i="4"/>
  <c r="DR20" i="4"/>
  <c r="BF19" i="4"/>
  <c r="BN19" i="4"/>
  <c r="BV19" i="4"/>
  <c r="CD19" i="4"/>
  <c r="CL19" i="4"/>
  <c r="CT19" i="4"/>
  <c r="DB19" i="4"/>
  <c r="DR19" i="4"/>
  <c r="B20" i="4"/>
  <c r="B42" i="4"/>
  <c r="C20" i="4"/>
  <c r="D20" i="4"/>
  <c r="E20" i="4"/>
  <c r="F20" i="4"/>
  <c r="G20" i="4"/>
  <c r="H20" i="4"/>
  <c r="CL20" i="4"/>
  <c r="CT20" i="4"/>
  <c r="DJ20" i="4"/>
  <c r="B22" i="4"/>
  <c r="Z22" i="4"/>
  <c r="AH22" i="4"/>
  <c r="AP22" i="4"/>
  <c r="AX22" i="4"/>
  <c r="BF22" i="4"/>
  <c r="BN22" i="4"/>
  <c r="BV22" i="4"/>
  <c r="CD22" i="4"/>
  <c r="CL22" i="4"/>
  <c r="CT22" i="4"/>
  <c r="DB22" i="4"/>
  <c r="DJ22" i="4"/>
  <c r="DR22" i="4"/>
  <c r="B23" i="4"/>
  <c r="C23" i="4"/>
  <c r="D23" i="4"/>
  <c r="E23" i="4"/>
  <c r="F23" i="4"/>
  <c r="G23" i="4"/>
  <c r="H23" i="4"/>
  <c r="T23" i="4"/>
  <c r="Z23" i="4"/>
  <c r="AB23" i="4"/>
  <c r="AB23" i="32"/>
  <c r="AH23" i="4"/>
  <c r="AJ23" i="4"/>
  <c r="AH31" i="4"/>
  <c r="AH32" i="4"/>
  <c r="C162" i="1"/>
  <c r="AP23" i="4"/>
  <c r="AR23" i="4"/>
  <c r="AP30" i="4"/>
  <c r="AX23" i="4"/>
  <c r="AZ23" i="4"/>
  <c r="AX30" i="4"/>
  <c r="BF23" i="4"/>
  <c r="BH23" i="4"/>
  <c r="BN23" i="4"/>
  <c r="BP23" i="4"/>
  <c r="BN31" i="4"/>
  <c r="BN32" i="4"/>
  <c r="C129" i="1"/>
  <c r="BV23" i="4"/>
  <c r="BX23" i="4"/>
  <c r="CD23" i="4"/>
  <c r="CF23" i="4"/>
  <c r="CL23" i="4"/>
  <c r="CN23" i="4"/>
  <c r="CT23" i="4"/>
  <c r="CV23" i="4"/>
  <c r="DB23" i="4"/>
  <c r="DD23" i="4"/>
  <c r="DB32" i="4"/>
  <c r="C134" i="1"/>
  <c r="DJ23" i="4"/>
  <c r="DL23" i="4"/>
  <c r="DJ32" i="4"/>
  <c r="DR23" i="4"/>
  <c r="DT23" i="4"/>
  <c r="DR32" i="4"/>
  <c r="B24" i="4"/>
  <c r="C24" i="4"/>
  <c r="C46" i="4"/>
  <c r="D24" i="4"/>
  <c r="D46" i="4"/>
  <c r="E24" i="4"/>
  <c r="E46" i="4"/>
  <c r="F24" i="4"/>
  <c r="F46" i="4"/>
  <c r="G24" i="4"/>
  <c r="G46" i="4"/>
  <c r="H24" i="4"/>
  <c r="H46" i="4"/>
  <c r="Z24" i="4"/>
  <c r="AH24" i="4"/>
  <c r="AP24" i="4"/>
  <c r="AX24" i="4"/>
  <c r="BF24" i="4"/>
  <c r="BN24" i="4"/>
  <c r="BV24" i="4"/>
  <c r="BX24" i="4"/>
  <c r="CD24" i="4"/>
  <c r="CF24" i="4"/>
  <c r="CL24" i="4"/>
  <c r="CN24" i="4"/>
  <c r="CT24" i="4"/>
  <c r="CV24" i="4"/>
  <c r="DB24" i="4"/>
  <c r="DD24" i="4"/>
  <c r="DJ24" i="4"/>
  <c r="DL24" i="4"/>
  <c r="DR24" i="4"/>
  <c r="DT24" i="4"/>
  <c r="B25" i="4"/>
  <c r="C25" i="4"/>
  <c r="C47" i="4"/>
  <c r="D25" i="4"/>
  <c r="D47" i="4"/>
  <c r="E25" i="4"/>
  <c r="E47" i="4"/>
  <c r="F25" i="4"/>
  <c r="F47" i="4"/>
  <c r="G25" i="4"/>
  <c r="G47" i="4"/>
  <c r="H25" i="4"/>
  <c r="H47" i="4"/>
  <c r="B26" i="4"/>
  <c r="C26" i="4"/>
  <c r="C48" i="4"/>
  <c r="D26" i="4"/>
  <c r="D48" i="4"/>
  <c r="E26" i="4"/>
  <c r="E48" i="4"/>
  <c r="F26" i="4"/>
  <c r="F48" i="4"/>
  <c r="G26" i="4"/>
  <c r="G48" i="4"/>
  <c r="H26" i="4"/>
  <c r="H48" i="4"/>
  <c r="AH26" i="4"/>
  <c r="AP26" i="4"/>
  <c r="AX26" i="4"/>
  <c r="BF26" i="4"/>
  <c r="BN26" i="4"/>
  <c r="BV26" i="4"/>
  <c r="CD26" i="4"/>
  <c r="CL26" i="4"/>
  <c r="CT26" i="4"/>
  <c r="DB26" i="4"/>
  <c r="G17" i="24"/>
  <c r="K24" i="13"/>
  <c r="DJ26" i="4"/>
  <c r="I19" i="24"/>
  <c r="M26" i="13"/>
  <c r="L125" i="13"/>
  <c r="DR26" i="4"/>
  <c r="O19" i="24"/>
  <c r="S26" i="13"/>
  <c r="L131" i="13"/>
  <c r="C27" i="4"/>
  <c r="C49" i="4"/>
  <c r="D27" i="4"/>
  <c r="D49" i="4"/>
  <c r="E27" i="4"/>
  <c r="E49" i="4"/>
  <c r="F27" i="4"/>
  <c r="F49" i="4"/>
  <c r="G27" i="4"/>
  <c r="G49" i="4"/>
  <c r="H27" i="4"/>
  <c r="H49" i="4"/>
  <c r="AH27" i="4"/>
  <c r="AP27" i="4"/>
  <c r="AX27" i="4"/>
  <c r="BF27" i="4"/>
  <c r="BN27" i="4"/>
  <c r="BV27" i="4"/>
  <c r="CD27" i="4"/>
  <c r="CL27" i="4"/>
  <c r="CT27" i="4"/>
  <c r="DB27" i="4"/>
  <c r="E30" i="24"/>
  <c r="E56" i="24"/>
  <c r="DJ27" i="4"/>
  <c r="DR27" i="4"/>
  <c r="AC30" i="24"/>
  <c r="B28" i="4"/>
  <c r="C28" i="4"/>
  <c r="C50" i="4"/>
  <c r="D28" i="4"/>
  <c r="D50" i="4"/>
  <c r="E28" i="4"/>
  <c r="E50" i="4"/>
  <c r="F28" i="4"/>
  <c r="F50" i="4"/>
  <c r="G28" i="4"/>
  <c r="G50" i="4"/>
  <c r="H28" i="4"/>
  <c r="H50" i="4"/>
  <c r="AH28" i="4"/>
  <c r="J57" i="22"/>
  <c r="AP28" i="4"/>
  <c r="J75" i="22"/>
  <c r="AX28" i="4"/>
  <c r="J93" i="22"/>
  <c r="BF28" i="4"/>
  <c r="J111" i="22"/>
  <c r="BN28" i="4"/>
  <c r="J129" i="22"/>
  <c r="BV28" i="4"/>
  <c r="J147" i="22"/>
  <c r="CD28" i="4"/>
  <c r="J165" i="22"/>
  <c r="CL28" i="4"/>
  <c r="J183" i="22"/>
  <c r="CT28" i="4"/>
  <c r="DB28" i="4"/>
  <c r="D68" i="24"/>
  <c r="DJ28" i="4"/>
  <c r="DR28" i="4"/>
  <c r="H69" i="24"/>
  <c r="B29" i="4"/>
  <c r="C29" i="4"/>
  <c r="C51" i="4"/>
  <c r="D29" i="4"/>
  <c r="D51" i="4"/>
  <c r="E29" i="4"/>
  <c r="E51" i="4"/>
  <c r="F29" i="4"/>
  <c r="F51" i="4"/>
  <c r="G29" i="4"/>
  <c r="G51" i="4"/>
  <c r="H29" i="4"/>
  <c r="H51" i="4"/>
  <c r="AP29" i="4"/>
  <c r="AX29" i="4"/>
  <c r="BF29" i="4"/>
  <c r="BN29" i="4"/>
  <c r="BV29" i="4"/>
  <c r="CD29" i="4"/>
  <c r="CL29" i="4"/>
  <c r="CT29" i="4"/>
  <c r="DB29" i="4"/>
  <c r="DJ29" i="4"/>
  <c r="DR29" i="4"/>
  <c r="B30" i="4"/>
  <c r="C30" i="4"/>
  <c r="C52" i="4"/>
  <c r="D30" i="4"/>
  <c r="D52" i="4"/>
  <c r="E30" i="4"/>
  <c r="E52" i="4"/>
  <c r="F30" i="4"/>
  <c r="F52" i="4"/>
  <c r="G30" i="4"/>
  <c r="G52" i="4"/>
  <c r="H30" i="4"/>
  <c r="H52" i="4"/>
  <c r="AH30" i="4"/>
  <c r="BN30" i="4"/>
  <c r="CT30" i="4"/>
  <c r="B31" i="4"/>
  <c r="C31" i="4"/>
  <c r="C53" i="4"/>
  <c r="D31" i="4"/>
  <c r="D53" i="4"/>
  <c r="E31" i="4"/>
  <c r="E53" i="4"/>
  <c r="F31" i="4"/>
  <c r="F53" i="4"/>
  <c r="G31" i="4"/>
  <c r="G53" i="4"/>
  <c r="H31" i="4"/>
  <c r="H53" i="4"/>
  <c r="AP31" i="4"/>
  <c r="CT31" i="4"/>
  <c r="CT32" i="4"/>
  <c r="B32" i="4"/>
  <c r="C32" i="4"/>
  <c r="C54" i="4"/>
  <c r="D32" i="4"/>
  <c r="D54" i="4"/>
  <c r="E32" i="4"/>
  <c r="E54" i="4"/>
  <c r="F32" i="4"/>
  <c r="F54" i="4"/>
  <c r="G32" i="4"/>
  <c r="G54" i="4"/>
  <c r="H32" i="4"/>
  <c r="H54" i="4"/>
  <c r="B33" i="4"/>
  <c r="C33" i="4"/>
  <c r="D33" i="4"/>
  <c r="E33" i="4"/>
  <c r="F33" i="4"/>
  <c r="G33" i="4"/>
  <c r="H33" i="4"/>
  <c r="B34" i="4"/>
  <c r="C34" i="4"/>
  <c r="D34" i="4"/>
  <c r="E34" i="4"/>
  <c r="F34" i="4"/>
  <c r="G34" i="4"/>
  <c r="H34" i="4"/>
  <c r="B35" i="4"/>
  <c r="C35" i="4"/>
  <c r="D35" i="4"/>
  <c r="E35" i="4"/>
  <c r="F35" i="4"/>
  <c r="G35" i="4"/>
  <c r="H35" i="4"/>
  <c r="AP35" i="4"/>
  <c r="AX35" i="4"/>
  <c r="BF35" i="4"/>
  <c r="BN35" i="4"/>
  <c r="BV35" i="4"/>
  <c r="CD35" i="4"/>
  <c r="CL35" i="4"/>
  <c r="CT35" i="4"/>
  <c r="B36" i="4"/>
  <c r="C36" i="4"/>
  <c r="D36" i="4"/>
  <c r="E36" i="4"/>
  <c r="F36" i="4"/>
  <c r="G36" i="4"/>
  <c r="H36" i="4"/>
  <c r="AP36" i="4"/>
  <c r="AR36" i="4"/>
  <c r="AX36" i="4"/>
  <c r="AZ36" i="4"/>
  <c r="AX43" i="4"/>
  <c r="BF36" i="4"/>
  <c r="BH36" i="4"/>
  <c r="BF44" i="4"/>
  <c r="BF45" i="4"/>
  <c r="BN36" i="4"/>
  <c r="BP36" i="4"/>
  <c r="BN44" i="4"/>
  <c r="BN45" i="4"/>
  <c r="C166" i="1"/>
  <c r="BV36" i="4"/>
  <c r="BX36" i="4"/>
  <c r="BV43" i="4"/>
  <c r="CD36" i="4"/>
  <c r="CF36" i="4"/>
  <c r="CL36" i="4"/>
  <c r="CN36" i="4"/>
  <c r="CT36" i="4"/>
  <c r="CV36" i="4"/>
  <c r="B37" i="4"/>
  <c r="C37" i="4"/>
  <c r="D37" i="4"/>
  <c r="E37" i="4"/>
  <c r="F37" i="4"/>
  <c r="G37" i="4"/>
  <c r="H37" i="4"/>
  <c r="AP37" i="4"/>
  <c r="AX37" i="4"/>
  <c r="BF37" i="4"/>
  <c r="BN37" i="4"/>
  <c r="BV37" i="4"/>
  <c r="BX37" i="4"/>
  <c r="CD37" i="4"/>
  <c r="CF37" i="4"/>
  <c r="CL37" i="4"/>
  <c r="CN37" i="4"/>
  <c r="CT37" i="4"/>
  <c r="CV37" i="4"/>
  <c r="B38" i="4"/>
  <c r="C38" i="4"/>
  <c r="D38" i="4"/>
  <c r="E38" i="4"/>
  <c r="F38" i="4"/>
  <c r="G38" i="4"/>
  <c r="H38" i="4"/>
  <c r="B39" i="4"/>
  <c r="C39" i="4"/>
  <c r="D39" i="4"/>
  <c r="E39" i="4"/>
  <c r="F39" i="4"/>
  <c r="G39" i="4"/>
  <c r="H39" i="4"/>
  <c r="AP39" i="4"/>
  <c r="AX39" i="4"/>
  <c r="BF39" i="4"/>
  <c r="BN39" i="4"/>
  <c r="BV39" i="4"/>
  <c r="CD39" i="4"/>
  <c r="CL39" i="4"/>
  <c r="CT39" i="4"/>
  <c r="B40" i="4"/>
  <c r="C40" i="4"/>
  <c r="D40" i="4"/>
  <c r="E40" i="4"/>
  <c r="F40" i="4"/>
  <c r="G40" i="4"/>
  <c r="H40" i="4"/>
  <c r="AP40" i="4"/>
  <c r="AX40" i="4"/>
  <c r="BF40" i="4"/>
  <c r="BN40" i="4"/>
  <c r="BV40" i="4"/>
  <c r="CD40" i="4"/>
  <c r="CL40" i="4"/>
  <c r="CT40" i="4"/>
  <c r="B41" i="4"/>
  <c r="C41" i="4"/>
  <c r="D41" i="4"/>
  <c r="E41" i="4"/>
  <c r="F41" i="4"/>
  <c r="G41" i="4"/>
  <c r="H41" i="4"/>
  <c r="AP41" i="4"/>
  <c r="N75" i="22"/>
  <c r="AX41" i="4"/>
  <c r="N93" i="22"/>
  <c r="BF41" i="4"/>
  <c r="N111" i="22"/>
  <c r="BN41" i="4"/>
  <c r="N129" i="22"/>
  <c r="BV41" i="4"/>
  <c r="N147" i="22"/>
  <c r="CD41" i="4"/>
  <c r="CL41" i="4"/>
  <c r="CT41" i="4"/>
  <c r="C42" i="4"/>
  <c r="D42" i="4"/>
  <c r="E42" i="4"/>
  <c r="F42" i="4"/>
  <c r="G42" i="4"/>
  <c r="H42" i="4"/>
  <c r="AP42" i="4"/>
  <c r="AX42" i="4"/>
  <c r="BF42" i="4"/>
  <c r="BN42" i="4"/>
  <c r="BV42" i="4"/>
  <c r="CD42" i="4"/>
  <c r="CL42" i="4"/>
  <c r="CT42" i="4"/>
  <c r="AP43" i="4"/>
  <c r="BF43" i="4"/>
  <c r="BN43" i="4"/>
  <c r="CL43" i="4"/>
  <c r="CT43" i="4"/>
  <c r="B44" i="4"/>
  <c r="C44" i="4"/>
  <c r="AP44" i="4"/>
  <c r="AP45" i="4"/>
  <c r="AX44" i="4"/>
  <c r="BV44" i="4"/>
  <c r="CL44" i="4"/>
  <c r="CL45" i="4"/>
  <c r="C169" i="1"/>
  <c r="CT44" i="4"/>
  <c r="CT45" i="4"/>
  <c r="B45" i="4"/>
  <c r="B68" i="4"/>
  <c r="C45" i="4"/>
  <c r="D45" i="4"/>
  <c r="D68" i="4"/>
  <c r="E45" i="4"/>
  <c r="E68" i="4"/>
  <c r="F45" i="4"/>
  <c r="F68" i="4"/>
  <c r="G45" i="4"/>
  <c r="H45" i="4"/>
  <c r="AX45" i="4"/>
  <c r="BV45" i="4"/>
  <c r="DB45" i="4"/>
  <c r="C171" i="1"/>
  <c r="B46" i="4"/>
  <c r="B47" i="4"/>
  <c r="B70" i="4"/>
  <c r="B48" i="4"/>
  <c r="B49" i="4"/>
  <c r="AO49" i="4"/>
  <c r="AP49" i="4"/>
  <c r="AQ49" i="4"/>
  <c r="AR49" i="4"/>
  <c r="AZ49" i="4"/>
  <c r="BP49" i="4"/>
  <c r="AT49" i="4"/>
  <c r="BJ49" i="4"/>
  <c r="AU49" i="4"/>
  <c r="AV49" i="4"/>
  <c r="AX49" i="4"/>
  <c r="BB49" i="4"/>
  <c r="BR49" i="4"/>
  <c r="BC49" i="4"/>
  <c r="BS49" i="4"/>
  <c r="BF49" i="4"/>
  <c r="BK49" i="4"/>
  <c r="CA49" i="4"/>
  <c r="CI49" i="4"/>
  <c r="CQ49" i="4"/>
  <c r="CY49" i="4"/>
  <c r="BN49" i="4"/>
  <c r="BV49" i="4"/>
  <c r="BZ49" i="4"/>
  <c r="CH49" i="4"/>
  <c r="CP49" i="4"/>
  <c r="CX49" i="4"/>
  <c r="B50" i="4"/>
  <c r="AQ50" i="4"/>
  <c r="AY50" i="4"/>
  <c r="BG50" i="4"/>
  <c r="BO50" i="4"/>
  <c r="BW50" i="4"/>
  <c r="CE50" i="4"/>
  <c r="AR50" i="4"/>
  <c r="AZ50" i="4"/>
  <c r="BH50" i="4"/>
  <c r="BP50" i="4"/>
  <c r="BX50" i="4"/>
  <c r="CF50" i="4"/>
  <c r="AS50" i="4"/>
  <c r="BA50" i="4"/>
  <c r="BI50" i="4"/>
  <c r="BQ50" i="4"/>
  <c r="BY50" i="4"/>
  <c r="CG50" i="4"/>
  <c r="AU50" i="4"/>
  <c r="BC50" i="4"/>
  <c r="AV50" i="4"/>
  <c r="BD50" i="4"/>
  <c r="BL50" i="4"/>
  <c r="BT50" i="4"/>
  <c r="CB50" i="4"/>
  <c r="CJ50" i="4"/>
  <c r="BK50" i="4"/>
  <c r="BS50" i="4"/>
  <c r="CA50" i="4"/>
  <c r="CI50" i="4"/>
  <c r="B51" i="4"/>
  <c r="AP51" i="4"/>
  <c r="AX51" i="4"/>
  <c r="BN51" i="4"/>
  <c r="AQ51" i="4"/>
  <c r="AY51" i="4"/>
  <c r="BG51" i="4"/>
  <c r="BO51" i="4"/>
  <c r="BW51" i="4"/>
  <c r="CE51" i="4"/>
  <c r="AR51" i="4"/>
  <c r="AZ51" i="4"/>
  <c r="BH51" i="4"/>
  <c r="BP51" i="4"/>
  <c r="BX51" i="4"/>
  <c r="CF51" i="4"/>
  <c r="AT51" i="4"/>
  <c r="BB51" i="4"/>
  <c r="BJ51" i="4"/>
  <c r="BR51" i="4"/>
  <c r="BZ51" i="4"/>
  <c r="CH51" i="4"/>
  <c r="AU51" i="4"/>
  <c r="BC51" i="4"/>
  <c r="BK51" i="4"/>
  <c r="BS51" i="4"/>
  <c r="CA51" i="4"/>
  <c r="CI51" i="4"/>
  <c r="BF51" i="4"/>
  <c r="BV51" i="4"/>
  <c r="CD51" i="4"/>
  <c r="CL51" i="4"/>
  <c r="CT51" i="4"/>
  <c r="CZ51" i="4"/>
  <c r="B52" i="4"/>
  <c r="B75" i="4"/>
  <c r="AR52" i="4"/>
  <c r="AZ52" i="4"/>
  <c r="BH52" i="4"/>
  <c r="BP52" i="4"/>
  <c r="BX52" i="4"/>
  <c r="CF52" i="4"/>
  <c r="AS52" i="4"/>
  <c r="AT52" i="4"/>
  <c r="BB52" i="4"/>
  <c r="BJ52" i="4"/>
  <c r="BR52" i="4"/>
  <c r="BZ52" i="4"/>
  <c r="CH52" i="4"/>
  <c r="AV52" i="4"/>
  <c r="BD52" i="4"/>
  <c r="BL52" i="4"/>
  <c r="BT52" i="4"/>
  <c r="CB52" i="4"/>
  <c r="CJ52" i="4"/>
  <c r="BA52" i="4"/>
  <c r="BI52" i="4"/>
  <c r="BQ52" i="4"/>
  <c r="BY52" i="4"/>
  <c r="CG52" i="4"/>
  <c r="CZ52" i="4"/>
  <c r="B53" i="4"/>
  <c r="B76" i="4"/>
  <c r="AP53" i="4"/>
  <c r="AX53" i="4"/>
  <c r="BN53" i="4"/>
  <c r="AQ53" i="4"/>
  <c r="AY53" i="4"/>
  <c r="BG53" i="4"/>
  <c r="BO53" i="4"/>
  <c r="BW53" i="4"/>
  <c r="AR53" i="4"/>
  <c r="AZ53" i="4"/>
  <c r="AV53" i="4"/>
  <c r="BD53" i="4"/>
  <c r="BH53" i="4"/>
  <c r="BP53" i="4"/>
  <c r="BX53" i="4"/>
  <c r="CE53" i="4"/>
  <c r="BL53" i="4"/>
  <c r="BT53" i="4"/>
  <c r="CB53" i="4"/>
  <c r="CI53" i="4"/>
  <c r="CZ53" i="4"/>
  <c r="B54" i="4"/>
  <c r="AP54" i="4"/>
  <c r="AX54" i="4"/>
  <c r="BN54" i="4"/>
  <c r="AQ54" i="4"/>
  <c r="AY54" i="4"/>
  <c r="BG54" i="4"/>
  <c r="BO54" i="4"/>
  <c r="BW54" i="4"/>
  <c r="CE54" i="4"/>
  <c r="AS54" i="4"/>
  <c r="AT54" i="4"/>
  <c r="BB54" i="4"/>
  <c r="BJ54" i="4"/>
  <c r="BR54" i="4"/>
  <c r="BZ54" i="4"/>
  <c r="CH54" i="4"/>
  <c r="AU54" i="4"/>
  <c r="BC54" i="4"/>
  <c r="BK54" i="4"/>
  <c r="BS54" i="4"/>
  <c r="CA54" i="4"/>
  <c r="CI54" i="4"/>
  <c r="BA54" i="4"/>
  <c r="BI54" i="4"/>
  <c r="BQ54" i="4"/>
  <c r="BY54" i="4"/>
  <c r="CG54" i="4"/>
  <c r="CZ54" i="4"/>
  <c r="B55" i="4"/>
  <c r="C55" i="4"/>
  <c r="D55" i="4"/>
  <c r="E55" i="4"/>
  <c r="F55" i="4"/>
  <c r="G55" i="4"/>
  <c r="H55" i="4"/>
  <c r="AP55" i="4"/>
  <c r="AX55" i="4"/>
  <c r="BN55" i="4"/>
  <c r="AQ55" i="4"/>
  <c r="AY55" i="4"/>
  <c r="BG55" i="4"/>
  <c r="BO55" i="4"/>
  <c r="BW55" i="4"/>
  <c r="CE55" i="4"/>
  <c r="AR55" i="4"/>
  <c r="AZ55" i="4"/>
  <c r="BH55" i="4"/>
  <c r="BP55" i="4"/>
  <c r="BX55" i="4"/>
  <c r="CF55" i="4"/>
  <c r="AS55" i="4"/>
  <c r="AT55" i="4"/>
  <c r="BB55" i="4"/>
  <c r="BJ55" i="4"/>
  <c r="BR55" i="4"/>
  <c r="BZ55" i="4"/>
  <c r="CH55" i="4"/>
  <c r="AU55" i="4"/>
  <c r="BC55" i="4"/>
  <c r="BK55" i="4"/>
  <c r="BS55" i="4"/>
  <c r="CA55" i="4"/>
  <c r="CI55" i="4"/>
  <c r="AV55" i="4"/>
  <c r="BD55" i="4"/>
  <c r="BL55" i="4"/>
  <c r="BT55" i="4"/>
  <c r="CB55" i="4"/>
  <c r="CJ55" i="4"/>
  <c r="BA55" i="4"/>
  <c r="BI55" i="4"/>
  <c r="BQ55" i="4"/>
  <c r="BY55" i="4"/>
  <c r="CG55" i="4"/>
  <c r="BF55" i="4"/>
  <c r="BV55" i="4"/>
  <c r="CD55" i="4"/>
  <c r="CL55" i="4"/>
  <c r="CT55" i="4"/>
  <c r="CZ55" i="4"/>
  <c r="B56" i="4"/>
  <c r="B79" i="4"/>
  <c r="C56" i="4"/>
  <c r="D56" i="4"/>
  <c r="E56" i="4"/>
  <c r="F56" i="4"/>
  <c r="G56" i="4"/>
  <c r="H56" i="4"/>
  <c r="AP56" i="4"/>
  <c r="AX56" i="4"/>
  <c r="BN56" i="4"/>
  <c r="AQ56" i="4"/>
  <c r="AY56" i="4"/>
  <c r="BG56" i="4"/>
  <c r="BO56" i="4"/>
  <c r="BW56" i="4"/>
  <c r="CE56" i="4"/>
  <c r="AR56" i="4"/>
  <c r="AZ56" i="4"/>
  <c r="BH56" i="4"/>
  <c r="BP56" i="4"/>
  <c r="BX56" i="4"/>
  <c r="CF56" i="4"/>
  <c r="AS56" i="4"/>
  <c r="AT56" i="4"/>
  <c r="BB56" i="4"/>
  <c r="BJ56" i="4"/>
  <c r="BR56" i="4"/>
  <c r="BZ56" i="4"/>
  <c r="CH56" i="4"/>
  <c r="AU56" i="4"/>
  <c r="BC56" i="4"/>
  <c r="BK56" i="4"/>
  <c r="BS56" i="4"/>
  <c r="CA56" i="4"/>
  <c r="CI56" i="4"/>
  <c r="AV56" i="4"/>
  <c r="BD56" i="4"/>
  <c r="BL56" i="4"/>
  <c r="BT56" i="4"/>
  <c r="CB56" i="4"/>
  <c r="CJ56" i="4"/>
  <c r="BA56" i="4"/>
  <c r="BI56" i="4"/>
  <c r="BQ56" i="4"/>
  <c r="BY56" i="4"/>
  <c r="CG56" i="4"/>
  <c r="BF56" i="4"/>
  <c r="BV56" i="4"/>
  <c r="CD56" i="4"/>
  <c r="CL56" i="4"/>
  <c r="CT56" i="4"/>
  <c r="CZ56" i="4"/>
  <c r="B57" i="4"/>
  <c r="B80" i="4"/>
  <c r="C57" i="4"/>
  <c r="D57" i="4"/>
  <c r="E57" i="4"/>
  <c r="F57" i="4"/>
  <c r="G57" i="4"/>
  <c r="H57" i="4"/>
  <c r="AP57" i="4"/>
  <c r="AX57" i="4"/>
  <c r="BN57" i="4"/>
  <c r="AQ57" i="4"/>
  <c r="AY57" i="4"/>
  <c r="BG57" i="4"/>
  <c r="BO57" i="4"/>
  <c r="BW57" i="4"/>
  <c r="CE57" i="4"/>
  <c r="AR57" i="4"/>
  <c r="AZ57" i="4"/>
  <c r="BH57" i="4"/>
  <c r="BP57" i="4"/>
  <c r="BX57" i="4"/>
  <c r="CF57" i="4"/>
  <c r="AS57" i="4"/>
  <c r="AU57" i="4"/>
  <c r="BC57" i="4"/>
  <c r="BK57" i="4"/>
  <c r="BS57" i="4"/>
  <c r="CA57" i="4"/>
  <c r="CI57" i="4"/>
  <c r="AV57" i="4"/>
  <c r="BD57" i="4"/>
  <c r="BL57" i="4"/>
  <c r="BT57" i="4"/>
  <c r="CB57" i="4"/>
  <c r="CJ57" i="4"/>
  <c r="BA57" i="4"/>
  <c r="BI57" i="4"/>
  <c r="BQ57" i="4"/>
  <c r="BY57" i="4"/>
  <c r="CG57" i="4"/>
  <c r="BF57" i="4"/>
  <c r="BV57" i="4"/>
  <c r="CD57" i="4"/>
  <c r="CL57" i="4"/>
  <c r="CT57" i="4"/>
  <c r="CZ57" i="4"/>
  <c r="B58" i="4"/>
  <c r="C58" i="4"/>
  <c r="D58" i="4"/>
  <c r="E58" i="4"/>
  <c r="F58" i="4"/>
  <c r="G58" i="4"/>
  <c r="H58" i="4"/>
  <c r="AP58" i="4"/>
  <c r="AX58" i="4"/>
  <c r="BN58" i="4"/>
  <c r="AR58" i="4"/>
  <c r="AZ58" i="4"/>
  <c r="BH58" i="4"/>
  <c r="BP58" i="4"/>
  <c r="BX58" i="4"/>
  <c r="CF58" i="4"/>
  <c r="AS58" i="4"/>
  <c r="AU58" i="4"/>
  <c r="BC58" i="4"/>
  <c r="BK58" i="4"/>
  <c r="BS58" i="4"/>
  <c r="AV58" i="4"/>
  <c r="BD58" i="4"/>
  <c r="BL58" i="4"/>
  <c r="BT58" i="4"/>
  <c r="CB58" i="4"/>
  <c r="CJ58" i="4"/>
  <c r="BA58" i="4"/>
  <c r="BI58" i="4"/>
  <c r="BQ58" i="4"/>
  <c r="BY58" i="4"/>
  <c r="CG58" i="4"/>
  <c r="BF58" i="4"/>
  <c r="BV58" i="4"/>
  <c r="BU58" i="4"/>
  <c r="CZ58" i="4"/>
  <c r="B59" i="4"/>
  <c r="B82" i="4"/>
  <c r="C59" i="4"/>
  <c r="D59" i="4"/>
  <c r="E59" i="4"/>
  <c r="F59" i="4"/>
  <c r="G59" i="4"/>
  <c r="H59" i="4"/>
  <c r="AP59" i="4"/>
  <c r="BF59" i="4"/>
  <c r="BV59" i="4"/>
  <c r="CD60" i="4"/>
  <c r="CL60" i="4"/>
  <c r="CT60" i="4"/>
  <c r="AR59" i="4"/>
  <c r="AZ59" i="4"/>
  <c r="BH59" i="4"/>
  <c r="BP59" i="4"/>
  <c r="BX59" i="4"/>
  <c r="CF60" i="4"/>
  <c r="AS59" i="4"/>
  <c r="BA59" i="4"/>
  <c r="BI59" i="4"/>
  <c r="BQ59" i="4"/>
  <c r="AT59" i="4"/>
  <c r="BB59" i="4"/>
  <c r="BJ59" i="4"/>
  <c r="BR59" i="4"/>
  <c r="AU59" i="4"/>
  <c r="BC59" i="4"/>
  <c r="BK59" i="4"/>
  <c r="BS59" i="4"/>
  <c r="CA59" i="4"/>
  <c r="CI60" i="4"/>
  <c r="AV59" i="4"/>
  <c r="BD59" i="4"/>
  <c r="BL59" i="4"/>
  <c r="BT59" i="4"/>
  <c r="CB59" i="4"/>
  <c r="CJ60" i="4"/>
  <c r="BU59" i="4"/>
  <c r="CR59" i="4"/>
  <c r="CZ59" i="4"/>
  <c r="DH59" i="4"/>
  <c r="DP59" i="4"/>
  <c r="B60" i="4"/>
  <c r="C60" i="4"/>
  <c r="D60" i="4"/>
  <c r="E60" i="4"/>
  <c r="F60" i="4"/>
  <c r="G60" i="4"/>
  <c r="H60" i="4"/>
  <c r="AP60" i="4"/>
  <c r="BF60" i="4"/>
  <c r="BV60" i="4"/>
  <c r="CD61" i="4"/>
  <c r="CL61" i="4"/>
  <c r="CT61" i="4"/>
  <c r="AR60" i="4"/>
  <c r="AZ60" i="4"/>
  <c r="BH60" i="4"/>
  <c r="BP60" i="4"/>
  <c r="AT60" i="4"/>
  <c r="BB60" i="4"/>
  <c r="BJ60" i="4"/>
  <c r="BR60" i="4"/>
  <c r="BZ60" i="4"/>
  <c r="CH61" i="4"/>
  <c r="AU60" i="4"/>
  <c r="AV60" i="4"/>
  <c r="BD60" i="4"/>
  <c r="BL60" i="4"/>
  <c r="BT60" i="4"/>
  <c r="BC60" i="4"/>
  <c r="BK60" i="4"/>
  <c r="BS60" i="4"/>
  <c r="CA60" i="4"/>
  <c r="CI61" i="4"/>
  <c r="BU60" i="4"/>
  <c r="B61" i="4"/>
  <c r="B84" i="4"/>
  <c r="C61" i="4"/>
  <c r="D61" i="4"/>
  <c r="E61" i="4"/>
  <c r="F61" i="4"/>
  <c r="G61" i="4"/>
  <c r="H61" i="4"/>
  <c r="AP61" i="4"/>
  <c r="BF61" i="4"/>
  <c r="BV61" i="4"/>
  <c r="CD62" i="4"/>
  <c r="CL62" i="4"/>
  <c r="CT62" i="4"/>
  <c r="AR61" i="4"/>
  <c r="AS61" i="4"/>
  <c r="BA61" i="4"/>
  <c r="BI61" i="4"/>
  <c r="BQ61" i="4"/>
  <c r="BY61" i="4"/>
  <c r="CG62" i="4"/>
  <c r="AT61" i="4"/>
  <c r="BB61" i="4"/>
  <c r="BJ61" i="4"/>
  <c r="BR61" i="4"/>
  <c r="BZ61" i="4"/>
  <c r="CH62" i="4"/>
  <c r="AU61" i="4"/>
  <c r="BC61" i="4"/>
  <c r="BK61" i="4"/>
  <c r="BS61" i="4"/>
  <c r="AV61" i="4"/>
  <c r="AZ61" i="4"/>
  <c r="BH61" i="4"/>
  <c r="BP61" i="4"/>
  <c r="BX61" i="4"/>
  <c r="CF62" i="4"/>
  <c r="BD61" i="4"/>
  <c r="BL61" i="4"/>
  <c r="BT61" i="4"/>
  <c r="CB61" i="4"/>
  <c r="CJ62" i="4"/>
  <c r="BU61" i="4"/>
  <c r="B62" i="4"/>
  <c r="B85" i="4"/>
  <c r="C62" i="4"/>
  <c r="D62" i="4"/>
  <c r="E62" i="4"/>
  <c r="F62" i="4"/>
  <c r="G62" i="4"/>
  <c r="H62" i="4"/>
  <c r="AP62" i="4"/>
  <c r="AX62" i="4"/>
  <c r="BN62" i="4"/>
  <c r="AS62" i="4"/>
  <c r="BA62" i="4"/>
  <c r="BI62" i="4"/>
  <c r="BQ62" i="4"/>
  <c r="BY62" i="4"/>
  <c r="CG63" i="4"/>
  <c r="AU62" i="4"/>
  <c r="BC62" i="4"/>
  <c r="BK62" i="4"/>
  <c r="BS62" i="4"/>
  <c r="BF62" i="4"/>
  <c r="BV62" i="4"/>
  <c r="CD63" i="4"/>
  <c r="CL63" i="4"/>
  <c r="CT63" i="4"/>
  <c r="BU62" i="4"/>
  <c r="B63" i="4"/>
  <c r="C63" i="4"/>
  <c r="D63" i="4"/>
  <c r="E63" i="4"/>
  <c r="F63" i="4"/>
  <c r="G63" i="4"/>
  <c r="H63" i="4"/>
  <c r="AP63" i="4"/>
  <c r="BF63" i="4"/>
  <c r="BV63" i="4"/>
  <c r="CD64" i="4"/>
  <c r="CL64" i="4"/>
  <c r="CT64" i="4"/>
  <c r="AR63" i="4"/>
  <c r="AZ63" i="4"/>
  <c r="BH63" i="4"/>
  <c r="BP63" i="4"/>
  <c r="AS63" i="4"/>
  <c r="BA63" i="4"/>
  <c r="BI63" i="4"/>
  <c r="BQ63" i="4"/>
  <c r="BY63" i="4"/>
  <c r="CG64" i="4"/>
  <c r="AT63" i="4"/>
  <c r="AV63" i="4"/>
  <c r="BD63" i="4"/>
  <c r="BL63" i="4"/>
  <c r="BT63" i="4"/>
  <c r="AX63" i="4"/>
  <c r="BN63" i="4"/>
  <c r="BB63" i="4"/>
  <c r="BJ63" i="4"/>
  <c r="BR63" i="4"/>
  <c r="BZ63" i="4"/>
  <c r="CH64" i="4"/>
  <c r="BU63" i="4"/>
  <c r="B64" i="4"/>
  <c r="C64" i="4"/>
  <c r="D64" i="4"/>
  <c r="E64" i="4"/>
  <c r="F64" i="4"/>
  <c r="G64" i="4"/>
  <c r="H64" i="4"/>
  <c r="AP64" i="4"/>
  <c r="AR64" i="4"/>
  <c r="AZ64" i="4"/>
  <c r="BH64" i="4"/>
  <c r="BP64" i="4"/>
  <c r="AS64" i="4"/>
  <c r="BA64" i="4"/>
  <c r="BI64" i="4"/>
  <c r="AT64" i="4"/>
  <c r="BB64" i="4"/>
  <c r="BJ64" i="4"/>
  <c r="BR64" i="4"/>
  <c r="AU64" i="4"/>
  <c r="BC64" i="4"/>
  <c r="BK64" i="4"/>
  <c r="BS64" i="4"/>
  <c r="AV64" i="4"/>
  <c r="BD64" i="4"/>
  <c r="AY64" i="4"/>
  <c r="BG64" i="4"/>
  <c r="BO64" i="4"/>
  <c r="BW64" i="4"/>
  <c r="BL64" i="4"/>
  <c r="BT64" i="4"/>
  <c r="BQ64" i="4"/>
  <c r="BY64" i="4"/>
  <c r="CG65" i="4"/>
  <c r="BU64" i="4"/>
  <c r="B65" i="4"/>
  <c r="C65" i="4"/>
  <c r="D65" i="4"/>
  <c r="E65" i="4"/>
  <c r="F65" i="4"/>
  <c r="G65" i="4"/>
  <c r="H65" i="4"/>
  <c r="AP65" i="4"/>
  <c r="BF65" i="4"/>
  <c r="BV65" i="4"/>
  <c r="CD66" i="4"/>
  <c r="CL66" i="4"/>
  <c r="CT66" i="4"/>
  <c r="DB66" i="4"/>
  <c r="DJ66" i="4"/>
  <c r="DR66" i="4"/>
  <c r="DZ66" i="4"/>
  <c r="EH66" i="4"/>
  <c r="AQ65" i="4"/>
  <c r="AY65" i="4"/>
  <c r="BG65" i="4"/>
  <c r="BO65" i="4"/>
  <c r="AR65" i="4"/>
  <c r="AS65" i="4"/>
  <c r="BA65" i="4"/>
  <c r="BI65" i="4"/>
  <c r="BQ65" i="4"/>
  <c r="BY65" i="4"/>
  <c r="CG66" i="4"/>
  <c r="AT65" i="4"/>
  <c r="BB65" i="4"/>
  <c r="BJ65" i="4"/>
  <c r="BR65" i="4"/>
  <c r="BZ65" i="4"/>
  <c r="CH66" i="4"/>
  <c r="AU65" i="4"/>
  <c r="BC65" i="4"/>
  <c r="BK65" i="4"/>
  <c r="BS65" i="4"/>
  <c r="AV65" i="4"/>
  <c r="AZ65" i="4"/>
  <c r="BH65" i="4"/>
  <c r="BP65" i="4"/>
  <c r="BX65" i="4"/>
  <c r="CF66" i="4"/>
  <c r="CV66" i="4"/>
  <c r="DD66" i="4"/>
  <c r="DL66" i="4"/>
  <c r="DT66" i="4"/>
  <c r="EB66" i="4"/>
  <c r="EJ66" i="4"/>
  <c r="BD65" i="4"/>
  <c r="BL65" i="4"/>
  <c r="BT65" i="4"/>
  <c r="CB65" i="4"/>
  <c r="CJ66" i="4"/>
  <c r="CZ66" i="4"/>
  <c r="DH66" i="4"/>
  <c r="DP66" i="4"/>
  <c r="DX66" i="4"/>
  <c r="EF66" i="4"/>
  <c r="EN66" i="4"/>
  <c r="BU65" i="4"/>
  <c r="CE65" i="4"/>
  <c r="AQ66" i="4"/>
  <c r="AY66" i="4"/>
  <c r="BG66" i="4"/>
  <c r="BO66" i="4"/>
  <c r="BW66" i="4"/>
  <c r="CE67" i="4"/>
  <c r="CM67" i="4"/>
  <c r="AS66" i="4"/>
  <c r="BA66" i="4"/>
  <c r="BI66" i="4"/>
  <c r="BQ66" i="4"/>
  <c r="BY66" i="4"/>
  <c r="CG67" i="4"/>
  <c r="AT66" i="4"/>
  <c r="BB66" i="4"/>
  <c r="BJ66" i="4"/>
  <c r="BR66" i="4"/>
  <c r="BZ66" i="4"/>
  <c r="CH67" i="4"/>
  <c r="CX67" i="4"/>
  <c r="DF67" i="4"/>
  <c r="DN67" i="4"/>
  <c r="DV67" i="4"/>
  <c r="ED67" i="4"/>
  <c r="EL67" i="4"/>
  <c r="AU66" i="4"/>
  <c r="BC66" i="4"/>
  <c r="BK66" i="4"/>
  <c r="BS66" i="4"/>
  <c r="CA66" i="4"/>
  <c r="CI67" i="4"/>
  <c r="CQ67" i="4"/>
  <c r="AV66" i="4"/>
  <c r="BD66" i="4"/>
  <c r="BL66" i="4"/>
  <c r="BT66" i="4"/>
  <c r="CB66" i="4"/>
  <c r="CJ67" i="4"/>
  <c r="BU66" i="4"/>
  <c r="B67" i="4"/>
  <c r="C67" i="4"/>
  <c r="AP67" i="4"/>
  <c r="BF67" i="4"/>
  <c r="BV67" i="4"/>
  <c r="CD68" i="4"/>
  <c r="CL68" i="4"/>
  <c r="CT68" i="4"/>
  <c r="AQ67" i="4"/>
  <c r="AY67" i="4"/>
  <c r="AR67" i="4"/>
  <c r="AZ67" i="4"/>
  <c r="BH67" i="4"/>
  <c r="BP67" i="4"/>
  <c r="AS67" i="4"/>
  <c r="BA67" i="4"/>
  <c r="BI67" i="4"/>
  <c r="BQ67" i="4"/>
  <c r="BY67" i="4"/>
  <c r="CG68" i="4"/>
  <c r="AU67" i="4"/>
  <c r="BC67" i="4"/>
  <c r="AV67" i="4"/>
  <c r="BD67" i="4"/>
  <c r="BL67" i="4"/>
  <c r="BT67" i="4"/>
  <c r="AX67" i="4"/>
  <c r="BN67" i="4"/>
  <c r="BG67" i="4"/>
  <c r="BO67" i="4"/>
  <c r="BW67" i="4"/>
  <c r="CE68" i="4"/>
  <c r="CU68" i="4"/>
  <c r="DC68" i="4"/>
  <c r="DK68" i="4"/>
  <c r="DS68" i="4"/>
  <c r="EA68" i="4"/>
  <c r="EI68" i="4"/>
  <c r="BK67" i="4"/>
  <c r="BS67" i="4"/>
  <c r="CA67" i="4"/>
  <c r="CI68" i="4"/>
  <c r="CY68" i="4"/>
  <c r="DG68" i="4"/>
  <c r="DO68" i="4"/>
  <c r="DW68" i="4"/>
  <c r="EE68" i="4"/>
  <c r="EM68" i="4"/>
  <c r="BU67" i="4"/>
  <c r="C68" i="4"/>
  <c r="G68" i="4"/>
  <c r="H68" i="4"/>
  <c r="B69" i="4"/>
  <c r="C69" i="4"/>
  <c r="D69" i="4"/>
  <c r="E69" i="4"/>
  <c r="F69" i="4"/>
  <c r="G69" i="4"/>
  <c r="H69" i="4"/>
  <c r="C70" i="4"/>
  <c r="D70" i="4"/>
  <c r="E70" i="4"/>
  <c r="F70" i="4"/>
  <c r="G70" i="4"/>
  <c r="H70" i="4"/>
  <c r="B71" i="4"/>
  <c r="C71" i="4"/>
  <c r="D71" i="4"/>
  <c r="E71" i="4"/>
  <c r="F71" i="4"/>
  <c r="G71" i="4"/>
  <c r="H71" i="4"/>
  <c r="B72" i="4"/>
  <c r="C72" i="4"/>
  <c r="D72" i="4"/>
  <c r="E72" i="4"/>
  <c r="F72" i="4"/>
  <c r="G72" i="4"/>
  <c r="H72" i="4"/>
  <c r="B73" i="4"/>
  <c r="C73" i="4"/>
  <c r="D73" i="4"/>
  <c r="E73" i="4"/>
  <c r="F73" i="4"/>
  <c r="G73" i="4"/>
  <c r="H73" i="4"/>
  <c r="B74" i="4"/>
  <c r="C74" i="4"/>
  <c r="D74" i="4"/>
  <c r="E74" i="4"/>
  <c r="F74" i="4"/>
  <c r="G74" i="4"/>
  <c r="H74" i="4"/>
  <c r="C75" i="4"/>
  <c r="D75" i="4"/>
  <c r="E75" i="4"/>
  <c r="F75" i="4"/>
  <c r="G75" i="4"/>
  <c r="H75" i="4"/>
  <c r="C76" i="4"/>
  <c r="D76" i="4"/>
  <c r="E76" i="4"/>
  <c r="F76" i="4"/>
  <c r="G76" i="4"/>
  <c r="H76" i="4"/>
  <c r="B77" i="4"/>
  <c r="C77" i="4"/>
  <c r="D77" i="4"/>
  <c r="E77" i="4"/>
  <c r="F77" i="4"/>
  <c r="G77" i="4"/>
  <c r="H77" i="4"/>
  <c r="B78" i="4"/>
  <c r="C78" i="4"/>
  <c r="D78" i="4"/>
  <c r="E78" i="4"/>
  <c r="F78" i="4"/>
  <c r="G78" i="4"/>
  <c r="H78" i="4"/>
  <c r="C79" i="4"/>
  <c r="D79" i="4"/>
  <c r="E79" i="4"/>
  <c r="F79" i="4"/>
  <c r="G79" i="4"/>
  <c r="H79" i="4"/>
  <c r="C80" i="4"/>
  <c r="D80" i="4"/>
  <c r="E80" i="4"/>
  <c r="F80" i="4"/>
  <c r="G80" i="4"/>
  <c r="H80" i="4"/>
  <c r="B81" i="4"/>
  <c r="C81" i="4"/>
  <c r="D81" i="4"/>
  <c r="E81" i="4"/>
  <c r="F81" i="4"/>
  <c r="G81" i="4"/>
  <c r="H81" i="4"/>
  <c r="C82" i="4"/>
  <c r="D82" i="4"/>
  <c r="E82" i="4"/>
  <c r="F82" i="4"/>
  <c r="G82" i="4"/>
  <c r="H82" i="4"/>
  <c r="B83" i="4"/>
  <c r="C83" i="4"/>
  <c r="D83" i="4"/>
  <c r="E83" i="4"/>
  <c r="F83" i="4"/>
  <c r="G83" i="4"/>
  <c r="H83" i="4"/>
  <c r="C84" i="4"/>
  <c r="D84" i="4"/>
  <c r="E84" i="4"/>
  <c r="F84" i="4"/>
  <c r="G84" i="4"/>
  <c r="H84" i="4"/>
  <c r="C85" i="4"/>
  <c r="D85" i="4"/>
  <c r="E85" i="4"/>
  <c r="F85" i="4"/>
  <c r="G85" i="4"/>
  <c r="H85" i="4"/>
  <c r="B86" i="4"/>
  <c r="C86" i="4"/>
  <c r="D86" i="4"/>
  <c r="E86" i="4"/>
  <c r="F86" i="4"/>
  <c r="G86" i="4"/>
  <c r="H86" i="4"/>
  <c r="B87" i="4"/>
  <c r="C87" i="4"/>
  <c r="D87" i="4"/>
  <c r="E87" i="4"/>
  <c r="F87" i="4"/>
  <c r="G87" i="4"/>
  <c r="H87" i="4"/>
  <c r="B88" i="4"/>
  <c r="C88" i="4"/>
  <c r="D88" i="4"/>
  <c r="E88" i="4"/>
  <c r="F88" i="4"/>
  <c r="G88" i="4"/>
  <c r="H88" i="4"/>
  <c r="J3" i="17"/>
  <c r="J9" i="17"/>
  <c r="J15" i="17"/>
  <c r="J16" i="17"/>
  <c r="J17" i="17"/>
  <c r="J18" i="17"/>
  <c r="J19" i="17"/>
  <c r="J20" i="17"/>
  <c r="J21" i="17"/>
  <c r="J35" i="17"/>
  <c r="J41" i="17"/>
  <c r="J42" i="17"/>
  <c r="J43" i="17"/>
  <c r="J44" i="17"/>
  <c r="J45" i="17"/>
  <c r="J46" i="17"/>
  <c r="J47" i="17"/>
  <c r="J48" i="17"/>
  <c r="J49" i="17"/>
  <c r="J50" i="17"/>
  <c r="J51" i="17"/>
  <c r="J52" i="17"/>
  <c r="J53" i="17"/>
  <c r="K1" i="32"/>
  <c r="L1" i="32"/>
  <c r="M1" i="32"/>
  <c r="N1" i="32"/>
  <c r="O1" i="32"/>
  <c r="P1" i="32"/>
  <c r="S1" i="32"/>
  <c r="T1" i="32"/>
  <c r="U1" i="32"/>
  <c r="V1" i="32"/>
  <c r="W1" i="32"/>
  <c r="X1" i="32"/>
  <c r="AA1" i="32"/>
  <c r="AB1" i="32"/>
  <c r="AC1" i="32"/>
  <c r="AD1" i="32"/>
  <c r="AE1" i="32"/>
  <c r="AF1" i="32"/>
  <c r="AH1" i="32"/>
  <c r="AI1" i="32"/>
  <c r="AJ1" i="32"/>
  <c r="AK1" i="32"/>
  <c r="AL1" i="32"/>
  <c r="AM1" i="32"/>
  <c r="AN1" i="32"/>
  <c r="AP1" i="32"/>
  <c r="AP49" i="32"/>
  <c r="AQ1" i="32"/>
  <c r="AR1" i="32"/>
  <c r="AS1" i="32"/>
  <c r="AT1" i="32"/>
  <c r="AU1" i="32"/>
  <c r="AV1" i="32"/>
  <c r="AY1" i="32"/>
  <c r="AZ1" i="32"/>
  <c r="BA1" i="32"/>
  <c r="BB1" i="32"/>
  <c r="BC1" i="32"/>
  <c r="BD1" i="32"/>
  <c r="BG1" i="32"/>
  <c r="BH1" i="32"/>
  <c r="BI1" i="32"/>
  <c r="BJ1" i="32"/>
  <c r="BK1" i="32"/>
  <c r="BL1" i="32"/>
  <c r="BO1" i="32"/>
  <c r="BP1" i="32"/>
  <c r="BQ1" i="32"/>
  <c r="BR1" i="32"/>
  <c r="BS1" i="32"/>
  <c r="BT1" i="32"/>
  <c r="BW1" i="32"/>
  <c r="BX1" i="32"/>
  <c r="BY1" i="32"/>
  <c r="BZ1" i="32"/>
  <c r="CA1" i="32"/>
  <c r="CB1" i="32"/>
  <c r="CE1" i="32"/>
  <c r="CF1" i="32"/>
  <c r="CG1" i="32"/>
  <c r="CH1" i="32"/>
  <c r="CI1" i="32"/>
  <c r="CJ1" i="32"/>
  <c r="CM1" i="32"/>
  <c r="CN1" i="32"/>
  <c r="CO1" i="32"/>
  <c r="CP1" i="32"/>
  <c r="CQ1" i="32"/>
  <c r="CR1" i="32"/>
  <c r="CU1" i="32"/>
  <c r="CV1" i="32"/>
  <c r="CW1" i="32"/>
  <c r="CX1" i="32"/>
  <c r="CY1" i="32"/>
  <c r="CZ1" i="32"/>
  <c r="H2" i="32"/>
  <c r="J2" i="32"/>
  <c r="Q2" i="32"/>
  <c r="R2" i="32"/>
  <c r="S2" i="32"/>
  <c r="AA2" i="32"/>
  <c r="AI2" i="32"/>
  <c r="T2" i="32"/>
  <c r="AB2" i="32"/>
  <c r="AJ2" i="32"/>
  <c r="Z2" i="32"/>
  <c r="AH2" i="32"/>
  <c r="AP2" i="32"/>
  <c r="AX2" i="32"/>
  <c r="BF2" i="32"/>
  <c r="BN2" i="32"/>
  <c r="BV2" i="32"/>
  <c r="CD2" i="32"/>
  <c r="CL2" i="32"/>
  <c r="CT2" i="32"/>
  <c r="H3" i="32"/>
  <c r="J3" i="32"/>
  <c r="R3" i="32"/>
  <c r="S3" i="32"/>
  <c r="S32" i="32"/>
  <c r="T3" i="32"/>
  <c r="AB3" i="32"/>
  <c r="AJ3" i="32"/>
  <c r="U3" i="32"/>
  <c r="AC3" i="32"/>
  <c r="AK3" i="32"/>
  <c r="AS3" i="32"/>
  <c r="BA3" i="32"/>
  <c r="BI3" i="32"/>
  <c r="BQ3" i="32"/>
  <c r="BY3" i="32"/>
  <c r="CG3" i="32"/>
  <c r="CO3" i="32"/>
  <c r="CW3" i="32"/>
  <c r="Z3" i="32"/>
  <c r="AH3" i="32"/>
  <c r="AP3" i="32"/>
  <c r="AX3" i="32"/>
  <c r="BF3" i="32"/>
  <c r="BN3" i="32"/>
  <c r="BV3" i="32"/>
  <c r="CD3" i="32"/>
  <c r="CL3" i="32"/>
  <c r="CT3" i="32"/>
  <c r="C4" i="32"/>
  <c r="J4" i="32"/>
  <c r="R4" i="32"/>
  <c r="S4" i="32"/>
  <c r="AA4" i="32"/>
  <c r="AI4" i="32"/>
  <c r="AQ4" i="32"/>
  <c r="AY4" i="32"/>
  <c r="BG4" i="32"/>
  <c r="BO4" i="32"/>
  <c r="BW4" i="32"/>
  <c r="CE4" i="32"/>
  <c r="CM4" i="32"/>
  <c r="CU4" i="32"/>
  <c r="DK4" i="32"/>
  <c r="DS4" i="32"/>
  <c r="T4" i="32"/>
  <c r="T33" i="32"/>
  <c r="X4" i="32"/>
  <c r="AF4" i="32"/>
  <c r="AN4" i="32"/>
  <c r="Z4" i="32"/>
  <c r="AH4" i="32"/>
  <c r="AP4" i="32"/>
  <c r="AX4" i="32"/>
  <c r="BF4" i="32"/>
  <c r="BN4" i="32"/>
  <c r="BV4" i="32"/>
  <c r="CD4" i="32"/>
  <c r="CL4" i="32"/>
  <c r="CT4" i="32"/>
  <c r="J5" i="32"/>
  <c r="R5" i="32"/>
  <c r="S5" i="32"/>
  <c r="AA5" i="32"/>
  <c r="AI5" i="32"/>
  <c r="AQ5" i="32"/>
  <c r="AY5" i="32"/>
  <c r="BG5" i="32"/>
  <c r="BO5" i="32"/>
  <c r="BW5" i="32"/>
  <c r="CE5" i="32"/>
  <c r="CM5" i="32"/>
  <c r="CU5" i="32"/>
  <c r="DK5" i="32"/>
  <c r="DS5" i="32"/>
  <c r="T5" i="32"/>
  <c r="X5" i="32"/>
  <c r="AF5" i="32"/>
  <c r="AN5" i="32"/>
  <c r="Z5" i="32"/>
  <c r="AH5" i="32"/>
  <c r="AP5" i="32"/>
  <c r="AX5" i="32"/>
  <c r="BF5" i="32"/>
  <c r="BN5" i="32"/>
  <c r="BV5" i="32"/>
  <c r="CD5" i="32"/>
  <c r="CL5" i="32"/>
  <c r="CT5" i="32"/>
  <c r="J6" i="32"/>
  <c r="R6" i="32"/>
  <c r="S6" i="32"/>
  <c r="T6" i="32"/>
  <c r="X6" i="32"/>
  <c r="AF6" i="32"/>
  <c r="AN6" i="32"/>
  <c r="AV6" i="32"/>
  <c r="BD6" i="32"/>
  <c r="BL6" i="32"/>
  <c r="BT6" i="32"/>
  <c r="CB6" i="32"/>
  <c r="CJ6" i="32"/>
  <c r="Z6" i="32"/>
  <c r="AH6" i="32"/>
  <c r="AP6" i="32"/>
  <c r="AX6" i="32"/>
  <c r="BF6" i="32"/>
  <c r="BN6" i="32"/>
  <c r="BV6" i="32"/>
  <c r="CD6" i="32"/>
  <c r="CL6" i="32"/>
  <c r="CT6" i="32"/>
  <c r="J7" i="32"/>
  <c r="R7" i="32"/>
  <c r="S7" i="32"/>
  <c r="AA7" i="32"/>
  <c r="AI7" i="32"/>
  <c r="AQ7" i="32"/>
  <c r="AY7" i="32"/>
  <c r="BG7" i="32"/>
  <c r="BO7" i="32"/>
  <c r="BW7" i="32"/>
  <c r="CE7" i="32"/>
  <c r="CM7" i="32"/>
  <c r="CU7" i="32"/>
  <c r="DK7" i="32"/>
  <c r="DS7" i="32"/>
  <c r="T7" i="32"/>
  <c r="AB7" i="32"/>
  <c r="AJ7" i="32"/>
  <c r="AR7" i="32"/>
  <c r="AZ7" i="32"/>
  <c r="BH7" i="32"/>
  <c r="BP7" i="32"/>
  <c r="BX7" i="32"/>
  <c r="CF7" i="32"/>
  <c r="CN7" i="32"/>
  <c r="CV7" i="32"/>
  <c r="X7" i="32"/>
  <c r="AF7" i="32"/>
  <c r="AN7" i="32"/>
  <c r="AV7" i="32"/>
  <c r="BD7" i="32"/>
  <c r="BL7" i="32"/>
  <c r="BT7" i="32"/>
  <c r="CB7" i="32"/>
  <c r="CJ7" i="32"/>
  <c r="Z7" i="32"/>
  <c r="AH7" i="32"/>
  <c r="AP7" i="32"/>
  <c r="AX7" i="32"/>
  <c r="BF7" i="32"/>
  <c r="BN7" i="32"/>
  <c r="BV7" i="32"/>
  <c r="CD7" i="32"/>
  <c r="CL7" i="32"/>
  <c r="CT7" i="32"/>
  <c r="J8" i="32"/>
  <c r="R8" i="32"/>
  <c r="S8" i="32"/>
  <c r="AA8" i="32"/>
  <c r="AI8" i="32"/>
  <c r="T8" i="32"/>
  <c r="AB8" i="32"/>
  <c r="AJ8" i="32"/>
  <c r="X8" i="32"/>
  <c r="AF8" i="32"/>
  <c r="AN8" i="32"/>
  <c r="AV8" i="32"/>
  <c r="BD8" i="32"/>
  <c r="BL8" i="32"/>
  <c r="BT8" i="32"/>
  <c r="CB8" i="32"/>
  <c r="CJ8" i="32"/>
  <c r="Z8" i="32"/>
  <c r="AH8" i="32"/>
  <c r="AP8" i="32"/>
  <c r="AX8" i="32"/>
  <c r="BF8" i="32"/>
  <c r="BN8" i="32"/>
  <c r="BV8" i="32"/>
  <c r="CD8" i="32"/>
  <c r="CL8" i="32"/>
  <c r="CT8" i="32"/>
  <c r="J9" i="32"/>
  <c r="R9" i="32"/>
  <c r="S9" i="32"/>
  <c r="AA9" i="32"/>
  <c r="AI9" i="32"/>
  <c r="AQ9" i="32"/>
  <c r="T9" i="32"/>
  <c r="X9" i="32"/>
  <c r="AF9" i="32"/>
  <c r="AN9" i="32"/>
  <c r="AV9" i="32"/>
  <c r="BD9" i="32"/>
  <c r="BL9" i="32"/>
  <c r="BT9" i="32"/>
  <c r="CB9" i="32"/>
  <c r="CJ9" i="32"/>
  <c r="Z9" i="32"/>
  <c r="AH9" i="32"/>
  <c r="AP9" i="32"/>
  <c r="AX9" i="32"/>
  <c r="AY9" i="32"/>
  <c r="BG9" i="32"/>
  <c r="BO9" i="32"/>
  <c r="BW9" i="32"/>
  <c r="CE9" i="32"/>
  <c r="CM9" i="32"/>
  <c r="CU9" i="32"/>
  <c r="DK9" i="32"/>
  <c r="DS9" i="32"/>
  <c r="BF9" i="32"/>
  <c r="BN9" i="32"/>
  <c r="BV9" i="32"/>
  <c r="CD9" i="32"/>
  <c r="CL9" i="32"/>
  <c r="CT9" i="32"/>
  <c r="J10" i="32"/>
  <c r="R10" i="32"/>
  <c r="Z10" i="32"/>
  <c r="AH10" i="32"/>
  <c r="AP10" i="32"/>
  <c r="AX10" i="32"/>
  <c r="BF10" i="32"/>
  <c r="BN10" i="32"/>
  <c r="BV10" i="32"/>
  <c r="CD10" i="32"/>
  <c r="CL10" i="32"/>
  <c r="CM10" i="32"/>
  <c r="CU10" i="32"/>
  <c r="DK10" i="32"/>
  <c r="DS10" i="32"/>
  <c r="CT10" i="32"/>
  <c r="J11" i="32"/>
  <c r="R11" i="32"/>
  <c r="Z11" i="32"/>
  <c r="AH11" i="32"/>
  <c r="AP11" i="32"/>
  <c r="AX11" i="32"/>
  <c r="BF11" i="32"/>
  <c r="BN11" i="32"/>
  <c r="BV11" i="32"/>
  <c r="CD11" i="32"/>
  <c r="CL11" i="32"/>
  <c r="CM11" i="32"/>
  <c r="CU11" i="32"/>
  <c r="DK11" i="32"/>
  <c r="DS11" i="32"/>
  <c r="CT11" i="32"/>
  <c r="J12" i="32"/>
  <c r="R12" i="32"/>
  <c r="Z12" i="32"/>
  <c r="AH12" i="32"/>
  <c r="AP12" i="32"/>
  <c r="AX12" i="32"/>
  <c r="BF12" i="32"/>
  <c r="BN12" i="32"/>
  <c r="BV12" i="32"/>
  <c r="CD12" i="32"/>
  <c r="CL12" i="32"/>
  <c r="CT12" i="32"/>
  <c r="J13" i="32"/>
  <c r="R13" i="32"/>
  <c r="Z13" i="32"/>
  <c r="AH13" i="32"/>
  <c r="AP13" i="32"/>
  <c r="AX13" i="32"/>
  <c r="BF13" i="32"/>
  <c r="BN13" i="32"/>
  <c r="BV13" i="32"/>
  <c r="CD13" i="32"/>
  <c r="CL13" i="32"/>
  <c r="CT13" i="32"/>
  <c r="R14" i="32"/>
  <c r="S14" i="32"/>
  <c r="T14" i="32"/>
  <c r="U14" i="32"/>
  <c r="V14" i="32"/>
  <c r="W14" i="32"/>
  <c r="X14" i="32"/>
  <c r="R15" i="32"/>
  <c r="S15" i="32"/>
  <c r="T15" i="32"/>
  <c r="U15" i="32"/>
  <c r="V15" i="32"/>
  <c r="W15" i="32"/>
  <c r="X15" i="32"/>
  <c r="R16" i="32"/>
  <c r="S16" i="32"/>
  <c r="T16" i="32"/>
  <c r="U16" i="32"/>
  <c r="V16" i="32"/>
  <c r="W16" i="32"/>
  <c r="X16" i="32"/>
  <c r="R17" i="32"/>
  <c r="S17" i="32"/>
  <c r="T17" i="32"/>
  <c r="U17" i="32"/>
  <c r="V17" i="32"/>
  <c r="W17" i="32"/>
  <c r="X17" i="32"/>
  <c r="R18" i="32"/>
  <c r="S18" i="32"/>
  <c r="T18" i="32"/>
  <c r="U18" i="32"/>
  <c r="V18" i="32"/>
  <c r="W18" i="32"/>
  <c r="X18" i="32"/>
  <c r="R19" i="32"/>
  <c r="S19" i="32"/>
  <c r="T19" i="32"/>
  <c r="U19" i="32"/>
  <c r="V19" i="32"/>
  <c r="W19" i="32"/>
  <c r="X19" i="32"/>
  <c r="R20" i="32"/>
  <c r="S20" i="32"/>
  <c r="T20" i="32"/>
  <c r="U20" i="32"/>
  <c r="V20" i="32"/>
  <c r="W20" i="32"/>
  <c r="X20" i="32"/>
  <c r="R21" i="32"/>
  <c r="S21" i="32"/>
  <c r="T21" i="32"/>
  <c r="U21" i="32"/>
  <c r="V21" i="32"/>
  <c r="W21" i="32"/>
  <c r="X21" i="32"/>
  <c r="B22" i="32"/>
  <c r="S22" i="32"/>
  <c r="Z22" i="32"/>
  <c r="AA22" i="32"/>
  <c r="AH22" i="32"/>
  <c r="AI22" i="32"/>
  <c r="AP22" i="32"/>
  <c r="AQ22" i="32"/>
  <c r="AX22" i="32"/>
  <c r="AY22" i="32"/>
  <c r="BF22" i="32"/>
  <c r="BG22" i="32"/>
  <c r="BN22" i="32"/>
  <c r="BO22" i="32"/>
  <c r="BV22" i="32"/>
  <c r="BW22" i="32"/>
  <c r="B23" i="32"/>
  <c r="C23" i="32"/>
  <c r="D23" i="32"/>
  <c r="E23" i="32"/>
  <c r="F23" i="32"/>
  <c r="G23" i="32"/>
  <c r="H23" i="32"/>
  <c r="S23" i="32"/>
  <c r="T23" i="32"/>
  <c r="Z23" i="32"/>
  <c r="AA23" i="32"/>
  <c r="AH23" i="32"/>
  <c r="AI23" i="32"/>
  <c r="AJ23" i="32"/>
  <c r="AP23" i="32"/>
  <c r="AQ23" i="32"/>
  <c r="AX23" i="32"/>
  <c r="AY23" i="32"/>
  <c r="AZ23" i="32"/>
  <c r="BF23" i="32"/>
  <c r="BG23" i="32"/>
  <c r="BN23" i="32"/>
  <c r="BO23" i="32"/>
  <c r="BP23" i="32"/>
  <c r="BV23" i="32"/>
  <c r="BW23" i="32"/>
  <c r="B24" i="32"/>
  <c r="C24" i="32"/>
  <c r="C46" i="32"/>
  <c r="D24" i="32"/>
  <c r="D46" i="32"/>
  <c r="E24" i="32"/>
  <c r="E46" i="32"/>
  <c r="F24" i="32"/>
  <c r="F46" i="32"/>
  <c r="G24" i="32"/>
  <c r="G46" i="32"/>
  <c r="H24" i="32"/>
  <c r="H46" i="32"/>
  <c r="Z24" i="32"/>
  <c r="AH24" i="32"/>
  <c r="AP24" i="32"/>
  <c r="AX24" i="32"/>
  <c r="BF24" i="32"/>
  <c r="BN24" i="32"/>
  <c r="BV24" i="32"/>
  <c r="BX24" i="32"/>
  <c r="B25" i="32"/>
  <c r="C25" i="32"/>
  <c r="C47" i="32"/>
  <c r="D25" i="32"/>
  <c r="D47" i="32"/>
  <c r="E25" i="32"/>
  <c r="E47" i="32"/>
  <c r="F25" i="32"/>
  <c r="G25" i="32"/>
  <c r="G47" i="32"/>
  <c r="H25" i="32"/>
  <c r="H47" i="32"/>
  <c r="B26" i="32"/>
  <c r="C26" i="32"/>
  <c r="C48" i="32"/>
  <c r="D26" i="32"/>
  <c r="D48" i="32"/>
  <c r="E26" i="32"/>
  <c r="E48" i="32"/>
  <c r="F26" i="32"/>
  <c r="F48" i="32"/>
  <c r="G26" i="32"/>
  <c r="G48" i="32"/>
  <c r="H26" i="32"/>
  <c r="H48" i="32"/>
  <c r="B27" i="32"/>
  <c r="C27" i="32"/>
  <c r="C49" i="32"/>
  <c r="D27" i="32"/>
  <c r="D49" i="32"/>
  <c r="E27" i="32"/>
  <c r="E49" i="32"/>
  <c r="F27" i="32"/>
  <c r="F49" i="32"/>
  <c r="G27" i="32"/>
  <c r="G49" i="32"/>
  <c r="H27" i="32"/>
  <c r="H49" i="32"/>
  <c r="B28" i="32"/>
  <c r="C28" i="32"/>
  <c r="C50" i="32"/>
  <c r="D28" i="32"/>
  <c r="D50" i="32"/>
  <c r="E28" i="32"/>
  <c r="E50" i="32"/>
  <c r="F28" i="32"/>
  <c r="F50" i="32"/>
  <c r="G28" i="32"/>
  <c r="G50" i="32"/>
  <c r="H28" i="32"/>
  <c r="H50" i="32"/>
  <c r="B29" i="32"/>
  <c r="C29" i="32"/>
  <c r="D29" i="32"/>
  <c r="E29" i="32"/>
  <c r="F29" i="32"/>
  <c r="G29" i="32"/>
  <c r="H29" i="32"/>
  <c r="B30" i="32"/>
  <c r="C30" i="32"/>
  <c r="D30" i="32"/>
  <c r="E30" i="32"/>
  <c r="F30" i="32"/>
  <c r="G30" i="32"/>
  <c r="H30" i="32"/>
  <c r="S30" i="32"/>
  <c r="T30" i="32"/>
  <c r="U30" i="32"/>
  <c r="V30" i="32"/>
  <c r="W30" i="32"/>
  <c r="X30" i="32"/>
  <c r="B31" i="32"/>
  <c r="C31" i="32"/>
  <c r="D31" i="32"/>
  <c r="E31" i="32"/>
  <c r="F31" i="32"/>
  <c r="G31" i="32"/>
  <c r="H31" i="32"/>
  <c r="R31" i="32"/>
  <c r="B32" i="32"/>
  <c r="C32" i="32"/>
  <c r="D32" i="32"/>
  <c r="E32" i="32"/>
  <c r="F32" i="32"/>
  <c r="G32" i="32"/>
  <c r="H32" i="32"/>
  <c r="R32" i="32"/>
  <c r="B33" i="32"/>
  <c r="C33" i="32"/>
  <c r="D33" i="32"/>
  <c r="E33" i="32"/>
  <c r="F33" i="32"/>
  <c r="G33" i="32"/>
  <c r="H33" i="32"/>
  <c r="R33" i="32"/>
  <c r="B34" i="32"/>
  <c r="C34" i="32"/>
  <c r="D34" i="32"/>
  <c r="E34" i="32"/>
  <c r="F34" i="32"/>
  <c r="G34" i="32"/>
  <c r="H34" i="32"/>
  <c r="R34" i="32"/>
  <c r="X34" i="32"/>
  <c r="B35" i="32"/>
  <c r="C35" i="32"/>
  <c r="D35" i="32"/>
  <c r="E35" i="32"/>
  <c r="F35" i="32"/>
  <c r="G35" i="32"/>
  <c r="H35" i="32"/>
  <c r="R35" i="32"/>
  <c r="AP35" i="32"/>
  <c r="AX35" i="32"/>
  <c r="BF35" i="32"/>
  <c r="BN35" i="32"/>
  <c r="BV35" i="32"/>
  <c r="R36" i="32"/>
  <c r="AP36" i="32"/>
  <c r="AR36" i="32"/>
  <c r="AX36" i="32"/>
  <c r="AZ36" i="32"/>
  <c r="BF36" i="32"/>
  <c r="BH36" i="32"/>
  <c r="BN36" i="32"/>
  <c r="BP36" i="32"/>
  <c r="BV36" i="32"/>
  <c r="BX36" i="32"/>
  <c r="R37" i="32"/>
  <c r="S37" i="32"/>
  <c r="AP37" i="32"/>
  <c r="AX37" i="32"/>
  <c r="BF37" i="32"/>
  <c r="BN37" i="32"/>
  <c r="BV37" i="32"/>
  <c r="BX37" i="32"/>
  <c r="R38" i="32"/>
  <c r="R39" i="32"/>
  <c r="AP39" i="32"/>
  <c r="AX39" i="32"/>
  <c r="BF39" i="32"/>
  <c r="BN39" i="32"/>
  <c r="BV39" i="32"/>
  <c r="R40" i="32"/>
  <c r="AP40" i="32"/>
  <c r="AX40" i="32"/>
  <c r="BF40" i="32"/>
  <c r="BN40" i="32"/>
  <c r="BV40" i="32"/>
  <c r="R41" i="32"/>
  <c r="AP41" i="32"/>
  <c r="AX41" i="32"/>
  <c r="BF41" i="32"/>
  <c r="BN41" i="32"/>
  <c r="BV41" i="32"/>
  <c r="R42" i="32"/>
  <c r="AP42" i="32"/>
  <c r="AX42" i="32"/>
  <c r="BF42" i="32"/>
  <c r="BN42" i="32"/>
  <c r="BV42" i="32"/>
  <c r="R43" i="32"/>
  <c r="S43" i="32"/>
  <c r="T43" i="32"/>
  <c r="U43" i="32"/>
  <c r="V43" i="32"/>
  <c r="W43" i="32"/>
  <c r="X43" i="32"/>
  <c r="AP43" i="32"/>
  <c r="AX43" i="32"/>
  <c r="BF43" i="32"/>
  <c r="BN43" i="32"/>
  <c r="BV43" i="32"/>
  <c r="B44" i="32"/>
  <c r="C44" i="32"/>
  <c r="R44" i="32"/>
  <c r="S44" i="32"/>
  <c r="T44" i="32"/>
  <c r="U44" i="32"/>
  <c r="V44" i="32"/>
  <c r="W44" i="32"/>
  <c r="X44" i="32"/>
  <c r="AP44" i="32"/>
  <c r="AX44" i="32"/>
  <c r="BF44" i="32"/>
  <c r="BN44" i="32"/>
  <c r="BV44" i="32"/>
  <c r="B45" i="32"/>
  <c r="C45" i="32"/>
  <c r="D45" i="32"/>
  <c r="E45" i="32"/>
  <c r="F45" i="32"/>
  <c r="G45" i="32"/>
  <c r="H45" i="32"/>
  <c r="R45" i="32"/>
  <c r="S45" i="32"/>
  <c r="T45" i="32"/>
  <c r="U45" i="32"/>
  <c r="V45" i="32"/>
  <c r="W45" i="32"/>
  <c r="X45" i="32"/>
  <c r="AP45" i="32"/>
  <c r="AX45" i="32"/>
  <c r="BF45" i="32"/>
  <c r="BN45" i="32"/>
  <c r="BV45" i="32"/>
  <c r="B46" i="32"/>
  <c r="R46" i="32"/>
  <c r="S46" i="32"/>
  <c r="T46" i="32"/>
  <c r="U46" i="32"/>
  <c r="V46" i="32"/>
  <c r="W46" i="32"/>
  <c r="X46" i="32"/>
  <c r="B47" i="32"/>
  <c r="F47" i="32"/>
  <c r="R47" i="32"/>
  <c r="S47" i="32"/>
  <c r="T47" i="32"/>
  <c r="U47" i="32"/>
  <c r="V47" i="32"/>
  <c r="W47" i="32"/>
  <c r="X47" i="32"/>
  <c r="B48" i="32"/>
  <c r="R48" i="32"/>
  <c r="S48" i="32"/>
  <c r="T48" i="32"/>
  <c r="U48" i="32"/>
  <c r="V48" i="32"/>
  <c r="W48" i="32"/>
  <c r="X48" i="32"/>
  <c r="B49" i="32"/>
  <c r="R49" i="32"/>
  <c r="S49" i="32"/>
  <c r="T49" i="32"/>
  <c r="U49" i="32"/>
  <c r="V49" i="32"/>
  <c r="W49" i="32"/>
  <c r="X49" i="32"/>
  <c r="AO49" i="32"/>
  <c r="AQ49" i="32"/>
  <c r="AR49" i="32"/>
  <c r="AS49" i="32"/>
  <c r="AT49" i="32"/>
  <c r="AU49" i="32"/>
  <c r="AV49" i="32"/>
  <c r="AX49" i="32"/>
  <c r="AY49" i="32"/>
  <c r="AZ49" i="32"/>
  <c r="BA49" i="32"/>
  <c r="BB49" i="32"/>
  <c r="BC49" i="32"/>
  <c r="BD49" i="32"/>
  <c r="BF49" i="32"/>
  <c r="BG49" i="32"/>
  <c r="BH49" i="32"/>
  <c r="BI49" i="32"/>
  <c r="BJ49" i="32"/>
  <c r="BK49" i="32"/>
  <c r="BL49" i="32"/>
  <c r="BN49" i="32"/>
  <c r="BO49" i="32"/>
  <c r="BP49" i="32"/>
  <c r="BQ49" i="32"/>
  <c r="BR49" i="32"/>
  <c r="BS49" i="32"/>
  <c r="BT49" i="32"/>
  <c r="BV49" i="32"/>
  <c r="BW49" i="32"/>
  <c r="BX49" i="32"/>
  <c r="BY49" i="32"/>
  <c r="BZ49" i="32"/>
  <c r="CA49" i="32"/>
  <c r="CB49" i="32"/>
  <c r="B50" i="32"/>
  <c r="R50" i="32"/>
  <c r="S50" i="32"/>
  <c r="T50" i="32"/>
  <c r="U50" i="32"/>
  <c r="V50" i="32"/>
  <c r="W50" i="32"/>
  <c r="X50" i="32"/>
  <c r="AP50" i="32"/>
  <c r="AX50" i="32"/>
  <c r="BF50" i="32"/>
  <c r="BN50" i="32"/>
  <c r="BV50" i="32"/>
  <c r="B51" i="32"/>
  <c r="C51" i="32"/>
  <c r="D51" i="32"/>
  <c r="E51" i="32"/>
  <c r="F51" i="32"/>
  <c r="G51" i="32"/>
  <c r="H51" i="32"/>
  <c r="AP51" i="32"/>
  <c r="AX51" i="32"/>
  <c r="BF51" i="32"/>
  <c r="BN51" i="32"/>
  <c r="BV51" i="32"/>
  <c r="B52" i="32"/>
  <c r="C52" i="32"/>
  <c r="D52" i="32"/>
  <c r="E52" i="32"/>
  <c r="F52" i="32"/>
  <c r="G52" i="32"/>
  <c r="H52" i="32"/>
  <c r="AP52" i="32"/>
  <c r="AX52" i="32"/>
  <c r="BF52" i="32"/>
  <c r="BN52" i="32"/>
  <c r="BV52" i="32"/>
  <c r="B53" i="32"/>
  <c r="C53" i="32"/>
  <c r="D53" i="32"/>
  <c r="E53" i="32"/>
  <c r="F53" i="32"/>
  <c r="G53" i="32"/>
  <c r="H53" i="32"/>
  <c r="AP53" i="32"/>
  <c r="AX53" i="32"/>
  <c r="BF53" i="32"/>
  <c r="BN53" i="32"/>
  <c r="BV53" i="32"/>
  <c r="B54" i="32"/>
  <c r="C54" i="32"/>
  <c r="D54" i="32"/>
  <c r="E54" i="32"/>
  <c r="F54" i="32"/>
  <c r="G54" i="32"/>
  <c r="H54" i="32"/>
  <c r="AP54" i="32"/>
  <c r="AX54" i="32"/>
  <c r="BF54" i="32"/>
  <c r="BN54" i="32"/>
  <c r="BU54" i="32"/>
  <c r="BV54" i="32"/>
  <c r="B55" i="32"/>
  <c r="C55" i="32"/>
  <c r="D55" i="32"/>
  <c r="E55" i="32"/>
  <c r="F55" i="32"/>
  <c r="G55" i="32"/>
  <c r="H55" i="32"/>
  <c r="AP55" i="32"/>
  <c r="AV55" i="32"/>
  <c r="BD55" i="32"/>
  <c r="BL55" i="32"/>
  <c r="BT55" i="32"/>
  <c r="CB55" i="32"/>
  <c r="AX55" i="32"/>
  <c r="BF55" i="32"/>
  <c r="BN55" i="32"/>
  <c r="BU55" i="32"/>
  <c r="BV55" i="32"/>
  <c r="B56" i="32"/>
  <c r="C56" i="32"/>
  <c r="D56" i="32"/>
  <c r="E56" i="32"/>
  <c r="F56" i="32"/>
  <c r="G56" i="32"/>
  <c r="H56" i="32"/>
  <c r="AP56" i="32"/>
  <c r="AX56" i="32"/>
  <c r="BF56" i="32"/>
  <c r="BN56" i="32"/>
  <c r="BU56" i="32"/>
  <c r="BV56" i="32"/>
  <c r="B57" i="32"/>
  <c r="C57" i="32"/>
  <c r="D57" i="32"/>
  <c r="E57" i="32"/>
  <c r="F57" i="32"/>
  <c r="G57" i="32"/>
  <c r="H57" i="32"/>
  <c r="AP57" i="32"/>
  <c r="AX57" i="32"/>
  <c r="BF57" i="32"/>
  <c r="BN57" i="32"/>
  <c r="BU57" i="32"/>
  <c r="BV57" i="32"/>
  <c r="AP58" i="32"/>
  <c r="AX58" i="32"/>
  <c r="BF58" i="32"/>
  <c r="BN58" i="32"/>
  <c r="BU58" i="32"/>
  <c r="BV58" i="32"/>
  <c r="AP59" i="32"/>
  <c r="AX59" i="32"/>
  <c r="BF59" i="32"/>
  <c r="BN59" i="32"/>
  <c r="BU59" i="32"/>
  <c r="BV59" i="32"/>
  <c r="AP60" i="32"/>
  <c r="AX60" i="32"/>
  <c r="BF60" i="32"/>
  <c r="BN60" i="32"/>
  <c r="BU60" i="32"/>
  <c r="BV60" i="32"/>
  <c r="AP61" i="32"/>
  <c r="AX61" i="32"/>
  <c r="BF61" i="32"/>
  <c r="BN61" i="32"/>
  <c r="BU61" i="32"/>
  <c r="BV61" i="32"/>
  <c r="B67" i="32"/>
  <c r="C67" i="32"/>
  <c r="B68" i="32"/>
  <c r="C68" i="32"/>
  <c r="D68" i="32"/>
  <c r="E68" i="32"/>
  <c r="F68" i="32"/>
  <c r="G68" i="32"/>
  <c r="H68" i="32"/>
  <c r="B69" i="32"/>
  <c r="C69" i="32"/>
  <c r="D69" i="32"/>
  <c r="E69" i="32"/>
  <c r="F69" i="32"/>
  <c r="G69" i="32"/>
  <c r="H69" i="32"/>
  <c r="B70" i="32"/>
  <c r="C70" i="32"/>
  <c r="D70" i="32"/>
  <c r="E70" i="32"/>
  <c r="F70" i="32"/>
  <c r="G70" i="32"/>
  <c r="H70" i="32"/>
  <c r="B71" i="32"/>
  <c r="C71" i="32"/>
  <c r="D71" i="32"/>
  <c r="E71" i="32"/>
  <c r="F71" i="32"/>
  <c r="G71" i="32"/>
  <c r="H71" i="32"/>
  <c r="B72" i="32"/>
  <c r="C72" i="32"/>
  <c r="D72" i="32"/>
  <c r="E72" i="32"/>
  <c r="F72" i="32"/>
  <c r="G72" i="32"/>
  <c r="H72" i="32"/>
  <c r="B73" i="32"/>
  <c r="C73" i="32"/>
  <c r="D73" i="32"/>
  <c r="E73" i="32"/>
  <c r="F73" i="32"/>
  <c r="G73" i="32"/>
  <c r="H73" i="32"/>
  <c r="B74" i="32"/>
  <c r="C74" i="32"/>
  <c r="D74" i="32"/>
  <c r="E74" i="32"/>
  <c r="F74" i="32"/>
  <c r="G74" i="32"/>
  <c r="H74" i="32"/>
  <c r="B75" i="32"/>
  <c r="C75" i="32"/>
  <c r="D75" i="32"/>
  <c r="E75" i="32"/>
  <c r="F75" i="32"/>
  <c r="G75" i="32"/>
  <c r="H75" i="32"/>
  <c r="B76" i="32"/>
  <c r="C76" i="32"/>
  <c r="D76" i="32"/>
  <c r="E76" i="32"/>
  <c r="F76" i="32"/>
  <c r="G76" i="32"/>
  <c r="H76" i="32"/>
  <c r="B77" i="32"/>
  <c r="C77" i="32"/>
  <c r="D77" i="32"/>
  <c r="E77" i="32"/>
  <c r="F77" i="32"/>
  <c r="G77" i="32"/>
  <c r="H77" i="32"/>
  <c r="B78" i="32"/>
  <c r="C78" i="32"/>
  <c r="D78" i="32"/>
  <c r="E78" i="32"/>
  <c r="F78" i="32"/>
  <c r="G78" i="32"/>
  <c r="H78" i="32"/>
  <c r="B79" i="32"/>
  <c r="C79" i="32"/>
  <c r="D79" i="32"/>
  <c r="E79" i="32"/>
  <c r="F79" i="32"/>
  <c r="G79" i="32"/>
  <c r="H79" i="32"/>
  <c r="B80" i="32"/>
  <c r="C80" i="32"/>
  <c r="D80" i="32"/>
  <c r="E80" i="32"/>
  <c r="F80" i="32"/>
  <c r="G80" i="32"/>
  <c r="H80" i="32"/>
  <c r="B81" i="32"/>
  <c r="C81" i="32"/>
  <c r="D81" i="32"/>
  <c r="E81" i="32"/>
  <c r="F81" i="32"/>
  <c r="G81" i="32"/>
  <c r="H81" i="32"/>
  <c r="B82" i="32"/>
  <c r="C82" i="32"/>
  <c r="D82" i="32"/>
  <c r="E82" i="32"/>
  <c r="F82" i="32"/>
  <c r="G82" i="32"/>
  <c r="H82" i="32"/>
  <c r="B83" i="32"/>
  <c r="C83" i="32"/>
  <c r="D83" i="32"/>
  <c r="E83" i="32"/>
  <c r="F83" i="32"/>
  <c r="G83" i="32"/>
  <c r="H83" i="32"/>
  <c r="B84" i="32"/>
  <c r="C84" i="32"/>
  <c r="D84" i="32"/>
  <c r="E84" i="32"/>
  <c r="F84" i="32"/>
  <c r="G84" i="32"/>
  <c r="H84" i="32"/>
  <c r="B85" i="32"/>
  <c r="C85" i="32"/>
  <c r="D85" i="32"/>
  <c r="E85" i="32"/>
  <c r="F85" i="32"/>
  <c r="G85" i="32"/>
  <c r="H85" i="32"/>
  <c r="B86" i="32"/>
  <c r="C86" i="32"/>
  <c r="D86" i="32"/>
  <c r="E86" i="32"/>
  <c r="F86" i="32"/>
  <c r="G86" i="32"/>
  <c r="H86" i="32"/>
  <c r="B87" i="32"/>
  <c r="C87" i="32"/>
  <c r="D87" i="32"/>
  <c r="E87" i="32"/>
  <c r="F87" i="32"/>
  <c r="G87" i="32"/>
  <c r="H87" i="32"/>
  <c r="B88" i="32"/>
  <c r="C88" i="32"/>
  <c r="D88" i="32"/>
  <c r="E88" i="32"/>
  <c r="F88" i="32"/>
  <c r="G88" i="32"/>
  <c r="H88" i="32"/>
  <c r="C4" i="12"/>
  <c r="B21" i="12"/>
  <c r="B22" i="12"/>
  <c r="C22" i="12"/>
  <c r="D22" i="12"/>
  <c r="E22" i="12"/>
  <c r="F22" i="12"/>
  <c r="G22" i="12"/>
  <c r="H22" i="12"/>
  <c r="B23" i="12"/>
  <c r="C23" i="12"/>
  <c r="D23" i="12"/>
  <c r="E23" i="12"/>
  <c r="F23" i="12"/>
  <c r="G23" i="12"/>
  <c r="H23" i="12"/>
  <c r="B24" i="12"/>
  <c r="C24" i="12"/>
  <c r="D24" i="12"/>
  <c r="E24" i="12"/>
  <c r="F24" i="12"/>
  <c r="G24" i="12"/>
  <c r="H24" i="12"/>
  <c r="B25" i="12"/>
  <c r="C25" i="12"/>
  <c r="D25" i="12"/>
  <c r="E25" i="12"/>
  <c r="F25" i="12"/>
  <c r="G25" i="12"/>
  <c r="H25" i="12"/>
  <c r="B26" i="12"/>
  <c r="C26" i="12"/>
  <c r="D26" i="12"/>
  <c r="E26" i="12"/>
  <c r="F26" i="12"/>
  <c r="G26" i="12"/>
  <c r="H26" i="12"/>
  <c r="B27" i="12"/>
  <c r="C27" i="12"/>
  <c r="D27" i="12"/>
  <c r="E27" i="12"/>
  <c r="F27" i="12"/>
  <c r="G27" i="12"/>
  <c r="H27" i="12"/>
  <c r="B28" i="12"/>
  <c r="C28" i="12"/>
  <c r="D28" i="12"/>
  <c r="E28" i="12"/>
  <c r="F28" i="12"/>
  <c r="G28" i="12"/>
  <c r="H28" i="12"/>
  <c r="B29" i="12"/>
  <c r="C29" i="12"/>
  <c r="D29" i="12"/>
  <c r="E29" i="12"/>
  <c r="F29" i="12"/>
  <c r="G29" i="12"/>
  <c r="H29" i="12"/>
  <c r="B30" i="12"/>
  <c r="C30" i="12"/>
  <c r="D30" i="12"/>
  <c r="E30" i="12"/>
  <c r="F30" i="12"/>
  <c r="G30" i="12"/>
  <c r="H30" i="12"/>
  <c r="B31" i="12"/>
  <c r="C31" i="12"/>
  <c r="D31" i="12"/>
  <c r="E31" i="12"/>
  <c r="F31" i="12"/>
  <c r="G31" i="12"/>
  <c r="H31" i="12"/>
  <c r="B32" i="12"/>
  <c r="C32" i="12"/>
  <c r="D32" i="12"/>
  <c r="E32" i="12"/>
  <c r="F32" i="12"/>
  <c r="G32" i="12"/>
  <c r="H32" i="12"/>
  <c r="B33" i="12"/>
  <c r="C33" i="12"/>
  <c r="D33" i="12"/>
  <c r="E33" i="12"/>
  <c r="F33" i="12"/>
  <c r="G33" i="12"/>
  <c r="H33" i="12"/>
  <c r="B34" i="12"/>
  <c r="C34" i="12"/>
  <c r="D34" i="12"/>
  <c r="E34" i="12"/>
  <c r="F34" i="12"/>
  <c r="G34" i="12"/>
  <c r="H34" i="12"/>
  <c r="B42" i="12"/>
  <c r="C43" i="12"/>
  <c r="D43" i="12"/>
  <c r="E43" i="12"/>
  <c r="F43" i="12"/>
  <c r="G43" i="12"/>
  <c r="H43" i="12"/>
  <c r="B44" i="12"/>
  <c r="C44" i="12"/>
  <c r="D44" i="12"/>
  <c r="E44" i="12"/>
  <c r="F44" i="12"/>
  <c r="G44" i="12"/>
  <c r="H44" i="12"/>
  <c r="B45" i="12"/>
  <c r="C45" i="12"/>
  <c r="D45" i="12"/>
  <c r="E45" i="12"/>
  <c r="F45" i="12"/>
  <c r="G45" i="12"/>
  <c r="H45" i="12"/>
  <c r="B46" i="12"/>
  <c r="C46" i="12"/>
  <c r="D46" i="12"/>
  <c r="E46" i="12"/>
  <c r="F46" i="12"/>
  <c r="G46" i="12"/>
  <c r="H46" i="12"/>
  <c r="B47" i="12"/>
  <c r="C47" i="12"/>
  <c r="D47" i="12"/>
  <c r="E47" i="12"/>
  <c r="F47" i="12"/>
  <c r="G47" i="12"/>
  <c r="H47" i="12"/>
  <c r="B48" i="12"/>
  <c r="C48" i="12"/>
  <c r="D48" i="12"/>
  <c r="E48" i="12"/>
  <c r="F48" i="12"/>
  <c r="G48" i="12"/>
  <c r="H48" i="12"/>
  <c r="B49" i="12"/>
  <c r="C49" i="12"/>
  <c r="D49" i="12"/>
  <c r="E49" i="12"/>
  <c r="F49" i="12"/>
  <c r="G49" i="12"/>
  <c r="H49" i="12"/>
  <c r="B50" i="12"/>
  <c r="C50" i="12"/>
  <c r="D50" i="12"/>
  <c r="E50" i="12"/>
  <c r="F50" i="12"/>
  <c r="G50" i="12"/>
  <c r="H50" i="12"/>
  <c r="B51" i="12"/>
  <c r="C51" i="12"/>
  <c r="D51" i="12"/>
  <c r="E51" i="12"/>
  <c r="F51" i="12"/>
  <c r="G51" i="12"/>
  <c r="H51" i="12"/>
  <c r="B52" i="12"/>
  <c r="C52" i="12"/>
  <c r="D52" i="12"/>
  <c r="E52" i="12"/>
  <c r="F52" i="12"/>
  <c r="G52" i="12"/>
  <c r="H52" i="12"/>
  <c r="B53" i="12"/>
  <c r="C53" i="12"/>
  <c r="D53" i="12"/>
  <c r="E53" i="12"/>
  <c r="F53" i="12"/>
  <c r="G53" i="12"/>
  <c r="H53" i="12"/>
  <c r="B54" i="12"/>
  <c r="C54" i="12"/>
  <c r="D54" i="12"/>
  <c r="E54" i="12"/>
  <c r="F54" i="12"/>
  <c r="G54" i="12"/>
  <c r="H54" i="12"/>
  <c r="B55" i="12"/>
  <c r="C55" i="12"/>
  <c r="D55" i="12"/>
  <c r="E55" i="12"/>
  <c r="F55" i="12"/>
  <c r="G55" i="12"/>
  <c r="H55" i="12"/>
  <c r="B63" i="12"/>
  <c r="C64" i="12"/>
  <c r="D64" i="12"/>
  <c r="E64" i="12"/>
  <c r="F64" i="12"/>
  <c r="G64" i="12"/>
  <c r="H64" i="12"/>
  <c r="B65" i="12"/>
  <c r="C65" i="12"/>
  <c r="D65" i="12"/>
  <c r="E65" i="12"/>
  <c r="F65" i="12"/>
  <c r="F86" i="12"/>
  <c r="G65" i="12"/>
  <c r="H65" i="12"/>
  <c r="B66" i="12"/>
  <c r="C66" i="12"/>
  <c r="C87" i="12"/>
  <c r="D66" i="12"/>
  <c r="E66" i="12"/>
  <c r="F66" i="12"/>
  <c r="G66" i="12"/>
  <c r="G87" i="12"/>
  <c r="H66" i="12"/>
  <c r="B67" i="12"/>
  <c r="C67" i="12"/>
  <c r="D67" i="12"/>
  <c r="D88" i="12"/>
  <c r="E67" i="12"/>
  <c r="F67" i="12"/>
  <c r="G67" i="12"/>
  <c r="H67" i="12"/>
  <c r="H88" i="12"/>
  <c r="B68" i="12"/>
  <c r="C68" i="12"/>
  <c r="D68" i="12"/>
  <c r="E68" i="12"/>
  <c r="E89" i="12"/>
  <c r="F68" i="12"/>
  <c r="G68" i="12"/>
  <c r="H68" i="12"/>
  <c r="B69" i="12"/>
  <c r="C69" i="12"/>
  <c r="D69" i="12"/>
  <c r="E69" i="12"/>
  <c r="F69" i="12"/>
  <c r="G69" i="12"/>
  <c r="H69" i="12"/>
  <c r="B70" i="12"/>
  <c r="C70" i="12"/>
  <c r="D70" i="12"/>
  <c r="E70" i="12"/>
  <c r="F70" i="12"/>
  <c r="G70" i="12"/>
  <c r="H70" i="12"/>
  <c r="B71" i="12"/>
  <c r="C71" i="12"/>
  <c r="D71" i="12"/>
  <c r="E71" i="12"/>
  <c r="F71" i="12"/>
  <c r="G71" i="12"/>
  <c r="H71" i="12"/>
  <c r="B72" i="12"/>
  <c r="C72" i="12"/>
  <c r="D72" i="12"/>
  <c r="E72" i="12"/>
  <c r="F72" i="12"/>
  <c r="G72" i="12"/>
  <c r="H72" i="12"/>
  <c r="B73" i="12"/>
  <c r="C73" i="12"/>
  <c r="D73" i="12"/>
  <c r="E73" i="12"/>
  <c r="F73" i="12"/>
  <c r="G73" i="12"/>
  <c r="H73" i="12"/>
  <c r="B74" i="12"/>
  <c r="C74" i="12"/>
  <c r="D74" i="12"/>
  <c r="E74" i="12"/>
  <c r="F74" i="12"/>
  <c r="G74" i="12"/>
  <c r="H74" i="12"/>
  <c r="B75" i="12"/>
  <c r="C75" i="12"/>
  <c r="D75" i="12"/>
  <c r="E75" i="12"/>
  <c r="F75" i="12"/>
  <c r="G75" i="12"/>
  <c r="H75" i="12"/>
  <c r="B76" i="12"/>
  <c r="C76" i="12"/>
  <c r="D76" i="12"/>
  <c r="E76" i="12"/>
  <c r="F76" i="12"/>
  <c r="G76" i="12"/>
  <c r="H76" i="12"/>
  <c r="B84" i="12"/>
  <c r="C84" i="12"/>
  <c r="L126" i="12"/>
  <c r="C85" i="12"/>
  <c r="D85" i="12"/>
  <c r="E85" i="12"/>
  <c r="F85" i="12"/>
  <c r="G85" i="12"/>
  <c r="H85" i="12"/>
  <c r="B86" i="12"/>
  <c r="C86" i="12"/>
  <c r="D86" i="12"/>
  <c r="E86" i="12"/>
  <c r="G86" i="12"/>
  <c r="H86" i="12"/>
  <c r="B87" i="12"/>
  <c r="D87" i="12"/>
  <c r="E87" i="12"/>
  <c r="F87" i="12"/>
  <c r="H87" i="12"/>
  <c r="B88" i="12"/>
  <c r="C88" i="12"/>
  <c r="E88" i="12"/>
  <c r="F88" i="12"/>
  <c r="G88" i="12"/>
  <c r="B89" i="12"/>
  <c r="C89" i="12"/>
  <c r="D89" i="12"/>
  <c r="F89" i="12"/>
  <c r="G89" i="12"/>
  <c r="H89" i="12"/>
  <c r="B90" i="12"/>
  <c r="C90" i="12"/>
  <c r="D90" i="12"/>
  <c r="E90" i="12"/>
  <c r="F90" i="12"/>
  <c r="G90" i="12"/>
  <c r="H90" i="12"/>
  <c r="B91" i="12"/>
  <c r="C91" i="12"/>
  <c r="D91" i="12"/>
  <c r="E91" i="12"/>
  <c r="F91" i="12"/>
  <c r="G91" i="12"/>
  <c r="H91" i="12"/>
  <c r="B92" i="12"/>
  <c r="C92" i="12"/>
  <c r="D92" i="12"/>
  <c r="E92" i="12"/>
  <c r="F92" i="12"/>
  <c r="G92" i="12"/>
  <c r="H92" i="12"/>
  <c r="B93" i="12"/>
  <c r="C93" i="12"/>
  <c r="D93" i="12"/>
  <c r="E93" i="12"/>
  <c r="F93" i="12"/>
  <c r="G93" i="12"/>
  <c r="H93" i="12"/>
  <c r="B94" i="12"/>
  <c r="C94" i="12"/>
  <c r="D94" i="12"/>
  <c r="E94" i="12"/>
  <c r="F94" i="12"/>
  <c r="G94" i="12"/>
  <c r="H94" i="12"/>
  <c r="B95" i="12"/>
  <c r="C95" i="12"/>
  <c r="D95" i="12"/>
  <c r="E95" i="12"/>
  <c r="F95" i="12"/>
  <c r="G95" i="12"/>
  <c r="H95" i="12"/>
  <c r="B96" i="12"/>
  <c r="C96" i="12"/>
  <c r="D96" i="12"/>
  <c r="E96" i="12"/>
  <c r="F96" i="12"/>
  <c r="G96" i="12"/>
  <c r="H96" i="12"/>
  <c r="B97" i="12"/>
  <c r="C97" i="12"/>
  <c r="D97" i="12"/>
  <c r="E97" i="12"/>
  <c r="F97" i="12"/>
  <c r="G97" i="12"/>
  <c r="H97" i="12"/>
  <c r="C106" i="12"/>
  <c r="D106" i="12"/>
  <c r="E106" i="12"/>
  <c r="F106" i="12"/>
  <c r="G106" i="12"/>
  <c r="H106" i="12"/>
  <c r="L106" i="12"/>
  <c r="M106" i="12"/>
  <c r="N106" i="12"/>
  <c r="O106" i="12"/>
  <c r="P106" i="12"/>
  <c r="Q106" i="12"/>
  <c r="B107" i="12"/>
  <c r="C107" i="12"/>
  <c r="D107" i="12"/>
  <c r="E107" i="12"/>
  <c r="F107" i="12"/>
  <c r="G107" i="12"/>
  <c r="H107" i="12"/>
  <c r="K107" i="12"/>
  <c r="L107" i="12"/>
  <c r="M107" i="12"/>
  <c r="N107" i="12"/>
  <c r="O107" i="12"/>
  <c r="P107" i="12"/>
  <c r="Q107" i="12"/>
  <c r="B108" i="12"/>
  <c r="C108" i="12"/>
  <c r="D108" i="12"/>
  <c r="E108" i="12"/>
  <c r="F108" i="12"/>
  <c r="G108" i="12"/>
  <c r="H108" i="12"/>
  <c r="K108" i="12"/>
  <c r="L108" i="12"/>
  <c r="M108" i="12"/>
  <c r="N108" i="12"/>
  <c r="O108" i="12"/>
  <c r="P108" i="12"/>
  <c r="Q108" i="12"/>
  <c r="B109" i="12"/>
  <c r="C109" i="12"/>
  <c r="D109" i="12"/>
  <c r="E109" i="12"/>
  <c r="F109" i="12"/>
  <c r="G109" i="12"/>
  <c r="H109" i="12"/>
  <c r="K109" i="12"/>
  <c r="L109" i="12"/>
  <c r="M109" i="12"/>
  <c r="N109" i="12"/>
  <c r="O109" i="12"/>
  <c r="P109" i="12"/>
  <c r="Q109" i="12"/>
  <c r="B110" i="12"/>
  <c r="C110" i="12"/>
  <c r="D110" i="12"/>
  <c r="E110" i="12"/>
  <c r="F110" i="12"/>
  <c r="G110" i="12"/>
  <c r="H110" i="12"/>
  <c r="K110" i="12"/>
  <c r="L110" i="12"/>
  <c r="M110" i="12"/>
  <c r="N110" i="12"/>
  <c r="O110" i="12"/>
  <c r="P110" i="12"/>
  <c r="Q110" i="12"/>
  <c r="B111" i="12"/>
  <c r="C111" i="12"/>
  <c r="D111" i="12"/>
  <c r="E111" i="12"/>
  <c r="F111" i="12"/>
  <c r="G111" i="12"/>
  <c r="H111" i="12"/>
  <c r="K111" i="12"/>
  <c r="L111" i="12"/>
  <c r="M111" i="12"/>
  <c r="N111" i="12"/>
  <c r="O111" i="12"/>
  <c r="P111" i="12"/>
  <c r="Q111" i="12"/>
  <c r="B112" i="12"/>
  <c r="C112" i="12"/>
  <c r="D112" i="12"/>
  <c r="E112" i="12"/>
  <c r="F112" i="12"/>
  <c r="G112" i="12"/>
  <c r="H112" i="12"/>
  <c r="K112" i="12"/>
  <c r="L112" i="12"/>
  <c r="M112" i="12"/>
  <c r="N112" i="12"/>
  <c r="O112" i="12"/>
  <c r="P112" i="12"/>
  <c r="Q112" i="12"/>
  <c r="B113" i="12"/>
  <c r="C113" i="12"/>
  <c r="D113" i="12"/>
  <c r="E113" i="12"/>
  <c r="F113" i="12"/>
  <c r="G113" i="12"/>
  <c r="H113" i="12"/>
  <c r="K113" i="12"/>
  <c r="L113" i="12"/>
  <c r="M113" i="12"/>
  <c r="N113" i="12"/>
  <c r="O113" i="12"/>
  <c r="P113" i="12"/>
  <c r="Q113" i="12"/>
  <c r="B114" i="12"/>
  <c r="C114" i="12"/>
  <c r="D114" i="12"/>
  <c r="E114" i="12"/>
  <c r="F114" i="12"/>
  <c r="G114" i="12"/>
  <c r="H114" i="12"/>
  <c r="K114" i="12"/>
  <c r="L114" i="12"/>
  <c r="M114" i="12"/>
  <c r="N114" i="12"/>
  <c r="O114" i="12"/>
  <c r="P114" i="12"/>
  <c r="Q114" i="12"/>
  <c r="B115" i="12"/>
  <c r="C115" i="12"/>
  <c r="D115" i="12"/>
  <c r="E115" i="12"/>
  <c r="F115" i="12"/>
  <c r="G115" i="12"/>
  <c r="H115" i="12"/>
  <c r="K115" i="12"/>
  <c r="L115" i="12"/>
  <c r="M115" i="12"/>
  <c r="N115" i="12"/>
  <c r="O115" i="12"/>
  <c r="P115" i="12"/>
  <c r="Q115" i="12"/>
  <c r="B116" i="12"/>
  <c r="C116" i="12"/>
  <c r="D116" i="12"/>
  <c r="E116" i="12"/>
  <c r="F116" i="12"/>
  <c r="G116" i="12"/>
  <c r="H116" i="12"/>
  <c r="K116" i="12"/>
  <c r="L116" i="12"/>
  <c r="M116" i="12"/>
  <c r="N116" i="12"/>
  <c r="O116" i="12"/>
  <c r="P116" i="12"/>
  <c r="Q116" i="12"/>
  <c r="B117" i="12"/>
  <c r="C117" i="12"/>
  <c r="D117" i="12"/>
  <c r="E117" i="12"/>
  <c r="F117" i="12"/>
  <c r="G117" i="12"/>
  <c r="H117" i="12"/>
  <c r="K117" i="12"/>
  <c r="L117" i="12"/>
  <c r="M117" i="12"/>
  <c r="N117" i="12"/>
  <c r="O117" i="12"/>
  <c r="P117" i="12"/>
  <c r="Q117" i="12"/>
  <c r="B118" i="12"/>
  <c r="C118" i="12"/>
  <c r="D118" i="12"/>
  <c r="E118" i="12"/>
  <c r="F118" i="12"/>
  <c r="G118" i="12"/>
  <c r="H118" i="12"/>
  <c r="K118" i="12"/>
  <c r="L118" i="12"/>
  <c r="M118" i="12"/>
  <c r="N118" i="12"/>
  <c r="O118" i="12"/>
  <c r="P118" i="12"/>
  <c r="Q118" i="12"/>
  <c r="C126" i="12"/>
  <c r="C168" i="12"/>
  <c r="L168" i="12"/>
  <c r="C127" i="12"/>
  <c r="D127" i="12"/>
  <c r="E127" i="12"/>
  <c r="F127" i="12"/>
  <c r="G127" i="12"/>
  <c r="H127" i="12"/>
  <c r="L127" i="12"/>
  <c r="M127" i="12"/>
  <c r="N127" i="12"/>
  <c r="O127" i="12"/>
  <c r="P127" i="12"/>
  <c r="Q127" i="12"/>
  <c r="B128" i="12"/>
  <c r="C128" i="12"/>
  <c r="D128" i="12"/>
  <c r="E128" i="12"/>
  <c r="F128" i="12"/>
  <c r="G128" i="12"/>
  <c r="H128" i="12"/>
  <c r="K128" i="12"/>
  <c r="L128" i="12"/>
  <c r="M128" i="12"/>
  <c r="N128" i="12"/>
  <c r="O128" i="12"/>
  <c r="P128" i="12"/>
  <c r="Q128" i="12"/>
  <c r="B129" i="12"/>
  <c r="C129" i="12"/>
  <c r="D129" i="12"/>
  <c r="E129" i="12"/>
  <c r="F129" i="12"/>
  <c r="G129" i="12"/>
  <c r="H129" i="12"/>
  <c r="K129" i="12"/>
  <c r="L129" i="12"/>
  <c r="M129" i="12"/>
  <c r="N129" i="12"/>
  <c r="O129" i="12"/>
  <c r="P129" i="12"/>
  <c r="Q129" i="12"/>
  <c r="B130" i="12"/>
  <c r="C130" i="12"/>
  <c r="D130" i="12"/>
  <c r="E130" i="12"/>
  <c r="F130" i="12"/>
  <c r="G130" i="12"/>
  <c r="H130" i="12"/>
  <c r="K130" i="12"/>
  <c r="L130" i="12"/>
  <c r="M130" i="12"/>
  <c r="N130" i="12"/>
  <c r="O130" i="12"/>
  <c r="P130" i="12"/>
  <c r="Q130" i="12"/>
  <c r="B131" i="12"/>
  <c r="C131" i="12"/>
  <c r="D131" i="12"/>
  <c r="E131" i="12"/>
  <c r="F131" i="12"/>
  <c r="G131" i="12"/>
  <c r="H131" i="12"/>
  <c r="K131" i="12"/>
  <c r="L131" i="12"/>
  <c r="M131" i="12"/>
  <c r="N131" i="12"/>
  <c r="O131" i="12"/>
  <c r="P131" i="12"/>
  <c r="Q131" i="12"/>
  <c r="B132" i="12"/>
  <c r="C132" i="12"/>
  <c r="D132" i="12"/>
  <c r="E132" i="12"/>
  <c r="F132" i="12"/>
  <c r="G132" i="12"/>
  <c r="H132" i="12"/>
  <c r="K132" i="12"/>
  <c r="L132" i="12"/>
  <c r="M132" i="12"/>
  <c r="N132" i="12"/>
  <c r="O132" i="12"/>
  <c r="P132" i="12"/>
  <c r="Q132" i="12"/>
  <c r="B133" i="12"/>
  <c r="C133" i="12"/>
  <c r="D133" i="12"/>
  <c r="E133" i="12"/>
  <c r="F133" i="12"/>
  <c r="G133" i="12"/>
  <c r="H133" i="12"/>
  <c r="K133" i="12"/>
  <c r="L133" i="12"/>
  <c r="M133" i="12"/>
  <c r="N133" i="12"/>
  <c r="O133" i="12"/>
  <c r="P133" i="12"/>
  <c r="Q133" i="12"/>
  <c r="B134" i="12"/>
  <c r="C134" i="12"/>
  <c r="D134" i="12"/>
  <c r="E134" i="12"/>
  <c r="F134" i="12"/>
  <c r="G134" i="12"/>
  <c r="H134" i="12"/>
  <c r="K134" i="12"/>
  <c r="L134" i="12"/>
  <c r="M134" i="12"/>
  <c r="N134" i="12"/>
  <c r="O134" i="12"/>
  <c r="P134" i="12"/>
  <c r="Q134" i="12"/>
  <c r="B135" i="12"/>
  <c r="C135" i="12"/>
  <c r="D135" i="12"/>
  <c r="E135" i="12"/>
  <c r="F135" i="12"/>
  <c r="G135" i="12"/>
  <c r="H135" i="12"/>
  <c r="K135" i="12"/>
  <c r="L135" i="12"/>
  <c r="M135" i="12"/>
  <c r="N135" i="12"/>
  <c r="O135" i="12"/>
  <c r="P135" i="12"/>
  <c r="Q135" i="12"/>
  <c r="B136" i="12"/>
  <c r="C136" i="12"/>
  <c r="D136" i="12"/>
  <c r="E136" i="12"/>
  <c r="F136" i="12"/>
  <c r="G136" i="12"/>
  <c r="H136" i="12"/>
  <c r="K136" i="12"/>
  <c r="L136" i="12"/>
  <c r="M136" i="12"/>
  <c r="N136" i="12"/>
  <c r="O136" i="12"/>
  <c r="P136" i="12"/>
  <c r="Q136" i="12"/>
  <c r="B137" i="12"/>
  <c r="C137" i="12"/>
  <c r="D137" i="12"/>
  <c r="E137" i="12"/>
  <c r="F137" i="12"/>
  <c r="G137" i="12"/>
  <c r="H137" i="12"/>
  <c r="K137" i="12"/>
  <c r="L137" i="12"/>
  <c r="M137" i="12"/>
  <c r="N137" i="12"/>
  <c r="O137" i="12"/>
  <c r="P137" i="12"/>
  <c r="Q137" i="12"/>
  <c r="B138" i="12"/>
  <c r="C138" i="12"/>
  <c r="D138" i="12"/>
  <c r="E138" i="12"/>
  <c r="F138" i="12"/>
  <c r="G138" i="12"/>
  <c r="H138" i="12"/>
  <c r="K138" i="12"/>
  <c r="L138" i="12"/>
  <c r="M138" i="12"/>
  <c r="N138" i="12"/>
  <c r="O138" i="12"/>
  <c r="P138" i="12"/>
  <c r="Q138" i="12"/>
  <c r="B139" i="12"/>
  <c r="C139" i="12"/>
  <c r="D139" i="12"/>
  <c r="E139" i="12"/>
  <c r="F139" i="12"/>
  <c r="G139" i="12"/>
  <c r="H139" i="12"/>
  <c r="K139" i="12"/>
  <c r="L139" i="12"/>
  <c r="M139" i="12"/>
  <c r="N139" i="12"/>
  <c r="O139" i="12"/>
  <c r="P139" i="12"/>
  <c r="Q139" i="12"/>
  <c r="C148" i="12"/>
  <c r="D148" i="12"/>
  <c r="E148" i="12"/>
  <c r="F148" i="12"/>
  <c r="G148" i="12"/>
  <c r="H148" i="12"/>
  <c r="L148" i="12"/>
  <c r="M148" i="12"/>
  <c r="N148" i="12"/>
  <c r="O148" i="12"/>
  <c r="P148" i="12"/>
  <c r="Q148" i="12"/>
  <c r="A149" i="12"/>
  <c r="B149" i="12"/>
  <c r="C149" i="12"/>
  <c r="D149" i="12"/>
  <c r="E149" i="12"/>
  <c r="F149" i="12"/>
  <c r="G149" i="12"/>
  <c r="H149" i="12"/>
  <c r="K149" i="12"/>
  <c r="L149" i="12"/>
  <c r="M149" i="12"/>
  <c r="N149" i="12"/>
  <c r="O149" i="12"/>
  <c r="P149" i="12"/>
  <c r="Q149" i="12"/>
  <c r="B150" i="12"/>
  <c r="C150" i="12"/>
  <c r="D150" i="12"/>
  <c r="E150" i="12"/>
  <c r="F150" i="12"/>
  <c r="G150" i="12"/>
  <c r="H150" i="12"/>
  <c r="K150" i="12"/>
  <c r="L150" i="12"/>
  <c r="M150" i="12"/>
  <c r="N150" i="12"/>
  <c r="O150" i="12"/>
  <c r="P150" i="12"/>
  <c r="Q150" i="12"/>
  <c r="B151" i="12"/>
  <c r="C151" i="12"/>
  <c r="D151" i="12"/>
  <c r="E151" i="12"/>
  <c r="F151" i="12"/>
  <c r="G151" i="12"/>
  <c r="H151" i="12"/>
  <c r="K151" i="12"/>
  <c r="L151" i="12"/>
  <c r="M151" i="12"/>
  <c r="N151" i="12"/>
  <c r="O151" i="12"/>
  <c r="P151" i="12"/>
  <c r="Q151" i="12"/>
  <c r="B152" i="12"/>
  <c r="C152" i="12"/>
  <c r="D152" i="12"/>
  <c r="E152" i="12"/>
  <c r="F152" i="12"/>
  <c r="G152" i="12"/>
  <c r="H152" i="12"/>
  <c r="K152" i="12"/>
  <c r="L152" i="12"/>
  <c r="M152" i="12"/>
  <c r="N152" i="12"/>
  <c r="O152" i="12"/>
  <c r="P152" i="12"/>
  <c r="Q152" i="12"/>
  <c r="B153" i="12"/>
  <c r="C153" i="12"/>
  <c r="D153" i="12"/>
  <c r="E153" i="12"/>
  <c r="F153" i="12"/>
  <c r="G153" i="12"/>
  <c r="H153" i="12"/>
  <c r="K153" i="12"/>
  <c r="L153" i="12"/>
  <c r="M153" i="12"/>
  <c r="N153" i="12"/>
  <c r="O153" i="12"/>
  <c r="P153" i="12"/>
  <c r="Q153" i="12"/>
  <c r="B154" i="12"/>
  <c r="C154" i="12"/>
  <c r="D154" i="12"/>
  <c r="E154" i="12"/>
  <c r="F154" i="12"/>
  <c r="G154" i="12"/>
  <c r="H154" i="12"/>
  <c r="K154" i="12"/>
  <c r="L154" i="12"/>
  <c r="M154" i="12"/>
  <c r="N154" i="12"/>
  <c r="O154" i="12"/>
  <c r="P154" i="12"/>
  <c r="Q154" i="12"/>
  <c r="B155" i="12"/>
  <c r="C155" i="12"/>
  <c r="D155" i="12"/>
  <c r="E155" i="12"/>
  <c r="F155" i="12"/>
  <c r="G155" i="12"/>
  <c r="H155" i="12"/>
  <c r="K155" i="12"/>
  <c r="L155" i="12"/>
  <c r="M155" i="12"/>
  <c r="N155" i="12"/>
  <c r="O155" i="12"/>
  <c r="P155" i="12"/>
  <c r="Q155" i="12"/>
  <c r="B156" i="12"/>
  <c r="C156" i="12"/>
  <c r="D156" i="12"/>
  <c r="E156" i="12"/>
  <c r="F156" i="12"/>
  <c r="G156" i="12"/>
  <c r="H156" i="12"/>
  <c r="K156" i="12"/>
  <c r="L156" i="12"/>
  <c r="M156" i="12"/>
  <c r="N156" i="12"/>
  <c r="O156" i="12"/>
  <c r="P156" i="12"/>
  <c r="Q156" i="12"/>
  <c r="B157" i="12"/>
  <c r="C157" i="12"/>
  <c r="D157" i="12"/>
  <c r="E157" i="12"/>
  <c r="F157" i="12"/>
  <c r="G157" i="12"/>
  <c r="H157" i="12"/>
  <c r="K157" i="12"/>
  <c r="L157" i="12"/>
  <c r="M157" i="12"/>
  <c r="N157" i="12"/>
  <c r="O157" i="12"/>
  <c r="P157" i="12"/>
  <c r="Q157" i="12"/>
  <c r="B158" i="12"/>
  <c r="C158" i="12"/>
  <c r="D158" i="12"/>
  <c r="E158" i="12"/>
  <c r="F158" i="12"/>
  <c r="G158" i="12"/>
  <c r="H158" i="12"/>
  <c r="K158" i="12"/>
  <c r="L158" i="12"/>
  <c r="M158" i="12"/>
  <c r="N158" i="12"/>
  <c r="O158" i="12"/>
  <c r="P158" i="12"/>
  <c r="Q158" i="12"/>
  <c r="B159" i="12"/>
  <c r="C159" i="12"/>
  <c r="D159" i="12"/>
  <c r="E159" i="12"/>
  <c r="F159" i="12"/>
  <c r="G159" i="12"/>
  <c r="H159" i="12"/>
  <c r="K159" i="12"/>
  <c r="L159" i="12"/>
  <c r="M159" i="12"/>
  <c r="N159" i="12"/>
  <c r="O159" i="12"/>
  <c r="P159" i="12"/>
  <c r="Q159" i="12"/>
  <c r="B160" i="12"/>
  <c r="C160" i="12"/>
  <c r="D160" i="12"/>
  <c r="E160" i="12"/>
  <c r="F160" i="12"/>
  <c r="G160" i="12"/>
  <c r="H160" i="12"/>
  <c r="K160" i="12"/>
  <c r="L160" i="12"/>
  <c r="M160" i="12"/>
  <c r="N160" i="12"/>
  <c r="O160" i="12"/>
  <c r="P160" i="12"/>
  <c r="Q160" i="12"/>
  <c r="C169" i="12"/>
  <c r="D169" i="12"/>
  <c r="E169" i="12"/>
  <c r="F169" i="12"/>
  <c r="G169" i="12"/>
  <c r="H169" i="12"/>
  <c r="L169" i="12"/>
  <c r="M169" i="12"/>
  <c r="N169" i="12"/>
  <c r="O169" i="12"/>
  <c r="P169" i="12"/>
  <c r="Q169" i="12"/>
  <c r="B170" i="12"/>
  <c r="C170" i="12"/>
  <c r="D170" i="12"/>
  <c r="E170" i="12"/>
  <c r="F170" i="12"/>
  <c r="G170" i="12"/>
  <c r="H170" i="12"/>
  <c r="K170" i="12"/>
  <c r="L170" i="12"/>
  <c r="M170" i="12"/>
  <c r="N170" i="12"/>
  <c r="O170" i="12"/>
  <c r="P170" i="12"/>
  <c r="Q170" i="12"/>
  <c r="B171" i="12"/>
  <c r="C171" i="12"/>
  <c r="D171" i="12"/>
  <c r="E171" i="12"/>
  <c r="F171" i="12"/>
  <c r="G171" i="12"/>
  <c r="H171" i="12"/>
  <c r="K171" i="12"/>
  <c r="L171" i="12"/>
  <c r="M171" i="12"/>
  <c r="N171" i="12"/>
  <c r="O171" i="12"/>
  <c r="P171" i="12"/>
  <c r="Q171" i="12"/>
  <c r="B172" i="12"/>
  <c r="C172" i="12"/>
  <c r="D172" i="12"/>
  <c r="E172" i="12"/>
  <c r="F172" i="12"/>
  <c r="G172" i="12"/>
  <c r="H172" i="12"/>
  <c r="K172" i="12"/>
  <c r="L172" i="12"/>
  <c r="M172" i="12"/>
  <c r="N172" i="12"/>
  <c r="O172" i="12"/>
  <c r="P172" i="12"/>
  <c r="Q172" i="12"/>
  <c r="B173" i="12"/>
  <c r="C173" i="12"/>
  <c r="D173" i="12"/>
  <c r="E173" i="12"/>
  <c r="F173" i="12"/>
  <c r="G173" i="12"/>
  <c r="H173" i="12"/>
  <c r="K173" i="12"/>
  <c r="L173" i="12"/>
  <c r="M173" i="12"/>
  <c r="N173" i="12"/>
  <c r="O173" i="12"/>
  <c r="P173" i="12"/>
  <c r="Q173" i="12"/>
  <c r="B174" i="12"/>
  <c r="C174" i="12"/>
  <c r="D174" i="12"/>
  <c r="E174" i="12"/>
  <c r="F174" i="12"/>
  <c r="G174" i="12"/>
  <c r="H174" i="12"/>
  <c r="K174" i="12"/>
  <c r="L174" i="12"/>
  <c r="M174" i="12"/>
  <c r="N174" i="12"/>
  <c r="O174" i="12"/>
  <c r="P174" i="12"/>
  <c r="Q174" i="12"/>
  <c r="B175" i="12"/>
  <c r="C175" i="12"/>
  <c r="D175" i="12"/>
  <c r="E175" i="12"/>
  <c r="F175" i="12"/>
  <c r="G175" i="12"/>
  <c r="H175" i="12"/>
  <c r="K175" i="12"/>
  <c r="L175" i="12"/>
  <c r="M175" i="12"/>
  <c r="N175" i="12"/>
  <c r="O175" i="12"/>
  <c r="P175" i="12"/>
  <c r="Q175" i="12"/>
  <c r="B176" i="12"/>
  <c r="C176" i="12"/>
  <c r="D176" i="12"/>
  <c r="E176" i="12"/>
  <c r="F176" i="12"/>
  <c r="G176" i="12"/>
  <c r="H176" i="12"/>
  <c r="K176" i="12"/>
  <c r="L176" i="12"/>
  <c r="M176" i="12"/>
  <c r="N176" i="12"/>
  <c r="O176" i="12"/>
  <c r="P176" i="12"/>
  <c r="Q176" i="12"/>
  <c r="B177" i="12"/>
  <c r="C177" i="12"/>
  <c r="D177" i="12"/>
  <c r="E177" i="12"/>
  <c r="F177" i="12"/>
  <c r="G177" i="12"/>
  <c r="H177" i="12"/>
  <c r="K177" i="12"/>
  <c r="L177" i="12"/>
  <c r="M177" i="12"/>
  <c r="N177" i="12"/>
  <c r="O177" i="12"/>
  <c r="P177" i="12"/>
  <c r="Q177" i="12"/>
  <c r="B178" i="12"/>
  <c r="C178" i="12"/>
  <c r="D178" i="12"/>
  <c r="E178" i="12"/>
  <c r="F178" i="12"/>
  <c r="G178" i="12"/>
  <c r="H178" i="12"/>
  <c r="K178" i="12"/>
  <c r="L178" i="12"/>
  <c r="M178" i="12"/>
  <c r="N178" i="12"/>
  <c r="O178" i="12"/>
  <c r="P178" i="12"/>
  <c r="Q178" i="12"/>
  <c r="B179" i="12"/>
  <c r="C179" i="12"/>
  <c r="D179" i="12"/>
  <c r="E179" i="12"/>
  <c r="F179" i="12"/>
  <c r="G179" i="12"/>
  <c r="H179" i="12"/>
  <c r="K179" i="12"/>
  <c r="L179" i="12"/>
  <c r="M179" i="12"/>
  <c r="N179" i="12"/>
  <c r="O179" i="12"/>
  <c r="P179" i="12"/>
  <c r="Q179" i="12"/>
  <c r="B180" i="12"/>
  <c r="C180" i="12"/>
  <c r="D180" i="12"/>
  <c r="E180" i="12"/>
  <c r="F180" i="12"/>
  <c r="G180" i="12"/>
  <c r="H180" i="12"/>
  <c r="K180" i="12"/>
  <c r="L180" i="12"/>
  <c r="M180" i="12"/>
  <c r="N180" i="12"/>
  <c r="O180" i="12"/>
  <c r="P180" i="12"/>
  <c r="Q180" i="12"/>
  <c r="B181" i="12"/>
  <c r="C181" i="12"/>
  <c r="D181" i="12"/>
  <c r="E181" i="12"/>
  <c r="F181" i="12"/>
  <c r="G181" i="12"/>
  <c r="H181" i="12"/>
  <c r="K181" i="12"/>
  <c r="L181" i="12"/>
  <c r="M181" i="12"/>
  <c r="N181" i="12"/>
  <c r="O181" i="12"/>
  <c r="P181" i="12"/>
  <c r="Q181" i="12"/>
  <c r="H186" i="12"/>
  <c r="C190" i="12"/>
  <c r="D190" i="12"/>
  <c r="E190" i="12"/>
  <c r="F190" i="12"/>
  <c r="G190" i="12"/>
  <c r="H190" i="12"/>
  <c r="B191" i="12"/>
  <c r="C191" i="12"/>
  <c r="D191" i="12"/>
  <c r="E191" i="12"/>
  <c r="F191" i="12"/>
  <c r="G191" i="12"/>
  <c r="H191" i="12"/>
  <c r="B192" i="12"/>
  <c r="C192" i="12"/>
  <c r="D192" i="12"/>
  <c r="E192" i="12"/>
  <c r="F192" i="12"/>
  <c r="G192" i="12"/>
  <c r="H192" i="12"/>
  <c r="B193" i="12"/>
  <c r="C193" i="12"/>
  <c r="D193" i="12"/>
  <c r="E193" i="12"/>
  <c r="F193" i="12"/>
  <c r="G193" i="12"/>
  <c r="H193" i="12"/>
  <c r="B194" i="12"/>
  <c r="C194" i="12"/>
  <c r="D194" i="12"/>
  <c r="E194" i="12"/>
  <c r="F194" i="12"/>
  <c r="G194" i="12"/>
  <c r="H194" i="12"/>
  <c r="B195" i="12"/>
  <c r="C195" i="12"/>
  <c r="D195" i="12"/>
  <c r="E195" i="12"/>
  <c r="F195" i="12"/>
  <c r="G195" i="12"/>
  <c r="H195" i="12"/>
  <c r="B196" i="12"/>
  <c r="C196" i="12"/>
  <c r="D196" i="12"/>
  <c r="E196" i="12"/>
  <c r="F196" i="12"/>
  <c r="G196" i="12"/>
  <c r="H196" i="12"/>
  <c r="B197" i="12"/>
  <c r="C197" i="12"/>
  <c r="D197" i="12"/>
  <c r="E197" i="12"/>
  <c r="F197" i="12"/>
  <c r="G197" i="12"/>
  <c r="H197" i="12"/>
  <c r="B198" i="12"/>
  <c r="C198" i="12"/>
  <c r="D198" i="12"/>
  <c r="E198" i="12"/>
  <c r="F198" i="12"/>
  <c r="G198" i="12"/>
  <c r="H198" i="12"/>
  <c r="B199" i="12"/>
  <c r="C199" i="12"/>
  <c r="D199" i="12"/>
  <c r="E199" i="12"/>
  <c r="F199" i="12"/>
  <c r="G199" i="12"/>
  <c r="H199" i="12"/>
  <c r="B200" i="12"/>
  <c r="C200" i="12"/>
  <c r="D200" i="12"/>
  <c r="E200" i="12"/>
  <c r="F200" i="12"/>
  <c r="G200" i="12"/>
  <c r="H200" i="12"/>
  <c r="B201" i="12"/>
  <c r="C201" i="12"/>
  <c r="D201" i="12"/>
  <c r="E201" i="12"/>
  <c r="F201" i="12"/>
  <c r="G201" i="12"/>
  <c r="H201" i="12"/>
  <c r="B202" i="12"/>
  <c r="C202" i="12"/>
  <c r="D202" i="12"/>
  <c r="E202" i="12"/>
  <c r="F202" i="12"/>
  <c r="G202" i="12"/>
  <c r="H202" i="12"/>
  <c r="C211" i="12"/>
  <c r="D211" i="12"/>
  <c r="E211" i="12"/>
  <c r="F211" i="12"/>
  <c r="G211" i="12"/>
  <c r="H211" i="12"/>
  <c r="B212" i="12"/>
  <c r="C212" i="12"/>
  <c r="D212" i="12"/>
  <c r="E212" i="12"/>
  <c r="F212" i="12"/>
  <c r="G212" i="12"/>
  <c r="H212" i="12"/>
  <c r="B213" i="12"/>
  <c r="C213" i="12"/>
  <c r="D213" i="12"/>
  <c r="E213" i="12"/>
  <c r="F213" i="12"/>
  <c r="G213" i="12"/>
  <c r="H213" i="12"/>
  <c r="B214" i="12"/>
  <c r="C214" i="12"/>
  <c r="D214" i="12"/>
  <c r="E214" i="12"/>
  <c r="F214" i="12"/>
  <c r="G214" i="12"/>
  <c r="H214" i="12"/>
  <c r="B215" i="12"/>
  <c r="C215" i="12"/>
  <c r="D215" i="12"/>
  <c r="E215" i="12"/>
  <c r="F215" i="12"/>
  <c r="G215" i="12"/>
  <c r="H215" i="12"/>
  <c r="B216" i="12"/>
  <c r="C216" i="12"/>
  <c r="D216" i="12"/>
  <c r="E216" i="12"/>
  <c r="F216" i="12"/>
  <c r="G216" i="12"/>
  <c r="H216" i="12"/>
  <c r="B217" i="12"/>
  <c r="C217" i="12"/>
  <c r="D217" i="12"/>
  <c r="E217" i="12"/>
  <c r="F217" i="12"/>
  <c r="G217" i="12"/>
  <c r="H217" i="12"/>
  <c r="B218" i="12"/>
  <c r="C218" i="12"/>
  <c r="D218" i="12"/>
  <c r="E218" i="12"/>
  <c r="F218" i="12"/>
  <c r="G218" i="12"/>
  <c r="H218" i="12"/>
  <c r="B219" i="12"/>
  <c r="C219" i="12"/>
  <c r="D219" i="12"/>
  <c r="E219" i="12"/>
  <c r="F219" i="12"/>
  <c r="G219" i="12"/>
  <c r="H219" i="12"/>
  <c r="B220" i="12"/>
  <c r="C220" i="12"/>
  <c r="D220" i="12"/>
  <c r="E220" i="12"/>
  <c r="F220" i="12"/>
  <c r="G220" i="12"/>
  <c r="H220" i="12"/>
  <c r="B221" i="12"/>
  <c r="C221" i="12"/>
  <c r="D221" i="12"/>
  <c r="E221" i="12"/>
  <c r="F221" i="12"/>
  <c r="G221" i="12"/>
  <c r="H221" i="12"/>
  <c r="B222" i="12"/>
  <c r="C222" i="12"/>
  <c r="D222" i="12"/>
  <c r="E222" i="12"/>
  <c r="F222" i="12"/>
  <c r="G222" i="12"/>
  <c r="H222" i="12"/>
  <c r="B223" i="12"/>
  <c r="C223" i="12"/>
  <c r="D223" i="12"/>
  <c r="E223" i="12"/>
  <c r="F223" i="12"/>
  <c r="G223" i="12"/>
  <c r="H223" i="12"/>
  <c r="C232" i="12"/>
  <c r="D232" i="12"/>
  <c r="E232" i="12"/>
  <c r="F232" i="12"/>
  <c r="G232" i="12"/>
  <c r="H232" i="12"/>
  <c r="B233" i="12"/>
  <c r="C233" i="12"/>
  <c r="D233" i="12"/>
  <c r="E233" i="12"/>
  <c r="F233" i="12"/>
  <c r="G233" i="12"/>
  <c r="H233" i="12"/>
  <c r="B234" i="12"/>
  <c r="C234" i="12"/>
  <c r="D234" i="12"/>
  <c r="E234" i="12"/>
  <c r="F234" i="12"/>
  <c r="G234" i="12"/>
  <c r="H234" i="12"/>
  <c r="B235" i="12"/>
  <c r="C235" i="12"/>
  <c r="D235" i="12"/>
  <c r="E235" i="12"/>
  <c r="F235" i="12"/>
  <c r="G235" i="12"/>
  <c r="H235" i="12"/>
  <c r="B236" i="12"/>
  <c r="C236" i="12"/>
  <c r="D236" i="12"/>
  <c r="E236" i="12"/>
  <c r="F236" i="12"/>
  <c r="G236" i="12"/>
  <c r="H236" i="12"/>
  <c r="B237" i="12"/>
  <c r="C237" i="12"/>
  <c r="D237" i="12"/>
  <c r="E237" i="12"/>
  <c r="F237" i="12"/>
  <c r="G237" i="12"/>
  <c r="H237" i="12"/>
  <c r="B238" i="12"/>
  <c r="C238" i="12"/>
  <c r="D238" i="12"/>
  <c r="E238" i="12"/>
  <c r="F238" i="12"/>
  <c r="G238" i="12"/>
  <c r="H238" i="12"/>
  <c r="B239" i="12"/>
  <c r="C239" i="12"/>
  <c r="D239" i="12"/>
  <c r="E239" i="12"/>
  <c r="F239" i="12"/>
  <c r="G239" i="12"/>
  <c r="H239" i="12"/>
  <c r="B240" i="12"/>
  <c r="C240" i="12"/>
  <c r="D240" i="12"/>
  <c r="E240" i="12"/>
  <c r="F240" i="12"/>
  <c r="G240" i="12"/>
  <c r="H240" i="12"/>
  <c r="B241" i="12"/>
  <c r="C241" i="12"/>
  <c r="D241" i="12"/>
  <c r="E241" i="12"/>
  <c r="F241" i="12"/>
  <c r="G241" i="12"/>
  <c r="H241" i="12"/>
  <c r="B242" i="12"/>
  <c r="C242" i="12"/>
  <c r="D242" i="12"/>
  <c r="E242" i="12"/>
  <c r="F242" i="12"/>
  <c r="G242" i="12"/>
  <c r="H242" i="12"/>
  <c r="B243" i="12"/>
  <c r="C243" i="12"/>
  <c r="D243" i="12"/>
  <c r="E243" i="12"/>
  <c r="F243" i="12"/>
  <c r="G243" i="12"/>
  <c r="H243" i="12"/>
  <c r="B244" i="12"/>
  <c r="C244" i="12"/>
  <c r="D244" i="12"/>
  <c r="E244" i="12"/>
  <c r="F244" i="12"/>
  <c r="G244" i="12"/>
  <c r="H244" i="12"/>
  <c r="C253" i="12"/>
  <c r="D253" i="12"/>
  <c r="E253" i="12"/>
  <c r="F253" i="12"/>
  <c r="G253" i="12"/>
  <c r="H253" i="12"/>
  <c r="B254" i="12"/>
  <c r="C254" i="12"/>
  <c r="D254" i="12"/>
  <c r="E254" i="12"/>
  <c r="F254" i="12"/>
  <c r="G254" i="12"/>
  <c r="H254" i="12"/>
  <c r="B255" i="12"/>
  <c r="C255" i="12"/>
  <c r="D255" i="12"/>
  <c r="E255" i="12"/>
  <c r="F255" i="12"/>
  <c r="G255" i="12"/>
  <c r="H255" i="12"/>
  <c r="B256" i="12"/>
  <c r="C256" i="12"/>
  <c r="D256" i="12"/>
  <c r="E256" i="12"/>
  <c r="F256" i="12"/>
  <c r="G256" i="12"/>
  <c r="H256" i="12"/>
  <c r="B257" i="12"/>
  <c r="C257" i="12"/>
  <c r="D257" i="12"/>
  <c r="E257" i="12"/>
  <c r="F257" i="12"/>
  <c r="G257" i="12"/>
  <c r="H257" i="12"/>
  <c r="B258" i="12"/>
  <c r="C258" i="12"/>
  <c r="D258" i="12"/>
  <c r="E258" i="12"/>
  <c r="F258" i="12"/>
  <c r="G258" i="12"/>
  <c r="H258" i="12"/>
  <c r="B259" i="12"/>
  <c r="C259" i="12"/>
  <c r="D259" i="12"/>
  <c r="E259" i="12"/>
  <c r="F259" i="12"/>
  <c r="G259" i="12"/>
  <c r="H259" i="12"/>
  <c r="B260" i="12"/>
  <c r="C260" i="12"/>
  <c r="D260" i="12"/>
  <c r="E260" i="12"/>
  <c r="F260" i="12"/>
  <c r="G260" i="12"/>
  <c r="H260" i="12"/>
  <c r="B261" i="12"/>
  <c r="C261" i="12"/>
  <c r="D261" i="12"/>
  <c r="E261" i="12"/>
  <c r="F261" i="12"/>
  <c r="G261" i="12"/>
  <c r="H261" i="12"/>
  <c r="B262" i="12"/>
  <c r="C262" i="12"/>
  <c r="D262" i="12"/>
  <c r="E262" i="12"/>
  <c r="F262" i="12"/>
  <c r="G262" i="12"/>
  <c r="H262" i="12"/>
  <c r="B263" i="12"/>
  <c r="C263" i="12"/>
  <c r="D263" i="12"/>
  <c r="E263" i="12"/>
  <c r="F263" i="12"/>
  <c r="G263" i="12"/>
  <c r="H263" i="12"/>
  <c r="B264" i="12"/>
  <c r="C264" i="12"/>
  <c r="D264" i="12"/>
  <c r="E264" i="12"/>
  <c r="F264" i="12"/>
  <c r="G264" i="12"/>
  <c r="H264" i="12"/>
  <c r="B265" i="12"/>
  <c r="C265" i="12"/>
  <c r="D265" i="12"/>
  <c r="E265" i="12"/>
  <c r="F265" i="12"/>
  <c r="G265" i="12"/>
  <c r="H265" i="12"/>
  <c r="C274" i="12"/>
  <c r="D274" i="12"/>
  <c r="E274" i="12"/>
  <c r="F274" i="12"/>
  <c r="G274" i="12"/>
  <c r="H274" i="12"/>
  <c r="B275" i="12"/>
  <c r="C275" i="12"/>
  <c r="D275" i="12"/>
  <c r="E275" i="12"/>
  <c r="F275" i="12"/>
  <c r="G275" i="12"/>
  <c r="H275" i="12"/>
  <c r="B276" i="12"/>
  <c r="C276" i="12"/>
  <c r="D276" i="12"/>
  <c r="E276" i="12"/>
  <c r="F276" i="12"/>
  <c r="G276" i="12"/>
  <c r="H276" i="12"/>
  <c r="B277" i="12"/>
  <c r="C277" i="12"/>
  <c r="D277" i="12"/>
  <c r="E277" i="12"/>
  <c r="F277" i="12"/>
  <c r="G277" i="12"/>
  <c r="H277" i="12"/>
  <c r="B278" i="12"/>
  <c r="C278" i="12"/>
  <c r="D278" i="12"/>
  <c r="E278" i="12"/>
  <c r="F278" i="12"/>
  <c r="G278" i="12"/>
  <c r="H278" i="12"/>
  <c r="B279" i="12"/>
  <c r="C279" i="12"/>
  <c r="D279" i="12"/>
  <c r="E279" i="12"/>
  <c r="F279" i="12"/>
  <c r="G279" i="12"/>
  <c r="H279" i="12"/>
  <c r="B280" i="12"/>
  <c r="C280" i="12"/>
  <c r="D280" i="12"/>
  <c r="E280" i="12"/>
  <c r="F280" i="12"/>
  <c r="G280" i="12"/>
  <c r="H280" i="12"/>
  <c r="B281" i="12"/>
  <c r="C281" i="12"/>
  <c r="D281" i="12"/>
  <c r="E281" i="12"/>
  <c r="F281" i="12"/>
  <c r="G281" i="12"/>
  <c r="H281" i="12"/>
  <c r="B282" i="12"/>
  <c r="C282" i="12"/>
  <c r="D282" i="12"/>
  <c r="E282" i="12"/>
  <c r="F282" i="12"/>
  <c r="G282" i="12"/>
  <c r="H282" i="12"/>
  <c r="B283" i="12"/>
  <c r="C283" i="12"/>
  <c r="D283" i="12"/>
  <c r="E283" i="12"/>
  <c r="F283" i="12"/>
  <c r="G283" i="12"/>
  <c r="H283" i="12"/>
  <c r="B284" i="12"/>
  <c r="C284" i="12"/>
  <c r="D284" i="12"/>
  <c r="E284" i="12"/>
  <c r="F284" i="12"/>
  <c r="G284" i="12"/>
  <c r="H284" i="12"/>
  <c r="B285" i="12"/>
  <c r="C285" i="12"/>
  <c r="D285" i="12"/>
  <c r="E285" i="12"/>
  <c r="F285" i="12"/>
  <c r="G285" i="12"/>
  <c r="H285" i="12"/>
  <c r="B286" i="12"/>
  <c r="C286" i="12"/>
  <c r="D286" i="12"/>
  <c r="E286" i="12"/>
  <c r="F286" i="12"/>
  <c r="G286" i="12"/>
  <c r="H286" i="12"/>
  <c r="C295" i="12"/>
  <c r="D295" i="12"/>
  <c r="E295" i="12"/>
  <c r="F295" i="12"/>
  <c r="G295" i="12"/>
  <c r="H295" i="12"/>
  <c r="B296" i="12"/>
  <c r="C296" i="12"/>
  <c r="D296" i="12"/>
  <c r="E296" i="12"/>
  <c r="F296" i="12"/>
  <c r="G296" i="12"/>
  <c r="H296" i="12"/>
  <c r="B297" i="12"/>
  <c r="C297" i="12"/>
  <c r="D297" i="12"/>
  <c r="E297" i="12"/>
  <c r="F297" i="12"/>
  <c r="G297" i="12"/>
  <c r="H297" i="12"/>
  <c r="B298" i="12"/>
  <c r="C298" i="12"/>
  <c r="D298" i="12"/>
  <c r="E298" i="12"/>
  <c r="F298" i="12"/>
  <c r="G298" i="12"/>
  <c r="H298" i="12"/>
  <c r="B299" i="12"/>
  <c r="C299" i="12"/>
  <c r="D299" i="12"/>
  <c r="E299" i="12"/>
  <c r="F299" i="12"/>
  <c r="G299" i="12"/>
  <c r="H299" i="12"/>
  <c r="B300" i="12"/>
  <c r="C300" i="12"/>
  <c r="D300" i="12"/>
  <c r="E300" i="12"/>
  <c r="F300" i="12"/>
  <c r="G300" i="12"/>
  <c r="H300" i="12"/>
  <c r="B301" i="12"/>
  <c r="C301" i="12"/>
  <c r="D301" i="12"/>
  <c r="E301" i="12"/>
  <c r="F301" i="12"/>
  <c r="G301" i="12"/>
  <c r="H301" i="12"/>
  <c r="B302" i="12"/>
  <c r="C302" i="12"/>
  <c r="D302" i="12"/>
  <c r="E302" i="12"/>
  <c r="F302" i="12"/>
  <c r="G302" i="12"/>
  <c r="H302" i="12"/>
  <c r="B303" i="12"/>
  <c r="C303" i="12"/>
  <c r="D303" i="12"/>
  <c r="E303" i="12"/>
  <c r="F303" i="12"/>
  <c r="G303" i="12"/>
  <c r="H303" i="12"/>
  <c r="B304" i="12"/>
  <c r="C304" i="12"/>
  <c r="D304" i="12"/>
  <c r="E304" i="12"/>
  <c r="F304" i="12"/>
  <c r="G304" i="12"/>
  <c r="H304" i="12"/>
  <c r="B305" i="12"/>
  <c r="C305" i="12"/>
  <c r="D305" i="12"/>
  <c r="E305" i="12"/>
  <c r="F305" i="12"/>
  <c r="G305" i="12"/>
  <c r="H305" i="12"/>
  <c r="B306" i="12"/>
  <c r="C306" i="12"/>
  <c r="D306" i="12"/>
  <c r="E306" i="12"/>
  <c r="F306" i="12"/>
  <c r="G306" i="12"/>
  <c r="H306" i="12"/>
  <c r="B307" i="12"/>
  <c r="C307" i="12"/>
  <c r="D307" i="12"/>
  <c r="E307" i="12"/>
  <c r="F307" i="12"/>
  <c r="G307" i="12"/>
  <c r="H307" i="12"/>
  <c r="C316" i="12"/>
  <c r="D316" i="12"/>
  <c r="E316" i="12"/>
  <c r="F316" i="12"/>
  <c r="G316" i="12"/>
  <c r="H316" i="12"/>
  <c r="B317" i="12"/>
  <c r="C317" i="12"/>
  <c r="D317" i="12"/>
  <c r="E317" i="12"/>
  <c r="F317" i="12"/>
  <c r="G317" i="12"/>
  <c r="H317" i="12"/>
  <c r="B318" i="12"/>
  <c r="C318" i="12"/>
  <c r="D318" i="12"/>
  <c r="E318" i="12"/>
  <c r="F318" i="12"/>
  <c r="G318" i="12"/>
  <c r="H318" i="12"/>
  <c r="B319" i="12"/>
  <c r="C319" i="12"/>
  <c r="D319" i="12"/>
  <c r="E319" i="12"/>
  <c r="F319" i="12"/>
  <c r="G319" i="12"/>
  <c r="H319" i="12"/>
  <c r="B320" i="12"/>
  <c r="C320" i="12"/>
  <c r="D320" i="12"/>
  <c r="E320" i="12"/>
  <c r="F320" i="12"/>
  <c r="G320" i="12"/>
  <c r="H320" i="12"/>
  <c r="B321" i="12"/>
  <c r="C321" i="12"/>
  <c r="D321" i="12"/>
  <c r="E321" i="12"/>
  <c r="F321" i="12"/>
  <c r="G321" i="12"/>
  <c r="H321" i="12"/>
  <c r="B322" i="12"/>
  <c r="C322" i="12"/>
  <c r="D322" i="12"/>
  <c r="E322" i="12"/>
  <c r="F322" i="12"/>
  <c r="G322" i="12"/>
  <c r="H322" i="12"/>
  <c r="B323" i="12"/>
  <c r="C323" i="12"/>
  <c r="D323" i="12"/>
  <c r="E323" i="12"/>
  <c r="F323" i="12"/>
  <c r="G323" i="12"/>
  <c r="H323" i="12"/>
  <c r="B324" i="12"/>
  <c r="C324" i="12"/>
  <c r="D324" i="12"/>
  <c r="E324" i="12"/>
  <c r="F324" i="12"/>
  <c r="G324" i="12"/>
  <c r="H324" i="12"/>
  <c r="B325" i="12"/>
  <c r="C325" i="12"/>
  <c r="D325" i="12"/>
  <c r="E325" i="12"/>
  <c r="F325" i="12"/>
  <c r="G325" i="12"/>
  <c r="H325" i="12"/>
  <c r="B326" i="12"/>
  <c r="C326" i="12"/>
  <c r="D326" i="12"/>
  <c r="E326" i="12"/>
  <c r="F326" i="12"/>
  <c r="G326" i="12"/>
  <c r="H326" i="12"/>
  <c r="B327" i="12"/>
  <c r="C327" i="12"/>
  <c r="D327" i="12"/>
  <c r="E327" i="12"/>
  <c r="F327" i="12"/>
  <c r="G327" i="12"/>
  <c r="H327" i="12"/>
  <c r="B328" i="12"/>
  <c r="C328" i="12"/>
  <c r="D328" i="12"/>
  <c r="E328" i="12"/>
  <c r="F328" i="12"/>
  <c r="G328" i="12"/>
  <c r="H328" i="12"/>
  <c r="C337" i="12"/>
  <c r="D337" i="12"/>
  <c r="E337" i="12"/>
  <c r="F337" i="12"/>
  <c r="G337" i="12"/>
  <c r="H337" i="12"/>
  <c r="B338" i="12"/>
  <c r="C338" i="12"/>
  <c r="D338" i="12"/>
  <c r="E338" i="12"/>
  <c r="F338" i="12"/>
  <c r="G338" i="12"/>
  <c r="H338" i="12"/>
  <c r="B339" i="12"/>
  <c r="C339" i="12"/>
  <c r="D339" i="12"/>
  <c r="E339" i="12"/>
  <c r="F339" i="12"/>
  <c r="G339" i="12"/>
  <c r="H339" i="12"/>
  <c r="B340" i="12"/>
  <c r="C340" i="12"/>
  <c r="D340" i="12"/>
  <c r="E340" i="12"/>
  <c r="F340" i="12"/>
  <c r="G340" i="12"/>
  <c r="H340" i="12"/>
  <c r="B341" i="12"/>
  <c r="C341" i="12"/>
  <c r="D341" i="12"/>
  <c r="E341" i="12"/>
  <c r="F341" i="12"/>
  <c r="G341" i="12"/>
  <c r="H341" i="12"/>
  <c r="B342" i="12"/>
  <c r="C342" i="12"/>
  <c r="D342" i="12"/>
  <c r="E342" i="12"/>
  <c r="F342" i="12"/>
  <c r="G342" i="12"/>
  <c r="H342" i="12"/>
  <c r="B343" i="12"/>
  <c r="C343" i="12"/>
  <c r="D343" i="12"/>
  <c r="E343" i="12"/>
  <c r="F343" i="12"/>
  <c r="G343" i="12"/>
  <c r="H343" i="12"/>
  <c r="B344" i="12"/>
  <c r="C344" i="12"/>
  <c r="D344" i="12"/>
  <c r="E344" i="12"/>
  <c r="F344" i="12"/>
  <c r="G344" i="12"/>
  <c r="H344" i="12"/>
  <c r="B345" i="12"/>
  <c r="C345" i="12"/>
  <c r="D345" i="12"/>
  <c r="E345" i="12"/>
  <c r="F345" i="12"/>
  <c r="G345" i="12"/>
  <c r="H345" i="12"/>
  <c r="B346" i="12"/>
  <c r="C346" i="12"/>
  <c r="D346" i="12"/>
  <c r="E346" i="12"/>
  <c r="F346" i="12"/>
  <c r="G346" i="12"/>
  <c r="H346" i="12"/>
  <c r="B347" i="12"/>
  <c r="C347" i="12"/>
  <c r="D347" i="12"/>
  <c r="E347" i="12"/>
  <c r="F347" i="12"/>
  <c r="G347" i="12"/>
  <c r="H347" i="12"/>
  <c r="B348" i="12"/>
  <c r="C348" i="12"/>
  <c r="D348" i="12"/>
  <c r="E348" i="12"/>
  <c r="F348" i="12"/>
  <c r="G348" i="12"/>
  <c r="H348" i="12"/>
  <c r="B349" i="12"/>
  <c r="C349" i="12"/>
  <c r="D349" i="12"/>
  <c r="E349" i="12"/>
  <c r="F349" i="12"/>
  <c r="G349" i="12"/>
  <c r="H349" i="12"/>
  <c r="C358" i="12"/>
  <c r="D358" i="12"/>
  <c r="E358" i="12"/>
  <c r="F358" i="12"/>
  <c r="G358" i="12"/>
  <c r="H358" i="12"/>
  <c r="B359" i="12"/>
  <c r="C359" i="12"/>
  <c r="D359" i="12"/>
  <c r="E359" i="12"/>
  <c r="F359" i="12"/>
  <c r="G359" i="12"/>
  <c r="H359" i="12"/>
  <c r="B360" i="12"/>
  <c r="C360" i="12"/>
  <c r="D360" i="12"/>
  <c r="E360" i="12"/>
  <c r="F360" i="12"/>
  <c r="G360" i="12"/>
  <c r="H360" i="12"/>
  <c r="B361" i="12"/>
  <c r="C361" i="12"/>
  <c r="D361" i="12"/>
  <c r="E361" i="12"/>
  <c r="F361" i="12"/>
  <c r="G361" i="12"/>
  <c r="H361" i="12"/>
  <c r="B362" i="12"/>
  <c r="C362" i="12"/>
  <c r="D362" i="12"/>
  <c r="E362" i="12"/>
  <c r="F362" i="12"/>
  <c r="G362" i="12"/>
  <c r="H362" i="12"/>
  <c r="B363" i="12"/>
  <c r="C363" i="12"/>
  <c r="D363" i="12"/>
  <c r="E363" i="12"/>
  <c r="F363" i="12"/>
  <c r="G363" i="12"/>
  <c r="H363" i="12"/>
  <c r="B364" i="12"/>
  <c r="C364" i="12"/>
  <c r="D364" i="12"/>
  <c r="E364" i="12"/>
  <c r="F364" i="12"/>
  <c r="G364" i="12"/>
  <c r="H364" i="12"/>
  <c r="B365" i="12"/>
  <c r="C365" i="12"/>
  <c r="D365" i="12"/>
  <c r="E365" i="12"/>
  <c r="F365" i="12"/>
  <c r="G365" i="12"/>
  <c r="H365" i="12"/>
  <c r="B366" i="12"/>
  <c r="C366" i="12"/>
  <c r="D366" i="12"/>
  <c r="E366" i="12"/>
  <c r="F366" i="12"/>
  <c r="G366" i="12"/>
  <c r="H366" i="12"/>
  <c r="B367" i="12"/>
  <c r="C367" i="12"/>
  <c r="D367" i="12"/>
  <c r="E367" i="12"/>
  <c r="F367" i="12"/>
  <c r="G367" i="12"/>
  <c r="H367" i="12"/>
  <c r="B368" i="12"/>
  <c r="C368" i="12"/>
  <c r="D368" i="12"/>
  <c r="E368" i="12"/>
  <c r="F368" i="12"/>
  <c r="G368" i="12"/>
  <c r="H368" i="12"/>
  <c r="B369" i="12"/>
  <c r="C369" i="12"/>
  <c r="D369" i="12"/>
  <c r="E369" i="12"/>
  <c r="F369" i="12"/>
  <c r="G369" i="12"/>
  <c r="H369" i="12"/>
  <c r="B370" i="12"/>
  <c r="C370" i="12"/>
  <c r="D370" i="12"/>
  <c r="E370" i="12"/>
  <c r="F370" i="12"/>
  <c r="G370" i="12"/>
  <c r="H370" i="12"/>
  <c r="C379" i="12"/>
  <c r="D379" i="12"/>
  <c r="E379" i="12"/>
  <c r="F379" i="12"/>
  <c r="G379" i="12"/>
  <c r="H379" i="12"/>
  <c r="C380" i="12"/>
  <c r="D380" i="12"/>
  <c r="E380" i="12"/>
  <c r="F380" i="12"/>
  <c r="G380" i="12"/>
  <c r="H380" i="12"/>
  <c r="C381" i="12"/>
  <c r="D381" i="12"/>
  <c r="E381" i="12"/>
  <c r="F381" i="12"/>
  <c r="G381" i="12"/>
  <c r="H381" i="12"/>
  <c r="C382" i="12"/>
  <c r="D382" i="12"/>
  <c r="E382" i="12"/>
  <c r="F382" i="12"/>
  <c r="G382" i="12"/>
  <c r="H382" i="12"/>
  <c r="C383" i="12"/>
  <c r="D383" i="12"/>
  <c r="E383" i="12"/>
  <c r="F383" i="12"/>
  <c r="G383" i="12"/>
  <c r="H383" i="12"/>
  <c r="C384" i="12"/>
  <c r="D384" i="12"/>
  <c r="E384" i="12"/>
  <c r="F384" i="12"/>
  <c r="G384" i="12"/>
  <c r="H384" i="12"/>
  <c r="C385" i="12"/>
  <c r="D385" i="12"/>
  <c r="E385" i="12"/>
  <c r="F385" i="12"/>
  <c r="G385" i="12"/>
  <c r="H385" i="12"/>
  <c r="C386" i="12"/>
  <c r="D386" i="12"/>
  <c r="E386" i="12"/>
  <c r="F386" i="12"/>
  <c r="G386" i="12"/>
  <c r="H386" i="12"/>
  <c r="C387" i="12"/>
  <c r="D387" i="12"/>
  <c r="E387" i="12"/>
  <c r="F387" i="12"/>
  <c r="G387" i="12"/>
  <c r="H387" i="12"/>
  <c r="C388" i="12"/>
  <c r="D388" i="12"/>
  <c r="E388" i="12"/>
  <c r="F388" i="12"/>
  <c r="G388" i="12"/>
  <c r="H388" i="12"/>
  <c r="C389" i="12"/>
  <c r="D389" i="12"/>
  <c r="E389" i="12"/>
  <c r="F389" i="12"/>
  <c r="G389" i="12"/>
  <c r="H389" i="12"/>
  <c r="C390" i="12"/>
  <c r="D390" i="12"/>
  <c r="E390" i="12"/>
  <c r="F390" i="12"/>
  <c r="G390" i="12"/>
  <c r="H390" i="12"/>
  <c r="C391" i="12"/>
  <c r="D391" i="12"/>
  <c r="E391" i="12"/>
  <c r="F391" i="12"/>
  <c r="G391" i="12"/>
  <c r="H391" i="12"/>
  <c r="C400" i="12"/>
  <c r="D400" i="12"/>
  <c r="E400" i="12"/>
  <c r="F400" i="12"/>
  <c r="G400" i="12"/>
  <c r="H400" i="12"/>
  <c r="B401" i="12"/>
  <c r="C401" i="12"/>
  <c r="D401" i="12"/>
  <c r="E401" i="12"/>
  <c r="F401" i="12"/>
  <c r="G401" i="12"/>
  <c r="H401" i="12"/>
  <c r="B402" i="12"/>
  <c r="C402" i="12"/>
  <c r="D402" i="12"/>
  <c r="E402" i="12"/>
  <c r="F402" i="12"/>
  <c r="G402" i="12"/>
  <c r="H402" i="12"/>
  <c r="B403" i="12"/>
  <c r="C403" i="12"/>
  <c r="D403" i="12"/>
  <c r="E403" i="12"/>
  <c r="F403" i="12"/>
  <c r="G403" i="12"/>
  <c r="H403" i="12"/>
  <c r="B404" i="12"/>
  <c r="C404" i="12"/>
  <c r="D404" i="12"/>
  <c r="E404" i="12"/>
  <c r="F404" i="12"/>
  <c r="G404" i="12"/>
  <c r="H404" i="12"/>
  <c r="B405" i="12"/>
  <c r="C405" i="12"/>
  <c r="D405" i="12"/>
  <c r="E405" i="12"/>
  <c r="F405" i="12"/>
  <c r="G405" i="12"/>
  <c r="H405" i="12"/>
  <c r="B406" i="12"/>
  <c r="C406" i="12"/>
  <c r="D406" i="12"/>
  <c r="E406" i="12"/>
  <c r="F406" i="12"/>
  <c r="G406" i="12"/>
  <c r="H406" i="12"/>
  <c r="B407" i="12"/>
  <c r="C407" i="12"/>
  <c r="D407" i="12"/>
  <c r="E407" i="12"/>
  <c r="F407" i="12"/>
  <c r="G407" i="12"/>
  <c r="H407" i="12"/>
  <c r="B408" i="12"/>
  <c r="C408" i="12"/>
  <c r="D408" i="12"/>
  <c r="E408" i="12"/>
  <c r="F408" i="12"/>
  <c r="G408" i="12"/>
  <c r="H408" i="12"/>
  <c r="B409" i="12"/>
  <c r="C409" i="12"/>
  <c r="D409" i="12"/>
  <c r="E409" i="12"/>
  <c r="F409" i="12"/>
  <c r="G409" i="12"/>
  <c r="H409" i="12"/>
  <c r="B410" i="12"/>
  <c r="C410" i="12"/>
  <c r="D410" i="12"/>
  <c r="E410" i="12"/>
  <c r="F410" i="12"/>
  <c r="G410" i="12"/>
  <c r="H410" i="12"/>
  <c r="B411" i="12"/>
  <c r="C411" i="12"/>
  <c r="D411" i="12"/>
  <c r="E411" i="12"/>
  <c r="F411" i="12"/>
  <c r="G411" i="12"/>
  <c r="H411" i="12"/>
  <c r="B412" i="12"/>
  <c r="C412" i="12"/>
  <c r="D412" i="12"/>
  <c r="E412" i="12"/>
  <c r="F412" i="12"/>
  <c r="G412" i="12"/>
  <c r="H412" i="12"/>
  <c r="C421" i="12"/>
  <c r="D421" i="12"/>
  <c r="E421" i="12"/>
  <c r="F421" i="12"/>
  <c r="G421" i="12"/>
  <c r="H421" i="12"/>
  <c r="B422" i="12"/>
  <c r="B423" i="12"/>
  <c r="B424" i="12"/>
  <c r="B425" i="12"/>
  <c r="B426" i="12"/>
  <c r="B427" i="12"/>
  <c r="B428" i="12"/>
  <c r="B429" i="12"/>
  <c r="B430" i="12"/>
  <c r="B431" i="12"/>
  <c r="B432" i="12"/>
  <c r="B433" i="12"/>
  <c r="C442" i="12"/>
  <c r="D442" i="12"/>
  <c r="E442" i="12"/>
  <c r="F442" i="12"/>
  <c r="G442" i="12"/>
  <c r="H442" i="12"/>
  <c r="B443" i="12"/>
  <c r="B444" i="12"/>
  <c r="B445" i="12"/>
  <c r="B446" i="12"/>
  <c r="B447" i="12"/>
  <c r="B448" i="12"/>
  <c r="B449" i="12"/>
  <c r="B450" i="12"/>
  <c r="B451" i="12"/>
  <c r="B452" i="12"/>
  <c r="B453" i="12"/>
  <c r="B454" i="12"/>
  <c r="C463" i="12"/>
  <c r="D463" i="12"/>
  <c r="E463" i="12"/>
  <c r="F463" i="12"/>
  <c r="G463" i="12"/>
  <c r="H463" i="12"/>
  <c r="B464" i="12"/>
  <c r="B465" i="12"/>
  <c r="B466" i="12"/>
  <c r="B467" i="12"/>
  <c r="B468" i="12"/>
  <c r="B469" i="12"/>
  <c r="B470" i="12"/>
  <c r="B471" i="12"/>
  <c r="B472" i="12"/>
  <c r="B473" i="12"/>
  <c r="B474" i="12"/>
  <c r="B475" i="12"/>
  <c r="H5" i="22"/>
  <c r="D6" i="22"/>
  <c r="E6" i="22"/>
  <c r="F6" i="22"/>
  <c r="G6" i="22"/>
  <c r="H6" i="22"/>
  <c r="D7" i="22"/>
  <c r="E7" i="22"/>
  <c r="F7" i="22"/>
  <c r="G7" i="22"/>
  <c r="H7" i="22"/>
  <c r="D8" i="22"/>
  <c r="E8" i="22"/>
  <c r="F8" i="22"/>
  <c r="G8" i="22"/>
  <c r="H8" i="22"/>
  <c r="D9" i="22"/>
  <c r="E9" i="22"/>
  <c r="F9" i="22"/>
  <c r="G9" i="22"/>
  <c r="H9" i="22"/>
  <c r="D10" i="22"/>
  <c r="E10" i="22"/>
  <c r="F10" i="22"/>
  <c r="G10" i="22"/>
  <c r="H10" i="22"/>
  <c r="D11" i="22"/>
  <c r="E11" i="22"/>
  <c r="F11" i="22"/>
  <c r="G11" i="22"/>
  <c r="H11" i="22"/>
  <c r="D12" i="22"/>
  <c r="E12" i="22"/>
  <c r="F12" i="22"/>
  <c r="G12" i="22"/>
  <c r="H12" i="22"/>
  <c r="D13" i="22"/>
  <c r="E13" i="22"/>
  <c r="F13" i="22"/>
  <c r="G13" i="22"/>
  <c r="H13" i="22"/>
  <c r="D14" i="22"/>
  <c r="E14" i="22"/>
  <c r="F14" i="22"/>
  <c r="G14" i="22"/>
  <c r="H14" i="22"/>
  <c r="D15" i="22"/>
  <c r="E15" i="22"/>
  <c r="F15" i="22"/>
  <c r="G15" i="22"/>
  <c r="H15" i="22"/>
  <c r="D16" i="22"/>
  <c r="E16" i="22"/>
  <c r="F16" i="22"/>
  <c r="G16" i="22"/>
  <c r="H16" i="22"/>
  <c r="D17" i="22"/>
  <c r="E17" i="22"/>
  <c r="F17" i="22"/>
  <c r="G17" i="22"/>
  <c r="H17" i="22"/>
  <c r="D18" i="22"/>
  <c r="E18" i="22"/>
  <c r="F18" i="22"/>
  <c r="G18" i="22"/>
  <c r="H18" i="22"/>
  <c r="D19" i="22"/>
  <c r="E19" i="22"/>
  <c r="F19" i="22"/>
  <c r="G19" i="22"/>
  <c r="H19" i="22"/>
  <c r="D24" i="22"/>
  <c r="D25" i="22"/>
  <c r="D26" i="22"/>
  <c r="D27" i="22"/>
  <c r="D28" i="22"/>
  <c r="D29" i="22"/>
  <c r="D30" i="22"/>
  <c r="D31" i="22"/>
  <c r="D32" i="22"/>
  <c r="D33" i="22"/>
  <c r="D34" i="22"/>
  <c r="D35" i="22"/>
  <c r="A36" i="22"/>
  <c r="B36" i="22"/>
  <c r="C36" i="22"/>
  <c r="D36" i="22"/>
  <c r="E36" i="22"/>
  <c r="F36" i="22"/>
  <c r="G36" i="22"/>
  <c r="A37" i="22"/>
  <c r="B37" i="22"/>
  <c r="C37" i="22"/>
  <c r="D37" i="22"/>
  <c r="E37" i="22"/>
  <c r="F37" i="22"/>
  <c r="G37" i="22"/>
  <c r="K57" i="22"/>
  <c r="L66" i="22"/>
  <c r="C60" i="22"/>
  <c r="G60" i="22"/>
  <c r="C61" i="22"/>
  <c r="G61" i="22"/>
  <c r="C62" i="22"/>
  <c r="G62" i="22"/>
  <c r="C63" i="22"/>
  <c r="G63" i="22"/>
  <c r="C64" i="22"/>
  <c r="G64" i="22"/>
  <c r="C65" i="22"/>
  <c r="G65" i="22"/>
  <c r="C66" i="22"/>
  <c r="G66" i="22"/>
  <c r="C67" i="22"/>
  <c r="G67" i="22"/>
  <c r="C68" i="22"/>
  <c r="G68" i="22"/>
  <c r="C69" i="22"/>
  <c r="G69" i="22"/>
  <c r="C70" i="22"/>
  <c r="G70" i="22"/>
  <c r="C71" i="22"/>
  <c r="G71" i="22"/>
  <c r="G72" i="22"/>
  <c r="G73" i="22"/>
  <c r="K75" i="22"/>
  <c r="O75" i="22"/>
  <c r="C78" i="22"/>
  <c r="G78" i="22"/>
  <c r="C79" i="22"/>
  <c r="G79" i="22"/>
  <c r="C80" i="22"/>
  <c r="G80" i="22"/>
  <c r="C81" i="22"/>
  <c r="G81" i="22"/>
  <c r="C82" i="22"/>
  <c r="G82" i="22"/>
  <c r="C83" i="22"/>
  <c r="G83" i="22"/>
  <c r="C84" i="22"/>
  <c r="G84" i="22"/>
  <c r="C85" i="22"/>
  <c r="G85" i="22"/>
  <c r="C86" i="22"/>
  <c r="G86" i="22"/>
  <c r="C87" i="22"/>
  <c r="G87" i="22"/>
  <c r="C88" i="22"/>
  <c r="G88" i="22"/>
  <c r="C89" i="22"/>
  <c r="G89" i="22"/>
  <c r="G90" i="22"/>
  <c r="G91" i="22"/>
  <c r="K93" i="22"/>
  <c r="O93" i="22"/>
  <c r="C96" i="22"/>
  <c r="G96" i="22"/>
  <c r="C97" i="22"/>
  <c r="G97" i="22"/>
  <c r="C98" i="22"/>
  <c r="G98" i="22"/>
  <c r="C99" i="22"/>
  <c r="G99" i="22"/>
  <c r="C100" i="22"/>
  <c r="G100" i="22"/>
  <c r="C101" i="22"/>
  <c r="G101" i="22"/>
  <c r="C102" i="22"/>
  <c r="G102" i="22"/>
  <c r="C103" i="22"/>
  <c r="G103" i="22"/>
  <c r="C104" i="22"/>
  <c r="G104" i="22"/>
  <c r="C105" i="22"/>
  <c r="G105" i="22"/>
  <c r="C106" i="22"/>
  <c r="G106" i="22"/>
  <c r="C107" i="22"/>
  <c r="G107" i="22"/>
  <c r="G108" i="22"/>
  <c r="G109" i="22"/>
  <c r="K111" i="22"/>
  <c r="O111" i="22"/>
  <c r="C114" i="22"/>
  <c r="G114" i="22"/>
  <c r="C115" i="22"/>
  <c r="G115" i="22"/>
  <c r="C116" i="22"/>
  <c r="G116" i="22"/>
  <c r="C117" i="22"/>
  <c r="G117" i="22"/>
  <c r="C118" i="22"/>
  <c r="G118" i="22"/>
  <c r="C119" i="22"/>
  <c r="G119" i="22"/>
  <c r="C120" i="22"/>
  <c r="G120" i="22"/>
  <c r="C121" i="22"/>
  <c r="G121" i="22"/>
  <c r="C122" i="22"/>
  <c r="G122" i="22"/>
  <c r="C123" i="22"/>
  <c r="G123" i="22"/>
  <c r="C124" i="22"/>
  <c r="G124" i="22"/>
  <c r="C125" i="22"/>
  <c r="G125" i="22"/>
  <c r="G126" i="22"/>
  <c r="G127" i="22"/>
  <c r="K129" i="22"/>
  <c r="O129" i="22"/>
  <c r="C132" i="22"/>
  <c r="G132" i="22"/>
  <c r="C133" i="22"/>
  <c r="G133" i="22"/>
  <c r="C134" i="22"/>
  <c r="G134" i="22"/>
  <c r="C135" i="22"/>
  <c r="G135" i="22"/>
  <c r="C136" i="22"/>
  <c r="G136" i="22"/>
  <c r="C137" i="22"/>
  <c r="G137" i="22"/>
  <c r="C138" i="22"/>
  <c r="G138" i="22"/>
  <c r="C139" i="22"/>
  <c r="G139" i="22"/>
  <c r="C140" i="22"/>
  <c r="G140" i="22"/>
  <c r="C141" i="22"/>
  <c r="G141" i="22"/>
  <c r="C142" i="22"/>
  <c r="G142" i="22"/>
  <c r="C143" i="22"/>
  <c r="G143" i="22"/>
  <c r="G144" i="22"/>
  <c r="G145" i="22"/>
  <c r="K147" i="22"/>
  <c r="O147" i="22"/>
  <c r="C150" i="22"/>
  <c r="G150" i="22"/>
  <c r="C151" i="22"/>
  <c r="G151" i="22"/>
  <c r="C152" i="22"/>
  <c r="G152" i="22"/>
  <c r="C153" i="22"/>
  <c r="G153" i="22"/>
  <c r="C154" i="22"/>
  <c r="G154" i="22"/>
  <c r="C155" i="22"/>
  <c r="G155" i="22"/>
  <c r="C156" i="22"/>
  <c r="G156" i="22"/>
  <c r="C157" i="22"/>
  <c r="G157" i="22"/>
  <c r="C158" i="22"/>
  <c r="G158" i="22"/>
  <c r="C159" i="22"/>
  <c r="G159" i="22"/>
  <c r="C160" i="22"/>
  <c r="G160" i="22"/>
  <c r="C161" i="22"/>
  <c r="G161" i="22"/>
  <c r="G162" i="22"/>
  <c r="G163" i="22"/>
  <c r="K165" i="22"/>
  <c r="C168" i="22"/>
  <c r="G168" i="22"/>
  <c r="C169" i="22"/>
  <c r="G169" i="22"/>
  <c r="C170" i="22"/>
  <c r="G170" i="22"/>
  <c r="C171" i="22"/>
  <c r="G171" i="22"/>
  <c r="C172" i="22"/>
  <c r="G172" i="22"/>
  <c r="C173" i="22"/>
  <c r="G173" i="22"/>
  <c r="C174" i="22"/>
  <c r="G174" i="22"/>
  <c r="C175" i="22"/>
  <c r="G175" i="22"/>
  <c r="C176" i="22"/>
  <c r="G176" i="22"/>
  <c r="C177" i="22"/>
  <c r="G177" i="22"/>
  <c r="C178" i="22"/>
  <c r="G178" i="22"/>
  <c r="C179" i="22"/>
  <c r="G179" i="22"/>
  <c r="E180" i="22"/>
  <c r="F180" i="22"/>
  <c r="G180" i="22"/>
  <c r="E181" i="22"/>
  <c r="F181" i="22"/>
  <c r="G181" i="22"/>
  <c r="E183" i="22"/>
  <c r="K183" i="22"/>
  <c r="C186" i="22"/>
  <c r="G186" i="22"/>
  <c r="C187" i="22"/>
  <c r="G187" i="22"/>
  <c r="C188" i="22"/>
  <c r="G188" i="22"/>
  <c r="C189" i="22"/>
  <c r="G189" i="22"/>
  <c r="C190" i="22"/>
  <c r="G190" i="22"/>
  <c r="C191" i="22"/>
  <c r="G191" i="22"/>
  <c r="C192" i="22"/>
  <c r="G192" i="22"/>
  <c r="C193" i="22"/>
  <c r="G193" i="22"/>
  <c r="C194" i="22"/>
  <c r="G194" i="22"/>
  <c r="C195" i="22"/>
  <c r="G195" i="22"/>
  <c r="C196" i="22"/>
  <c r="G196" i="22"/>
  <c r="C197" i="22"/>
  <c r="G197" i="22"/>
  <c r="E198" i="22"/>
  <c r="F198" i="22"/>
  <c r="G198" i="22"/>
  <c r="E199" i="22"/>
  <c r="F199" i="22"/>
  <c r="G199" i="22"/>
  <c r="E201" i="22"/>
  <c r="C204" i="22"/>
  <c r="G204" i="22"/>
  <c r="C205" i="22"/>
  <c r="G205" i="22"/>
  <c r="C206" i="22"/>
  <c r="G206" i="22"/>
  <c r="C207" i="22"/>
  <c r="G207" i="22"/>
  <c r="C208" i="22"/>
  <c r="G208" i="22"/>
  <c r="C209" i="22"/>
  <c r="G209" i="22"/>
  <c r="C210" i="22"/>
  <c r="G210" i="22"/>
  <c r="C211" i="22"/>
  <c r="G211" i="22"/>
  <c r="C212" i="22"/>
  <c r="G212" i="22"/>
  <c r="C213" i="22"/>
  <c r="G213" i="22"/>
  <c r="C214" i="22"/>
  <c r="G214" i="22"/>
  <c r="C215" i="22"/>
  <c r="G215" i="22"/>
  <c r="E216" i="22"/>
  <c r="F216" i="22"/>
  <c r="G216" i="22"/>
  <c r="E217" i="22"/>
  <c r="F217" i="22"/>
  <c r="G217" i="22"/>
  <c r="E219" i="22"/>
  <c r="C222" i="22"/>
  <c r="G222" i="22"/>
  <c r="C223" i="22"/>
  <c r="G223" i="22"/>
  <c r="C224" i="22"/>
  <c r="G224" i="22"/>
  <c r="C225" i="22"/>
  <c r="G225" i="22"/>
  <c r="C226" i="22"/>
  <c r="G226" i="22"/>
  <c r="C227" i="22"/>
  <c r="G227" i="22"/>
  <c r="C228" i="22"/>
  <c r="G228" i="22"/>
  <c r="C229" i="22"/>
  <c r="G229" i="22"/>
  <c r="C230" i="22"/>
  <c r="G230" i="22"/>
  <c r="C231" i="22"/>
  <c r="G231" i="22"/>
  <c r="C232" i="22"/>
  <c r="G232" i="22"/>
  <c r="C233" i="22"/>
  <c r="G233" i="22"/>
  <c r="E234" i="22"/>
  <c r="F234" i="22"/>
  <c r="G234" i="22"/>
  <c r="E235" i="22"/>
  <c r="F235" i="22"/>
  <c r="G235" i="22"/>
  <c r="E237" i="22"/>
  <c r="C240" i="22"/>
  <c r="G240" i="22"/>
  <c r="C241" i="22"/>
  <c r="G241" i="22"/>
  <c r="C242" i="22"/>
  <c r="G242" i="22"/>
  <c r="C243" i="22"/>
  <c r="G243" i="22"/>
  <c r="C244" i="22"/>
  <c r="G244" i="22"/>
  <c r="C245" i="22"/>
  <c r="G245" i="22"/>
  <c r="C246" i="22"/>
  <c r="G246" i="22"/>
  <c r="C247" i="22"/>
  <c r="G247" i="22"/>
  <c r="C248" i="22"/>
  <c r="G248" i="22"/>
  <c r="C249" i="22"/>
  <c r="G249" i="22"/>
  <c r="C250" i="22"/>
  <c r="G250" i="22"/>
  <c r="C251" i="22"/>
  <c r="G251" i="22"/>
  <c r="M1" i="31"/>
  <c r="D2" i="31"/>
  <c r="E2" i="31"/>
  <c r="F2" i="31"/>
  <c r="G2" i="31"/>
  <c r="H2" i="31"/>
  <c r="I2" i="31"/>
  <c r="J6" i="31"/>
  <c r="J7" i="31"/>
  <c r="J8" i="31"/>
  <c r="J9" i="31"/>
  <c r="J10" i="31"/>
  <c r="J11" i="31"/>
  <c r="J12" i="31"/>
  <c r="J13" i="31"/>
  <c r="J14" i="31"/>
  <c r="J15" i="31"/>
  <c r="J16" i="31"/>
  <c r="J17" i="31"/>
  <c r="J18" i="31"/>
  <c r="J19" i="31"/>
  <c r="J20" i="31"/>
  <c r="J21" i="31"/>
  <c r="D2" i="44"/>
  <c r="E2" i="44"/>
  <c r="F2" i="44"/>
  <c r="G2" i="44"/>
  <c r="H2" i="44"/>
  <c r="I2" i="44"/>
  <c r="J3" i="44"/>
  <c r="J4" i="44"/>
  <c r="J5" i="44"/>
  <c r="J6" i="44"/>
  <c r="J12" i="44"/>
  <c r="J13" i="44"/>
  <c r="J14" i="44"/>
  <c r="J15" i="44"/>
  <c r="J16" i="44"/>
  <c r="J17" i="44"/>
  <c r="J18" i="44"/>
  <c r="J19" i="44"/>
  <c r="J20" i="44"/>
  <c r="J21" i="44"/>
  <c r="D2" i="21"/>
  <c r="E2" i="21"/>
  <c r="F2" i="21"/>
  <c r="G2" i="21"/>
  <c r="H2" i="21"/>
  <c r="I2" i="21"/>
  <c r="J3" i="21"/>
  <c r="J4" i="21"/>
  <c r="J5" i="21"/>
  <c r="J6" i="21"/>
  <c r="J12" i="21"/>
  <c r="J13" i="21"/>
  <c r="J14" i="21"/>
  <c r="J15" i="21"/>
  <c r="J16" i="21"/>
  <c r="J17" i="21"/>
  <c r="J18" i="21"/>
  <c r="J19" i="21"/>
  <c r="J20" i="21"/>
  <c r="J21" i="21"/>
  <c r="J3" i="40"/>
  <c r="J4" i="40"/>
  <c r="J5" i="40"/>
  <c r="J6" i="40"/>
  <c r="J7" i="40"/>
  <c r="J8" i="40"/>
  <c r="J9" i="40"/>
  <c r="J15" i="40"/>
  <c r="J16" i="40"/>
  <c r="J17" i="40"/>
  <c r="J18" i="40"/>
  <c r="J19" i="40"/>
  <c r="J20" i="40"/>
  <c r="J12" i="41"/>
  <c r="J13" i="41"/>
  <c r="J14" i="41"/>
  <c r="J15" i="41"/>
  <c r="J16" i="41"/>
  <c r="J17" i="41"/>
  <c r="J18" i="41"/>
  <c r="J24" i="41"/>
  <c r="J25" i="41"/>
  <c r="J26" i="41"/>
  <c r="J27" i="41"/>
  <c r="J28" i="41"/>
  <c r="J394" i="41"/>
  <c r="K394" i="41"/>
  <c r="L394" i="41"/>
  <c r="M394" i="41"/>
  <c r="N394" i="41"/>
  <c r="O394" i="41"/>
  <c r="J395" i="41"/>
  <c r="K395" i="41"/>
  <c r="L395" i="41"/>
  <c r="M395" i="41"/>
  <c r="N395" i="41"/>
  <c r="O395" i="41"/>
  <c r="J396" i="41"/>
  <c r="K396" i="41"/>
  <c r="L396" i="41"/>
  <c r="M396" i="41"/>
  <c r="N396" i="41"/>
  <c r="O396" i="41"/>
  <c r="J397" i="41"/>
  <c r="K397" i="41"/>
  <c r="L397" i="41"/>
  <c r="M397" i="41"/>
  <c r="N397" i="41"/>
  <c r="O397" i="41"/>
  <c r="B22" i="3"/>
  <c r="C22" i="3"/>
  <c r="D22" i="3"/>
  <c r="E22" i="3"/>
  <c r="F22" i="3"/>
  <c r="G22" i="3"/>
  <c r="H22" i="3"/>
  <c r="B24" i="3"/>
  <c r="C25" i="3"/>
  <c r="D25" i="3"/>
  <c r="E25" i="3"/>
  <c r="F25" i="3"/>
  <c r="G25" i="3"/>
  <c r="H25" i="3"/>
  <c r="B26" i="3"/>
  <c r="B50" i="3"/>
  <c r="C26" i="3"/>
  <c r="D26" i="3"/>
  <c r="E26" i="3"/>
  <c r="F26" i="3"/>
  <c r="G26" i="3"/>
  <c r="H26" i="3"/>
  <c r="B27" i="3"/>
  <c r="C27" i="3"/>
  <c r="D27" i="3"/>
  <c r="E27" i="3"/>
  <c r="F27" i="3"/>
  <c r="G27" i="3"/>
  <c r="H27" i="3"/>
  <c r="B28" i="3"/>
  <c r="B52" i="3"/>
  <c r="C28" i="3"/>
  <c r="D28" i="3"/>
  <c r="E28" i="3"/>
  <c r="F28" i="3"/>
  <c r="G28" i="3"/>
  <c r="H28" i="3"/>
  <c r="B29" i="3"/>
  <c r="C29" i="3"/>
  <c r="D29" i="3"/>
  <c r="E29" i="3"/>
  <c r="F29" i="3"/>
  <c r="G29" i="3"/>
  <c r="H29" i="3"/>
  <c r="B30" i="3"/>
  <c r="B54" i="3"/>
  <c r="C30" i="3"/>
  <c r="D30" i="3"/>
  <c r="E30" i="3"/>
  <c r="F30" i="3"/>
  <c r="G30" i="3"/>
  <c r="H30" i="3"/>
  <c r="B31" i="3"/>
  <c r="C31" i="3"/>
  <c r="D31" i="3"/>
  <c r="E31" i="3"/>
  <c r="F31" i="3"/>
  <c r="G31" i="3"/>
  <c r="H31" i="3"/>
  <c r="B32" i="3"/>
  <c r="C32" i="3"/>
  <c r="D32" i="3"/>
  <c r="E32" i="3"/>
  <c r="F32" i="3"/>
  <c r="G32" i="3"/>
  <c r="H32" i="3"/>
  <c r="B33" i="3"/>
  <c r="C33" i="3"/>
  <c r="D33" i="3"/>
  <c r="E33" i="3"/>
  <c r="F33" i="3"/>
  <c r="G33" i="3"/>
  <c r="H33" i="3"/>
  <c r="B34" i="3"/>
  <c r="B58" i="3"/>
  <c r="C34" i="3"/>
  <c r="D34" i="3"/>
  <c r="E34" i="3"/>
  <c r="F34" i="3"/>
  <c r="G34" i="3"/>
  <c r="H34" i="3"/>
  <c r="B35" i="3"/>
  <c r="C35" i="3"/>
  <c r="D35" i="3"/>
  <c r="E35" i="3"/>
  <c r="F35" i="3"/>
  <c r="G35" i="3"/>
  <c r="H35" i="3"/>
  <c r="B36" i="3"/>
  <c r="C36" i="3"/>
  <c r="D36" i="3"/>
  <c r="E36" i="3"/>
  <c r="F36" i="3"/>
  <c r="G36" i="3"/>
  <c r="H36" i="3"/>
  <c r="B37" i="3"/>
  <c r="C37" i="3"/>
  <c r="D37" i="3"/>
  <c r="E37" i="3"/>
  <c r="F37" i="3"/>
  <c r="G37" i="3"/>
  <c r="H37" i="3"/>
  <c r="B38" i="3"/>
  <c r="B62" i="3"/>
  <c r="C38" i="3"/>
  <c r="D38" i="3"/>
  <c r="E38" i="3"/>
  <c r="F38" i="3"/>
  <c r="G38" i="3"/>
  <c r="H38" i="3"/>
  <c r="B39" i="3"/>
  <c r="C39" i="3"/>
  <c r="D39" i="3"/>
  <c r="E39" i="3"/>
  <c r="F39" i="3"/>
  <c r="G39" i="3"/>
  <c r="H39" i="3"/>
  <c r="B40" i="3"/>
  <c r="C40" i="3"/>
  <c r="D40" i="3"/>
  <c r="E40" i="3"/>
  <c r="F40" i="3"/>
  <c r="G40" i="3"/>
  <c r="H40" i="3"/>
  <c r="B41" i="3"/>
  <c r="C41" i="3"/>
  <c r="D41" i="3"/>
  <c r="E41" i="3"/>
  <c r="F41" i="3"/>
  <c r="G41" i="3"/>
  <c r="H41" i="3"/>
  <c r="B42" i="3"/>
  <c r="B66" i="3"/>
  <c r="C42" i="3"/>
  <c r="D42" i="3"/>
  <c r="E42" i="3"/>
  <c r="F42" i="3"/>
  <c r="G42" i="3"/>
  <c r="H42" i="3"/>
  <c r="B46" i="3"/>
  <c r="C46" i="3"/>
  <c r="D46" i="3"/>
  <c r="E46" i="3"/>
  <c r="F46" i="3"/>
  <c r="G46" i="3"/>
  <c r="H46" i="3"/>
  <c r="B48" i="3"/>
  <c r="C49" i="3"/>
  <c r="D49" i="3"/>
  <c r="E49" i="3"/>
  <c r="F49" i="3"/>
  <c r="G49" i="3"/>
  <c r="H49" i="3"/>
  <c r="C50" i="3"/>
  <c r="D50" i="3"/>
  <c r="E50" i="3"/>
  <c r="F50" i="3"/>
  <c r="G50" i="3"/>
  <c r="H50" i="3"/>
  <c r="B51" i="3"/>
  <c r="B195" i="3"/>
  <c r="C51" i="3"/>
  <c r="D51" i="3"/>
  <c r="E51" i="3"/>
  <c r="F51" i="3"/>
  <c r="G51" i="3"/>
  <c r="H51" i="3"/>
  <c r="C52" i="3"/>
  <c r="D52" i="3"/>
  <c r="E52" i="3"/>
  <c r="F52" i="3"/>
  <c r="G52" i="3"/>
  <c r="H52" i="3"/>
  <c r="B53" i="3"/>
  <c r="C53" i="3"/>
  <c r="D53" i="3"/>
  <c r="E53" i="3"/>
  <c r="F53" i="3"/>
  <c r="G53" i="3"/>
  <c r="H53" i="3"/>
  <c r="C54" i="3"/>
  <c r="D54" i="3"/>
  <c r="E54" i="3"/>
  <c r="F54" i="3"/>
  <c r="G54" i="3"/>
  <c r="H54" i="3"/>
  <c r="B55" i="3"/>
  <c r="B79" i="3"/>
  <c r="C55" i="3"/>
  <c r="D55" i="3"/>
  <c r="E55" i="3"/>
  <c r="F55" i="3"/>
  <c r="G55" i="3"/>
  <c r="H55" i="3"/>
  <c r="B56" i="3"/>
  <c r="C56" i="3"/>
  <c r="D56" i="3"/>
  <c r="E56" i="3"/>
  <c r="F56" i="3"/>
  <c r="G56" i="3"/>
  <c r="H56" i="3"/>
  <c r="B57" i="3"/>
  <c r="C57" i="3"/>
  <c r="D57" i="3"/>
  <c r="E57" i="3"/>
  <c r="F57" i="3"/>
  <c r="G57" i="3"/>
  <c r="H57" i="3"/>
  <c r="C58" i="3"/>
  <c r="D58" i="3"/>
  <c r="E58" i="3"/>
  <c r="F58" i="3"/>
  <c r="G58" i="3"/>
  <c r="H58" i="3"/>
  <c r="B59" i="3"/>
  <c r="B83" i="3"/>
  <c r="C59" i="3"/>
  <c r="D59" i="3"/>
  <c r="E59" i="3"/>
  <c r="F59" i="3"/>
  <c r="G59" i="3"/>
  <c r="H59" i="3"/>
  <c r="B60" i="3"/>
  <c r="C60" i="3"/>
  <c r="D60" i="3"/>
  <c r="E60" i="3"/>
  <c r="F60" i="3"/>
  <c r="G60" i="3"/>
  <c r="H60" i="3"/>
  <c r="B61" i="3"/>
  <c r="C61" i="3"/>
  <c r="D61" i="3"/>
  <c r="E61" i="3"/>
  <c r="F61" i="3"/>
  <c r="G61" i="3"/>
  <c r="H61" i="3"/>
  <c r="C62" i="3"/>
  <c r="D62" i="3"/>
  <c r="E62" i="3"/>
  <c r="F62" i="3"/>
  <c r="G62" i="3"/>
  <c r="H62" i="3"/>
  <c r="B63" i="3"/>
  <c r="B87" i="3"/>
  <c r="C63" i="3"/>
  <c r="D63" i="3"/>
  <c r="E63" i="3"/>
  <c r="F63" i="3"/>
  <c r="G63" i="3"/>
  <c r="H63" i="3"/>
  <c r="B64" i="3"/>
  <c r="C64" i="3"/>
  <c r="D64" i="3"/>
  <c r="E64" i="3"/>
  <c r="F64" i="3"/>
  <c r="G64" i="3"/>
  <c r="H64" i="3"/>
  <c r="B65" i="3"/>
  <c r="C65" i="3"/>
  <c r="D65" i="3"/>
  <c r="E65" i="3"/>
  <c r="F65" i="3"/>
  <c r="G65" i="3"/>
  <c r="H65" i="3"/>
  <c r="C66" i="3"/>
  <c r="D66" i="3"/>
  <c r="E66" i="3"/>
  <c r="F66" i="3"/>
  <c r="G66" i="3"/>
  <c r="H66" i="3"/>
  <c r="B67" i="3"/>
  <c r="C67" i="3"/>
  <c r="D67" i="3"/>
  <c r="E67" i="3"/>
  <c r="F67" i="3"/>
  <c r="G67" i="3"/>
  <c r="H67" i="3"/>
  <c r="B72" i="3"/>
  <c r="C73" i="3"/>
  <c r="D73" i="3"/>
  <c r="E73" i="3"/>
  <c r="F73" i="3"/>
  <c r="G73" i="3"/>
  <c r="H73" i="3"/>
  <c r="C74" i="3"/>
  <c r="C98" i="3"/>
  <c r="D74" i="3"/>
  <c r="D98" i="3"/>
  <c r="E74" i="3"/>
  <c r="E98" i="3"/>
  <c r="F74" i="3"/>
  <c r="F98" i="3"/>
  <c r="G74" i="3"/>
  <c r="G98" i="3"/>
  <c r="H74" i="3"/>
  <c r="H98" i="3"/>
  <c r="B75" i="3"/>
  <c r="C75" i="3"/>
  <c r="C99" i="3"/>
  <c r="D75" i="3"/>
  <c r="D99" i="3"/>
  <c r="E75" i="3"/>
  <c r="E99" i="3"/>
  <c r="F75" i="3"/>
  <c r="F99" i="3"/>
  <c r="G75" i="3"/>
  <c r="G99" i="3"/>
  <c r="H75" i="3"/>
  <c r="H99" i="3"/>
  <c r="C76" i="3"/>
  <c r="C100" i="3"/>
  <c r="D76" i="3"/>
  <c r="D100" i="3"/>
  <c r="E76" i="3"/>
  <c r="E100" i="3"/>
  <c r="F76" i="3"/>
  <c r="F100" i="3"/>
  <c r="G76" i="3"/>
  <c r="G100" i="3"/>
  <c r="H76" i="3"/>
  <c r="H100" i="3"/>
  <c r="B77" i="3"/>
  <c r="C77" i="3"/>
  <c r="C101" i="3"/>
  <c r="D77" i="3"/>
  <c r="E77" i="3"/>
  <c r="E101" i="3"/>
  <c r="F77" i="3"/>
  <c r="F101" i="3"/>
  <c r="G77" i="3"/>
  <c r="G101" i="3"/>
  <c r="H77" i="3"/>
  <c r="H101" i="3"/>
  <c r="C78" i="3"/>
  <c r="C102" i="3"/>
  <c r="D78" i="3"/>
  <c r="D102" i="3"/>
  <c r="E78" i="3"/>
  <c r="E102" i="3"/>
  <c r="F78" i="3"/>
  <c r="F102" i="3"/>
  <c r="G78" i="3"/>
  <c r="G102" i="3"/>
  <c r="H78" i="3"/>
  <c r="H102" i="3"/>
  <c r="C79" i="3"/>
  <c r="C103" i="3"/>
  <c r="D79" i="3"/>
  <c r="D103" i="3"/>
  <c r="E79" i="3"/>
  <c r="E103" i="3"/>
  <c r="F79" i="3"/>
  <c r="F103" i="3"/>
  <c r="G79" i="3"/>
  <c r="G103" i="3"/>
  <c r="H79" i="3"/>
  <c r="H103" i="3"/>
  <c r="B80" i="3"/>
  <c r="C80" i="3"/>
  <c r="C104" i="3"/>
  <c r="D80" i="3"/>
  <c r="D104" i="3"/>
  <c r="E80" i="3"/>
  <c r="E104" i="3"/>
  <c r="F80" i="3"/>
  <c r="F104" i="3"/>
  <c r="G80" i="3"/>
  <c r="G104" i="3"/>
  <c r="H80" i="3"/>
  <c r="H104" i="3"/>
  <c r="B81" i="3"/>
  <c r="C81" i="3"/>
  <c r="D81" i="3"/>
  <c r="E81" i="3"/>
  <c r="F81" i="3"/>
  <c r="G81" i="3"/>
  <c r="H81" i="3"/>
  <c r="C82" i="3"/>
  <c r="D82" i="3"/>
  <c r="E82" i="3"/>
  <c r="F82" i="3"/>
  <c r="G82" i="3"/>
  <c r="H82" i="3"/>
  <c r="C83" i="3"/>
  <c r="D83" i="3"/>
  <c r="E83" i="3"/>
  <c r="F83" i="3"/>
  <c r="G83" i="3"/>
  <c r="H83" i="3"/>
  <c r="B84" i="3"/>
  <c r="C84" i="3"/>
  <c r="D84" i="3"/>
  <c r="E84" i="3"/>
  <c r="F84" i="3"/>
  <c r="G84" i="3"/>
  <c r="H84" i="3"/>
  <c r="B85" i="3"/>
  <c r="C85" i="3"/>
  <c r="D85" i="3"/>
  <c r="E85" i="3"/>
  <c r="F85" i="3"/>
  <c r="G85" i="3"/>
  <c r="H85" i="3"/>
  <c r="C86" i="3"/>
  <c r="D86" i="3"/>
  <c r="E86" i="3"/>
  <c r="F86" i="3"/>
  <c r="G86" i="3"/>
  <c r="H86" i="3"/>
  <c r="C87" i="3"/>
  <c r="D87" i="3"/>
  <c r="E87" i="3"/>
  <c r="F87" i="3"/>
  <c r="G87" i="3"/>
  <c r="H87" i="3"/>
  <c r="B88" i="3"/>
  <c r="C88" i="3"/>
  <c r="D88" i="3"/>
  <c r="E88" i="3"/>
  <c r="F88" i="3"/>
  <c r="G88" i="3"/>
  <c r="H88" i="3"/>
  <c r="B89" i="3"/>
  <c r="C89" i="3"/>
  <c r="D89" i="3"/>
  <c r="E89" i="3"/>
  <c r="F89" i="3"/>
  <c r="G89" i="3"/>
  <c r="H89" i="3"/>
  <c r="C90" i="3"/>
  <c r="D90" i="3"/>
  <c r="E90" i="3"/>
  <c r="F90" i="3"/>
  <c r="G90" i="3"/>
  <c r="H90" i="3"/>
  <c r="B91" i="3"/>
  <c r="C91" i="3"/>
  <c r="D91" i="3"/>
  <c r="E91" i="3"/>
  <c r="F91" i="3"/>
  <c r="G91" i="3"/>
  <c r="H91" i="3"/>
  <c r="B96" i="3"/>
  <c r="C96" i="3"/>
  <c r="C144" i="3"/>
  <c r="C192" i="3"/>
  <c r="L192" i="3"/>
  <c r="C97" i="3"/>
  <c r="D97" i="3"/>
  <c r="E97" i="3"/>
  <c r="F97" i="3"/>
  <c r="G97" i="3"/>
  <c r="H97" i="3"/>
  <c r="B98" i="3"/>
  <c r="B99" i="3"/>
  <c r="B100" i="3"/>
  <c r="B101" i="3"/>
  <c r="D101" i="3"/>
  <c r="B102" i="3"/>
  <c r="B103" i="3"/>
  <c r="B104" i="3"/>
  <c r="B105" i="3"/>
  <c r="C105" i="3"/>
  <c r="D105" i="3"/>
  <c r="E105" i="3"/>
  <c r="F105" i="3"/>
  <c r="G105" i="3"/>
  <c r="H105" i="3"/>
  <c r="B106" i="3"/>
  <c r="C106" i="3"/>
  <c r="D106" i="3"/>
  <c r="E106" i="3"/>
  <c r="F106" i="3"/>
  <c r="G106" i="3"/>
  <c r="H106" i="3"/>
  <c r="B107" i="3"/>
  <c r="C107" i="3"/>
  <c r="D107" i="3"/>
  <c r="E107" i="3"/>
  <c r="F107" i="3"/>
  <c r="G107" i="3"/>
  <c r="H107" i="3"/>
  <c r="B108" i="3"/>
  <c r="C108" i="3"/>
  <c r="D108" i="3"/>
  <c r="E108" i="3"/>
  <c r="F108" i="3"/>
  <c r="G108" i="3"/>
  <c r="H108" i="3"/>
  <c r="B109" i="3"/>
  <c r="C109" i="3"/>
  <c r="D109" i="3"/>
  <c r="E109" i="3"/>
  <c r="F109" i="3"/>
  <c r="G109" i="3"/>
  <c r="H109" i="3"/>
  <c r="B110" i="3"/>
  <c r="C110" i="3"/>
  <c r="D110" i="3"/>
  <c r="E110" i="3"/>
  <c r="F110" i="3"/>
  <c r="G110" i="3"/>
  <c r="H110" i="3"/>
  <c r="B111" i="3"/>
  <c r="C111" i="3"/>
  <c r="D111" i="3"/>
  <c r="E111" i="3"/>
  <c r="F111" i="3"/>
  <c r="G111" i="3"/>
  <c r="H111" i="3"/>
  <c r="B112" i="3"/>
  <c r="C112" i="3"/>
  <c r="D112" i="3"/>
  <c r="E112" i="3"/>
  <c r="F112" i="3"/>
  <c r="G112" i="3"/>
  <c r="H112" i="3"/>
  <c r="B113" i="3"/>
  <c r="C113" i="3"/>
  <c r="D113" i="3"/>
  <c r="E113" i="3"/>
  <c r="F113" i="3"/>
  <c r="G113" i="3"/>
  <c r="H113" i="3"/>
  <c r="B114" i="3"/>
  <c r="C114" i="3"/>
  <c r="D114" i="3"/>
  <c r="E114" i="3"/>
  <c r="F114" i="3"/>
  <c r="G114" i="3"/>
  <c r="H114" i="3"/>
  <c r="C121" i="3"/>
  <c r="D121" i="3"/>
  <c r="E121" i="3"/>
  <c r="F121" i="3"/>
  <c r="G121" i="3"/>
  <c r="H121" i="3"/>
  <c r="L121" i="3"/>
  <c r="M121" i="3"/>
  <c r="N121" i="3"/>
  <c r="O121" i="3"/>
  <c r="P121" i="3"/>
  <c r="Q121" i="3"/>
  <c r="B122" i="3"/>
  <c r="C122" i="3"/>
  <c r="D122" i="3"/>
  <c r="E122" i="3"/>
  <c r="F122" i="3"/>
  <c r="G122" i="3"/>
  <c r="H122" i="3"/>
  <c r="K122" i="3"/>
  <c r="L122" i="3"/>
  <c r="M122" i="3"/>
  <c r="M146" i="3"/>
  <c r="N122" i="3"/>
  <c r="O122" i="3"/>
  <c r="P122" i="3"/>
  <c r="P146" i="3"/>
  <c r="Q122" i="3"/>
  <c r="Q146" i="3"/>
  <c r="B123" i="3"/>
  <c r="C123" i="3"/>
  <c r="D123" i="3"/>
  <c r="E123" i="3"/>
  <c r="F123" i="3"/>
  <c r="G123" i="3"/>
  <c r="H123" i="3"/>
  <c r="K123" i="3"/>
  <c r="L123" i="3"/>
  <c r="M123" i="3"/>
  <c r="N123" i="3"/>
  <c r="N147" i="3"/>
  <c r="O123" i="3"/>
  <c r="O147" i="3"/>
  <c r="P123" i="3"/>
  <c r="Q123" i="3"/>
  <c r="B124" i="3"/>
  <c r="C124" i="3"/>
  <c r="D124" i="3"/>
  <c r="E124" i="3"/>
  <c r="F124" i="3"/>
  <c r="G124" i="3"/>
  <c r="H124" i="3"/>
  <c r="K124" i="3"/>
  <c r="L124" i="3"/>
  <c r="L148" i="3"/>
  <c r="M124" i="3"/>
  <c r="M148" i="3"/>
  <c r="N124" i="3"/>
  <c r="O124" i="3"/>
  <c r="P124" i="3"/>
  <c r="P148" i="3"/>
  <c r="Q124" i="3"/>
  <c r="Q148" i="3"/>
  <c r="B125" i="3"/>
  <c r="C125" i="3"/>
  <c r="D125" i="3"/>
  <c r="E125" i="3"/>
  <c r="F125" i="3"/>
  <c r="G125" i="3"/>
  <c r="H125" i="3"/>
  <c r="K125" i="3"/>
  <c r="L125" i="3"/>
  <c r="M125" i="3"/>
  <c r="N125" i="3"/>
  <c r="N149" i="3"/>
  <c r="O125" i="3"/>
  <c r="O149" i="3"/>
  <c r="P125" i="3"/>
  <c r="Q125" i="3"/>
  <c r="B126" i="3"/>
  <c r="C126" i="3"/>
  <c r="D126" i="3"/>
  <c r="E126" i="3"/>
  <c r="F126" i="3"/>
  <c r="G126" i="3"/>
  <c r="H126" i="3"/>
  <c r="K126" i="3"/>
  <c r="L126" i="3"/>
  <c r="L150" i="3"/>
  <c r="M126" i="3"/>
  <c r="M150" i="3"/>
  <c r="N126" i="3"/>
  <c r="O126" i="3"/>
  <c r="P126" i="3"/>
  <c r="P150" i="3"/>
  <c r="Q126" i="3"/>
  <c r="Q150" i="3"/>
  <c r="B127" i="3"/>
  <c r="C127" i="3"/>
  <c r="D127" i="3"/>
  <c r="E127" i="3"/>
  <c r="F127" i="3"/>
  <c r="G127" i="3"/>
  <c r="H127" i="3"/>
  <c r="K127" i="3"/>
  <c r="L127" i="3"/>
  <c r="M127" i="3"/>
  <c r="N127" i="3"/>
  <c r="N151" i="3"/>
  <c r="O127" i="3"/>
  <c r="O151" i="3"/>
  <c r="P127" i="3"/>
  <c r="Q127" i="3"/>
  <c r="B128" i="3"/>
  <c r="C128" i="3"/>
  <c r="D128" i="3"/>
  <c r="E128" i="3"/>
  <c r="F128" i="3"/>
  <c r="G128" i="3"/>
  <c r="H128" i="3"/>
  <c r="K128" i="3"/>
  <c r="L128" i="3"/>
  <c r="L152" i="3"/>
  <c r="M128" i="3"/>
  <c r="M152" i="3"/>
  <c r="N128" i="3"/>
  <c r="O128" i="3"/>
  <c r="P128" i="3"/>
  <c r="P152" i="3"/>
  <c r="Q128" i="3"/>
  <c r="Q152" i="3"/>
  <c r="B129" i="3"/>
  <c r="C129" i="3"/>
  <c r="D129" i="3"/>
  <c r="E129" i="3"/>
  <c r="F129" i="3"/>
  <c r="G129" i="3"/>
  <c r="H129" i="3"/>
  <c r="K129" i="3"/>
  <c r="L129" i="3"/>
  <c r="M129" i="3"/>
  <c r="N129" i="3"/>
  <c r="N153" i="3"/>
  <c r="O129" i="3"/>
  <c r="O153" i="3"/>
  <c r="P129" i="3"/>
  <c r="Q129" i="3"/>
  <c r="B130" i="3"/>
  <c r="C130" i="3"/>
  <c r="D130" i="3"/>
  <c r="E130" i="3"/>
  <c r="F130" i="3"/>
  <c r="G130" i="3"/>
  <c r="H130" i="3"/>
  <c r="K130" i="3"/>
  <c r="L130" i="3"/>
  <c r="L154" i="3"/>
  <c r="M130" i="3"/>
  <c r="M154" i="3"/>
  <c r="N130" i="3"/>
  <c r="O130" i="3"/>
  <c r="P130" i="3"/>
  <c r="P154" i="3"/>
  <c r="Q130" i="3"/>
  <c r="Q154" i="3"/>
  <c r="B131" i="3"/>
  <c r="C131" i="3"/>
  <c r="D131" i="3"/>
  <c r="E131" i="3"/>
  <c r="F131" i="3"/>
  <c r="G131" i="3"/>
  <c r="H131" i="3"/>
  <c r="K131" i="3"/>
  <c r="L131" i="3"/>
  <c r="M131" i="3"/>
  <c r="N131" i="3"/>
  <c r="N155" i="3"/>
  <c r="O131" i="3"/>
  <c r="O155" i="3"/>
  <c r="P131" i="3"/>
  <c r="Q131" i="3"/>
  <c r="B132" i="3"/>
  <c r="C132" i="3"/>
  <c r="D132" i="3"/>
  <c r="E132" i="3"/>
  <c r="F132" i="3"/>
  <c r="G132" i="3"/>
  <c r="H132" i="3"/>
  <c r="K132" i="3"/>
  <c r="L132" i="3"/>
  <c r="L156" i="3"/>
  <c r="M132" i="3"/>
  <c r="M156" i="3"/>
  <c r="N132" i="3"/>
  <c r="O132" i="3"/>
  <c r="P132" i="3"/>
  <c r="P156" i="3"/>
  <c r="Q132" i="3"/>
  <c r="Q156" i="3"/>
  <c r="B133" i="3"/>
  <c r="C133" i="3"/>
  <c r="D133" i="3"/>
  <c r="E133" i="3"/>
  <c r="F133" i="3"/>
  <c r="G133" i="3"/>
  <c r="H133" i="3"/>
  <c r="K133" i="3"/>
  <c r="L133" i="3"/>
  <c r="M133" i="3"/>
  <c r="N133" i="3"/>
  <c r="N157" i="3"/>
  <c r="O133" i="3"/>
  <c r="O157" i="3"/>
  <c r="P133" i="3"/>
  <c r="Q133" i="3"/>
  <c r="B134" i="3"/>
  <c r="C134" i="3"/>
  <c r="D134" i="3"/>
  <c r="E134" i="3"/>
  <c r="F134" i="3"/>
  <c r="G134" i="3"/>
  <c r="H134" i="3"/>
  <c r="K134" i="3"/>
  <c r="L134" i="3"/>
  <c r="L158" i="3"/>
  <c r="M134" i="3"/>
  <c r="M158" i="3"/>
  <c r="N134" i="3"/>
  <c r="O134" i="3"/>
  <c r="P134" i="3"/>
  <c r="P158" i="3"/>
  <c r="Q134" i="3"/>
  <c r="Q158" i="3"/>
  <c r="B135" i="3"/>
  <c r="C135" i="3"/>
  <c r="D135" i="3"/>
  <c r="E135" i="3"/>
  <c r="F135" i="3"/>
  <c r="G135" i="3"/>
  <c r="H135" i="3"/>
  <c r="K135" i="3"/>
  <c r="L135" i="3"/>
  <c r="M135" i="3"/>
  <c r="N135" i="3"/>
  <c r="N159" i="3"/>
  <c r="O135" i="3"/>
  <c r="O159" i="3"/>
  <c r="P135" i="3"/>
  <c r="Q135" i="3"/>
  <c r="B136" i="3"/>
  <c r="C136" i="3"/>
  <c r="D136" i="3"/>
  <c r="E136" i="3"/>
  <c r="F136" i="3"/>
  <c r="G136" i="3"/>
  <c r="H136" i="3"/>
  <c r="K136" i="3"/>
  <c r="L136" i="3"/>
  <c r="L160" i="3"/>
  <c r="M136" i="3"/>
  <c r="M160" i="3"/>
  <c r="N136" i="3"/>
  <c r="O136" i="3"/>
  <c r="P136" i="3"/>
  <c r="P160" i="3"/>
  <c r="Q136" i="3"/>
  <c r="Q160" i="3"/>
  <c r="B137" i="3"/>
  <c r="C137" i="3"/>
  <c r="D137" i="3"/>
  <c r="E137" i="3"/>
  <c r="F137" i="3"/>
  <c r="G137" i="3"/>
  <c r="H137" i="3"/>
  <c r="K137" i="3"/>
  <c r="L137" i="3"/>
  <c r="M137" i="3"/>
  <c r="N137" i="3"/>
  <c r="N161" i="3"/>
  <c r="O137" i="3"/>
  <c r="O161" i="3"/>
  <c r="P137" i="3"/>
  <c r="Q137" i="3"/>
  <c r="B138" i="3"/>
  <c r="C138" i="3"/>
  <c r="D138" i="3"/>
  <c r="E138" i="3"/>
  <c r="F138" i="3"/>
  <c r="G138" i="3"/>
  <c r="H138" i="3"/>
  <c r="K138" i="3"/>
  <c r="L138" i="3"/>
  <c r="L162" i="3"/>
  <c r="M138" i="3"/>
  <c r="N138" i="3"/>
  <c r="O138" i="3"/>
  <c r="P138" i="3"/>
  <c r="Q138" i="3"/>
  <c r="C145" i="3"/>
  <c r="D145" i="3"/>
  <c r="E145" i="3"/>
  <c r="F145" i="3"/>
  <c r="G145" i="3"/>
  <c r="H145" i="3"/>
  <c r="L145" i="3"/>
  <c r="M145" i="3"/>
  <c r="N145" i="3"/>
  <c r="O145" i="3"/>
  <c r="P145" i="3"/>
  <c r="Q145" i="3"/>
  <c r="B146" i="3"/>
  <c r="C146" i="3"/>
  <c r="D146" i="3"/>
  <c r="E146" i="3"/>
  <c r="F146" i="3"/>
  <c r="G146" i="3"/>
  <c r="H146" i="3"/>
  <c r="K146" i="3"/>
  <c r="L146" i="3"/>
  <c r="N146" i="3"/>
  <c r="O146" i="3"/>
  <c r="B147" i="3"/>
  <c r="C147" i="3"/>
  <c r="D147" i="3"/>
  <c r="E147" i="3"/>
  <c r="F147" i="3"/>
  <c r="G147" i="3"/>
  <c r="H147" i="3"/>
  <c r="K147" i="3"/>
  <c r="L147" i="3"/>
  <c r="M147" i="3"/>
  <c r="P147" i="3"/>
  <c r="Q147" i="3"/>
  <c r="B148" i="3"/>
  <c r="C148" i="3"/>
  <c r="D148" i="3"/>
  <c r="E148" i="3"/>
  <c r="F148" i="3"/>
  <c r="G148" i="3"/>
  <c r="H148" i="3"/>
  <c r="K148" i="3"/>
  <c r="N148" i="3"/>
  <c r="O148" i="3"/>
  <c r="B149" i="3"/>
  <c r="B221" i="3"/>
  <c r="C149" i="3"/>
  <c r="D149" i="3"/>
  <c r="E149" i="3"/>
  <c r="F149" i="3"/>
  <c r="G149" i="3"/>
  <c r="H149" i="3"/>
  <c r="K149" i="3"/>
  <c r="L149" i="3"/>
  <c r="M149" i="3"/>
  <c r="P149" i="3"/>
  <c r="Q149" i="3"/>
  <c r="B150" i="3"/>
  <c r="C150" i="3"/>
  <c r="D150" i="3"/>
  <c r="E150" i="3"/>
  <c r="F150" i="3"/>
  <c r="G150" i="3"/>
  <c r="H150" i="3"/>
  <c r="K150" i="3"/>
  <c r="N150" i="3"/>
  <c r="O150" i="3"/>
  <c r="B151" i="3"/>
  <c r="C151" i="3"/>
  <c r="D151" i="3"/>
  <c r="E151" i="3"/>
  <c r="F151" i="3"/>
  <c r="G151" i="3"/>
  <c r="H151" i="3"/>
  <c r="K151" i="3"/>
  <c r="L151" i="3"/>
  <c r="M151" i="3"/>
  <c r="P151" i="3"/>
  <c r="Q151" i="3"/>
  <c r="B152" i="3"/>
  <c r="C152" i="3"/>
  <c r="D152" i="3"/>
  <c r="E152" i="3"/>
  <c r="F152" i="3"/>
  <c r="G152" i="3"/>
  <c r="H152" i="3"/>
  <c r="K152" i="3"/>
  <c r="N152" i="3"/>
  <c r="O152" i="3"/>
  <c r="B153" i="3"/>
  <c r="B225" i="3"/>
  <c r="AC392" i="3"/>
  <c r="C153" i="3"/>
  <c r="D153" i="3"/>
  <c r="E153" i="3"/>
  <c r="F153" i="3"/>
  <c r="G153" i="3"/>
  <c r="H153" i="3"/>
  <c r="K153" i="3"/>
  <c r="L153" i="3"/>
  <c r="M153" i="3"/>
  <c r="P153" i="3"/>
  <c r="Q153" i="3"/>
  <c r="B154" i="3"/>
  <c r="C154" i="3"/>
  <c r="D154" i="3"/>
  <c r="E154" i="3"/>
  <c r="F154" i="3"/>
  <c r="G154" i="3"/>
  <c r="H154" i="3"/>
  <c r="K154" i="3"/>
  <c r="N154" i="3"/>
  <c r="O154" i="3"/>
  <c r="B155" i="3"/>
  <c r="C155" i="3"/>
  <c r="D155" i="3"/>
  <c r="E155" i="3"/>
  <c r="F155" i="3"/>
  <c r="G155" i="3"/>
  <c r="H155" i="3"/>
  <c r="K155" i="3"/>
  <c r="L155" i="3"/>
  <c r="M155" i="3"/>
  <c r="P155" i="3"/>
  <c r="Q155" i="3"/>
  <c r="B156" i="3"/>
  <c r="C156" i="3"/>
  <c r="D156" i="3"/>
  <c r="E156" i="3"/>
  <c r="F156" i="3"/>
  <c r="G156" i="3"/>
  <c r="H156" i="3"/>
  <c r="K156" i="3"/>
  <c r="N156" i="3"/>
  <c r="O156" i="3"/>
  <c r="B157" i="3"/>
  <c r="B229" i="3"/>
  <c r="B301" i="3"/>
  <c r="C157" i="3"/>
  <c r="D157" i="3"/>
  <c r="E157" i="3"/>
  <c r="F157" i="3"/>
  <c r="G157" i="3"/>
  <c r="H157" i="3"/>
  <c r="K157" i="3"/>
  <c r="L157" i="3"/>
  <c r="M157" i="3"/>
  <c r="P157" i="3"/>
  <c r="Q157" i="3"/>
  <c r="B158" i="3"/>
  <c r="C158" i="3"/>
  <c r="D158" i="3"/>
  <c r="E158" i="3"/>
  <c r="F158" i="3"/>
  <c r="G158" i="3"/>
  <c r="H158" i="3"/>
  <c r="K158" i="3"/>
  <c r="N158" i="3"/>
  <c r="O158" i="3"/>
  <c r="B159" i="3"/>
  <c r="C159" i="3"/>
  <c r="D159" i="3"/>
  <c r="E159" i="3"/>
  <c r="F159" i="3"/>
  <c r="G159" i="3"/>
  <c r="H159" i="3"/>
  <c r="K159" i="3"/>
  <c r="L159" i="3"/>
  <c r="M159" i="3"/>
  <c r="P159" i="3"/>
  <c r="Q159" i="3"/>
  <c r="B160" i="3"/>
  <c r="C160" i="3"/>
  <c r="D160" i="3"/>
  <c r="E160" i="3"/>
  <c r="F160" i="3"/>
  <c r="G160" i="3"/>
  <c r="H160" i="3"/>
  <c r="K160" i="3"/>
  <c r="N160" i="3"/>
  <c r="O160" i="3"/>
  <c r="B161" i="3"/>
  <c r="C161" i="3"/>
  <c r="D161" i="3"/>
  <c r="E161" i="3"/>
  <c r="F161" i="3"/>
  <c r="G161" i="3"/>
  <c r="H161" i="3"/>
  <c r="K161" i="3"/>
  <c r="L161" i="3"/>
  <c r="M161" i="3"/>
  <c r="P161" i="3"/>
  <c r="Q161" i="3"/>
  <c r="B162" i="3"/>
  <c r="C162" i="3"/>
  <c r="D162" i="3"/>
  <c r="E162" i="3"/>
  <c r="F162" i="3"/>
  <c r="G162" i="3"/>
  <c r="H162" i="3"/>
  <c r="K162" i="3"/>
  <c r="M162" i="3"/>
  <c r="N162" i="3"/>
  <c r="O162" i="3"/>
  <c r="P162" i="3"/>
  <c r="Q162" i="3"/>
  <c r="C169" i="3"/>
  <c r="D169" i="3"/>
  <c r="E169" i="3"/>
  <c r="F169" i="3"/>
  <c r="G169" i="3"/>
  <c r="H169" i="3"/>
  <c r="L169" i="3"/>
  <c r="M169" i="3"/>
  <c r="N169" i="3"/>
  <c r="O169" i="3"/>
  <c r="P169" i="3"/>
  <c r="Q169" i="3"/>
  <c r="B170" i="3"/>
  <c r="C170" i="3"/>
  <c r="D170" i="3"/>
  <c r="E170" i="3"/>
  <c r="F170" i="3"/>
  <c r="G170" i="3"/>
  <c r="H170" i="3"/>
  <c r="K170" i="3"/>
  <c r="L170" i="3"/>
  <c r="M170" i="3"/>
  <c r="M194" i="3"/>
  <c r="N170" i="3"/>
  <c r="O170" i="3"/>
  <c r="P170" i="3"/>
  <c r="P194" i="3"/>
  <c r="Q170" i="3"/>
  <c r="Q194" i="3"/>
  <c r="B171" i="3"/>
  <c r="C171" i="3"/>
  <c r="D171" i="3"/>
  <c r="E171" i="3"/>
  <c r="F171" i="3"/>
  <c r="G171" i="3"/>
  <c r="H171" i="3"/>
  <c r="K171" i="3"/>
  <c r="L171" i="3"/>
  <c r="M171" i="3"/>
  <c r="N171" i="3"/>
  <c r="N195" i="3"/>
  <c r="O171" i="3"/>
  <c r="O195" i="3"/>
  <c r="P171" i="3"/>
  <c r="Q171" i="3"/>
  <c r="B172" i="3"/>
  <c r="C172" i="3"/>
  <c r="D172" i="3"/>
  <c r="E172" i="3"/>
  <c r="F172" i="3"/>
  <c r="G172" i="3"/>
  <c r="H172" i="3"/>
  <c r="K172" i="3"/>
  <c r="L172" i="3"/>
  <c r="M172" i="3"/>
  <c r="M196" i="3"/>
  <c r="N172" i="3"/>
  <c r="O172" i="3"/>
  <c r="P172" i="3"/>
  <c r="Q172" i="3"/>
  <c r="Q196" i="3"/>
  <c r="B173" i="3"/>
  <c r="C173" i="3"/>
  <c r="D173" i="3"/>
  <c r="E173" i="3"/>
  <c r="F173" i="3"/>
  <c r="G173" i="3"/>
  <c r="H173" i="3"/>
  <c r="K173" i="3"/>
  <c r="L173" i="3"/>
  <c r="M173" i="3"/>
  <c r="N173" i="3"/>
  <c r="O173" i="3"/>
  <c r="O197" i="3"/>
  <c r="P173" i="3"/>
  <c r="Q173" i="3"/>
  <c r="B174" i="3"/>
  <c r="C174" i="3"/>
  <c r="D174" i="3"/>
  <c r="E174" i="3"/>
  <c r="F174" i="3"/>
  <c r="G174" i="3"/>
  <c r="H174" i="3"/>
  <c r="K174" i="3"/>
  <c r="L174" i="3"/>
  <c r="L198" i="3"/>
  <c r="M174" i="3"/>
  <c r="M198" i="3"/>
  <c r="N174" i="3"/>
  <c r="O174" i="3"/>
  <c r="P174" i="3"/>
  <c r="P198" i="3"/>
  <c r="Q174" i="3"/>
  <c r="Q198" i="3"/>
  <c r="B175" i="3"/>
  <c r="C175" i="3"/>
  <c r="D175" i="3"/>
  <c r="E175" i="3"/>
  <c r="F175" i="3"/>
  <c r="G175" i="3"/>
  <c r="H175" i="3"/>
  <c r="K175" i="3"/>
  <c r="L175" i="3"/>
  <c r="M175" i="3"/>
  <c r="N175" i="3"/>
  <c r="N199" i="3"/>
  <c r="O175" i="3"/>
  <c r="O199" i="3"/>
  <c r="P175" i="3"/>
  <c r="Q175" i="3"/>
  <c r="B176" i="3"/>
  <c r="C176" i="3"/>
  <c r="D176" i="3"/>
  <c r="E176" i="3"/>
  <c r="F176" i="3"/>
  <c r="G176" i="3"/>
  <c r="H176" i="3"/>
  <c r="K176" i="3"/>
  <c r="L176" i="3"/>
  <c r="M176" i="3"/>
  <c r="M200" i="3"/>
  <c r="N176" i="3"/>
  <c r="O176" i="3"/>
  <c r="P176" i="3"/>
  <c r="Q176" i="3"/>
  <c r="Q200" i="3"/>
  <c r="B177" i="3"/>
  <c r="C177" i="3"/>
  <c r="D177" i="3"/>
  <c r="E177" i="3"/>
  <c r="F177" i="3"/>
  <c r="G177" i="3"/>
  <c r="H177" i="3"/>
  <c r="K177" i="3"/>
  <c r="L177" i="3"/>
  <c r="M177" i="3"/>
  <c r="N177" i="3"/>
  <c r="O177" i="3"/>
  <c r="O201" i="3"/>
  <c r="P177" i="3"/>
  <c r="Q177" i="3"/>
  <c r="B178" i="3"/>
  <c r="C178" i="3"/>
  <c r="D178" i="3"/>
  <c r="E178" i="3"/>
  <c r="F178" i="3"/>
  <c r="G178" i="3"/>
  <c r="H178" i="3"/>
  <c r="K178" i="3"/>
  <c r="L178" i="3"/>
  <c r="L202" i="3"/>
  <c r="M178" i="3"/>
  <c r="M202" i="3"/>
  <c r="N178" i="3"/>
  <c r="O178" i="3"/>
  <c r="P178" i="3"/>
  <c r="P202" i="3"/>
  <c r="Q178" i="3"/>
  <c r="Q202" i="3"/>
  <c r="B179" i="3"/>
  <c r="C179" i="3"/>
  <c r="D179" i="3"/>
  <c r="E179" i="3"/>
  <c r="F179" i="3"/>
  <c r="G179" i="3"/>
  <c r="H179" i="3"/>
  <c r="K179" i="3"/>
  <c r="L179" i="3"/>
  <c r="M179" i="3"/>
  <c r="N179" i="3"/>
  <c r="N203" i="3"/>
  <c r="O179" i="3"/>
  <c r="O203" i="3"/>
  <c r="P179" i="3"/>
  <c r="Q179" i="3"/>
  <c r="B180" i="3"/>
  <c r="C180" i="3"/>
  <c r="D180" i="3"/>
  <c r="E180" i="3"/>
  <c r="F180" i="3"/>
  <c r="G180" i="3"/>
  <c r="H180" i="3"/>
  <c r="K180" i="3"/>
  <c r="L180" i="3"/>
  <c r="M180" i="3"/>
  <c r="N180" i="3"/>
  <c r="O180" i="3"/>
  <c r="P180" i="3"/>
  <c r="Q180" i="3"/>
  <c r="B181" i="3"/>
  <c r="C181" i="3"/>
  <c r="D181" i="3"/>
  <c r="E181" i="3"/>
  <c r="F181" i="3"/>
  <c r="G181" i="3"/>
  <c r="H181" i="3"/>
  <c r="K181" i="3"/>
  <c r="L181" i="3"/>
  <c r="M181" i="3"/>
  <c r="N181" i="3"/>
  <c r="O181" i="3"/>
  <c r="O205" i="3"/>
  <c r="P181" i="3"/>
  <c r="Q181" i="3"/>
  <c r="B182" i="3"/>
  <c r="C182" i="3"/>
  <c r="D182" i="3"/>
  <c r="E182" i="3"/>
  <c r="F182" i="3"/>
  <c r="G182" i="3"/>
  <c r="H182" i="3"/>
  <c r="K182" i="3"/>
  <c r="L182" i="3"/>
  <c r="L206" i="3"/>
  <c r="M182" i="3"/>
  <c r="M206" i="3"/>
  <c r="N182" i="3"/>
  <c r="O182" i="3"/>
  <c r="P182" i="3"/>
  <c r="P206" i="3"/>
  <c r="Q182" i="3"/>
  <c r="Q206" i="3"/>
  <c r="B183" i="3"/>
  <c r="C183" i="3"/>
  <c r="D183" i="3"/>
  <c r="E183" i="3"/>
  <c r="F183" i="3"/>
  <c r="G183" i="3"/>
  <c r="H183" i="3"/>
  <c r="K183" i="3"/>
  <c r="L183" i="3"/>
  <c r="M183" i="3"/>
  <c r="N183" i="3"/>
  <c r="N207" i="3"/>
  <c r="O183" i="3"/>
  <c r="P183" i="3"/>
  <c r="Q183" i="3"/>
  <c r="B184" i="3"/>
  <c r="C184" i="3"/>
  <c r="D184" i="3"/>
  <c r="E184" i="3"/>
  <c r="F184" i="3"/>
  <c r="G184" i="3"/>
  <c r="H184" i="3"/>
  <c r="K184" i="3"/>
  <c r="L184" i="3"/>
  <c r="M184" i="3"/>
  <c r="M208" i="3"/>
  <c r="N184" i="3"/>
  <c r="O184" i="3"/>
  <c r="P184" i="3"/>
  <c r="Q184" i="3"/>
  <c r="Q208" i="3"/>
  <c r="B185" i="3"/>
  <c r="C185" i="3"/>
  <c r="D185" i="3"/>
  <c r="E185" i="3"/>
  <c r="F185" i="3"/>
  <c r="G185" i="3"/>
  <c r="H185" i="3"/>
  <c r="K185" i="3"/>
  <c r="L185" i="3"/>
  <c r="M185" i="3"/>
  <c r="N185" i="3"/>
  <c r="O185" i="3"/>
  <c r="O209" i="3"/>
  <c r="P185" i="3"/>
  <c r="Q185" i="3"/>
  <c r="B186" i="3"/>
  <c r="C186" i="3"/>
  <c r="D186" i="3"/>
  <c r="E186" i="3"/>
  <c r="F186" i="3"/>
  <c r="G186" i="3"/>
  <c r="H186" i="3"/>
  <c r="K186" i="3"/>
  <c r="L186" i="3"/>
  <c r="M186" i="3"/>
  <c r="N186" i="3"/>
  <c r="O186" i="3"/>
  <c r="P186" i="3"/>
  <c r="Q186" i="3"/>
  <c r="C193" i="3"/>
  <c r="D193" i="3"/>
  <c r="E193" i="3"/>
  <c r="F193" i="3"/>
  <c r="G193" i="3"/>
  <c r="H193" i="3"/>
  <c r="L193" i="3"/>
  <c r="M193" i="3"/>
  <c r="N193" i="3"/>
  <c r="O193" i="3"/>
  <c r="P193" i="3"/>
  <c r="Q193" i="3"/>
  <c r="U193" i="3"/>
  <c r="V193" i="3"/>
  <c r="W193" i="3"/>
  <c r="X193" i="3"/>
  <c r="Y193" i="3"/>
  <c r="Z193" i="3"/>
  <c r="AD193" i="3"/>
  <c r="AE193" i="3"/>
  <c r="AF193" i="3"/>
  <c r="AG193" i="3"/>
  <c r="AH193" i="3"/>
  <c r="AI193" i="3"/>
  <c r="C194" i="3"/>
  <c r="D194" i="3"/>
  <c r="E194" i="3"/>
  <c r="F194" i="3"/>
  <c r="G194" i="3"/>
  <c r="H194" i="3"/>
  <c r="K194" i="3"/>
  <c r="L194" i="3"/>
  <c r="N194" i="3"/>
  <c r="O194" i="3"/>
  <c r="AC194" i="3"/>
  <c r="C195" i="3"/>
  <c r="D195" i="3"/>
  <c r="E195" i="3"/>
  <c r="F195" i="3"/>
  <c r="G195" i="3"/>
  <c r="H195" i="3"/>
  <c r="K195" i="3"/>
  <c r="L195" i="3"/>
  <c r="M195" i="3"/>
  <c r="P195" i="3"/>
  <c r="Q195" i="3"/>
  <c r="AC195" i="3"/>
  <c r="C196" i="3"/>
  <c r="D196" i="3"/>
  <c r="E196" i="3"/>
  <c r="F196" i="3"/>
  <c r="G196" i="3"/>
  <c r="H196" i="3"/>
  <c r="K196" i="3"/>
  <c r="L196" i="3"/>
  <c r="N196" i="3"/>
  <c r="O196" i="3"/>
  <c r="P196" i="3"/>
  <c r="AC196" i="3"/>
  <c r="B197" i="3"/>
  <c r="C197" i="3"/>
  <c r="D197" i="3"/>
  <c r="E197" i="3"/>
  <c r="F197" i="3"/>
  <c r="G197" i="3"/>
  <c r="H197" i="3"/>
  <c r="K197" i="3"/>
  <c r="L197" i="3"/>
  <c r="M197" i="3"/>
  <c r="N197" i="3"/>
  <c r="P197" i="3"/>
  <c r="Q197" i="3"/>
  <c r="AC197" i="3"/>
  <c r="C198" i="3"/>
  <c r="D198" i="3"/>
  <c r="E198" i="3"/>
  <c r="F198" i="3"/>
  <c r="G198" i="3"/>
  <c r="H198" i="3"/>
  <c r="K198" i="3"/>
  <c r="N198" i="3"/>
  <c r="O198" i="3"/>
  <c r="AC198" i="3"/>
  <c r="B199" i="3"/>
  <c r="C199" i="3"/>
  <c r="D199" i="3"/>
  <c r="E199" i="3"/>
  <c r="F199" i="3"/>
  <c r="G199" i="3"/>
  <c r="H199" i="3"/>
  <c r="K199" i="3"/>
  <c r="L199" i="3"/>
  <c r="M199" i="3"/>
  <c r="P199" i="3"/>
  <c r="Q199" i="3"/>
  <c r="AC199" i="3"/>
  <c r="B200" i="3"/>
  <c r="C200" i="3"/>
  <c r="D200" i="3"/>
  <c r="E200" i="3"/>
  <c r="F200" i="3"/>
  <c r="G200" i="3"/>
  <c r="H200" i="3"/>
  <c r="K200" i="3"/>
  <c r="L200" i="3"/>
  <c r="N200" i="3"/>
  <c r="O200" i="3"/>
  <c r="P200" i="3"/>
  <c r="AC200" i="3"/>
  <c r="B201" i="3"/>
  <c r="C201" i="3"/>
  <c r="D201" i="3"/>
  <c r="E201" i="3"/>
  <c r="F201" i="3"/>
  <c r="G201" i="3"/>
  <c r="H201" i="3"/>
  <c r="K201" i="3"/>
  <c r="L201" i="3"/>
  <c r="M201" i="3"/>
  <c r="N201" i="3"/>
  <c r="P201" i="3"/>
  <c r="Q201" i="3"/>
  <c r="AC201" i="3"/>
  <c r="C202" i="3"/>
  <c r="D202" i="3"/>
  <c r="E202" i="3"/>
  <c r="F202" i="3"/>
  <c r="G202" i="3"/>
  <c r="H202" i="3"/>
  <c r="K202" i="3"/>
  <c r="N202" i="3"/>
  <c r="O202" i="3"/>
  <c r="AC202" i="3"/>
  <c r="B203" i="3"/>
  <c r="C203" i="3"/>
  <c r="D203" i="3"/>
  <c r="E203" i="3"/>
  <c r="F203" i="3"/>
  <c r="G203" i="3"/>
  <c r="H203" i="3"/>
  <c r="K203" i="3"/>
  <c r="L203" i="3"/>
  <c r="M203" i="3"/>
  <c r="P203" i="3"/>
  <c r="Q203" i="3"/>
  <c r="AC203" i="3"/>
  <c r="B204" i="3"/>
  <c r="C204" i="3"/>
  <c r="D204" i="3"/>
  <c r="E204" i="3"/>
  <c r="F204" i="3"/>
  <c r="G204" i="3"/>
  <c r="H204" i="3"/>
  <c r="K204" i="3"/>
  <c r="L204" i="3"/>
  <c r="M204" i="3"/>
  <c r="N204" i="3"/>
  <c r="O204" i="3"/>
  <c r="P204" i="3"/>
  <c r="Q204" i="3"/>
  <c r="AC204" i="3"/>
  <c r="B205" i="3"/>
  <c r="C205" i="3"/>
  <c r="D205" i="3"/>
  <c r="E205" i="3"/>
  <c r="F205" i="3"/>
  <c r="G205" i="3"/>
  <c r="H205" i="3"/>
  <c r="K205" i="3"/>
  <c r="L205" i="3"/>
  <c r="M205" i="3"/>
  <c r="N205" i="3"/>
  <c r="P205" i="3"/>
  <c r="Q205" i="3"/>
  <c r="AC205" i="3"/>
  <c r="C206" i="3"/>
  <c r="D206" i="3"/>
  <c r="E206" i="3"/>
  <c r="F206" i="3"/>
  <c r="G206" i="3"/>
  <c r="H206" i="3"/>
  <c r="K206" i="3"/>
  <c r="N206" i="3"/>
  <c r="O206" i="3"/>
  <c r="AC206" i="3"/>
  <c r="B207" i="3"/>
  <c r="C207" i="3"/>
  <c r="D207" i="3"/>
  <c r="E207" i="3"/>
  <c r="F207" i="3"/>
  <c r="G207" i="3"/>
  <c r="H207" i="3"/>
  <c r="K207" i="3"/>
  <c r="L207" i="3"/>
  <c r="M207" i="3"/>
  <c r="O207" i="3"/>
  <c r="P207" i="3"/>
  <c r="Q207" i="3"/>
  <c r="AC207" i="3"/>
  <c r="B208" i="3"/>
  <c r="C208" i="3"/>
  <c r="D208" i="3"/>
  <c r="E208" i="3"/>
  <c r="F208" i="3"/>
  <c r="G208" i="3"/>
  <c r="H208" i="3"/>
  <c r="K208" i="3"/>
  <c r="L208" i="3"/>
  <c r="N208" i="3"/>
  <c r="O208" i="3"/>
  <c r="P208" i="3"/>
  <c r="AC208" i="3"/>
  <c r="B209" i="3"/>
  <c r="C209" i="3"/>
  <c r="D209" i="3"/>
  <c r="E209" i="3"/>
  <c r="F209" i="3"/>
  <c r="G209" i="3"/>
  <c r="H209" i="3"/>
  <c r="K209" i="3"/>
  <c r="L209" i="3"/>
  <c r="M209" i="3"/>
  <c r="N209" i="3"/>
  <c r="P209" i="3"/>
  <c r="Q209" i="3"/>
  <c r="C210" i="3"/>
  <c r="D210" i="3"/>
  <c r="E210" i="3"/>
  <c r="F210" i="3"/>
  <c r="G210" i="3"/>
  <c r="H210" i="3"/>
  <c r="K210" i="3"/>
  <c r="L210" i="3"/>
  <c r="M210" i="3"/>
  <c r="N210" i="3"/>
  <c r="O210" i="3"/>
  <c r="P210" i="3"/>
  <c r="Q210" i="3"/>
  <c r="C217" i="3"/>
  <c r="D217" i="3"/>
  <c r="E217" i="3"/>
  <c r="F217" i="3"/>
  <c r="G217" i="3"/>
  <c r="H217" i="3"/>
  <c r="U217" i="3"/>
  <c r="V217" i="3"/>
  <c r="W217" i="3"/>
  <c r="X217" i="3"/>
  <c r="Y217" i="3"/>
  <c r="Z217" i="3"/>
  <c r="B218" i="3"/>
  <c r="C218" i="3"/>
  <c r="D218" i="3"/>
  <c r="E218" i="3"/>
  <c r="F218" i="3"/>
  <c r="G218" i="3"/>
  <c r="H218" i="3"/>
  <c r="U218" i="3"/>
  <c r="V218" i="3"/>
  <c r="V242" i="3"/>
  <c r="V266" i="3"/>
  <c r="V290" i="3"/>
  <c r="V314" i="3"/>
  <c r="V338" i="3"/>
  <c r="V362" i="3"/>
  <c r="V386" i="3"/>
  <c r="V410" i="3"/>
  <c r="V434" i="3"/>
  <c r="V458" i="3"/>
  <c r="W218" i="3"/>
  <c r="X218" i="3"/>
  <c r="X242" i="3"/>
  <c r="Y218" i="3"/>
  <c r="Z218" i="3"/>
  <c r="Z242" i="3"/>
  <c r="B219" i="3"/>
  <c r="C219" i="3"/>
  <c r="C243" i="3"/>
  <c r="D219" i="3"/>
  <c r="E219" i="3"/>
  <c r="F219" i="3"/>
  <c r="G219" i="3"/>
  <c r="G243" i="3"/>
  <c r="H219" i="3"/>
  <c r="U219" i="3"/>
  <c r="U243" i="3"/>
  <c r="U267" i="3"/>
  <c r="U291" i="3"/>
  <c r="U315" i="3"/>
  <c r="U339" i="3"/>
  <c r="U363" i="3"/>
  <c r="U387" i="3"/>
  <c r="U411" i="3"/>
  <c r="U435" i="3"/>
  <c r="V219" i="3"/>
  <c r="W219" i="3"/>
  <c r="W243" i="3"/>
  <c r="X219" i="3"/>
  <c r="Y219" i="3"/>
  <c r="Y243" i="3"/>
  <c r="Y267" i="3"/>
  <c r="Y291" i="3"/>
  <c r="Y315" i="3"/>
  <c r="Y339" i="3"/>
  <c r="Y363" i="3"/>
  <c r="Y387" i="3"/>
  <c r="Y411" i="3"/>
  <c r="Y435" i="3"/>
  <c r="Y459" i="3"/>
  <c r="Z219" i="3"/>
  <c r="B220" i="3"/>
  <c r="B292" i="3"/>
  <c r="C220" i="3"/>
  <c r="D220" i="3"/>
  <c r="D244" i="3"/>
  <c r="D268" i="3"/>
  <c r="D292" i="3"/>
  <c r="D316" i="3"/>
  <c r="D340" i="3"/>
  <c r="D364" i="3"/>
  <c r="D388" i="3"/>
  <c r="D412" i="3"/>
  <c r="D436" i="3"/>
  <c r="D460" i="3"/>
  <c r="E220" i="3"/>
  <c r="F220" i="3"/>
  <c r="F244" i="3"/>
  <c r="G220" i="3"/>
  <c r="H220" i="3"/>
  <c r="H244" i="3"/>
  <c r="H268" i="3"/>
  <c r="H292" i="3"/>
  <c r="H316" i="3"/>
  <c r="H340" i="3"/>
  <c r="H364" i="3"/>
  <c r="H388" i="3"/>
  <c r="U220" i="3"/>
  <c r="V220" i="3"/>
  <c r="V244" i="3"/>
  <c r="W220" i="3"/>
  <c r="X220" i="3"/>
  <c r="Y220" i="3"/>
  <c r="C221" i="3"/>
  <c r="D221" i="3"/>
  <c r="E221" i="3"/>
  <c r="E245" i="3"/>
  <c r="F221" i="3"/>
  <c r="G221" i="3"/>
  <c r="H221" i="3"/>
  <c r="H245" i="3"/>
  <c r="H269" i="3"/>
  <c r="U221" i="3"/>
  <c r="U245" i="3"/>
  <c r="V221" i="3"/>
  <c r="W221" i="3"/>
  <c r="X221" i="3"/>
  <c r="X245" i="3"/>
  <c r="X269" i="3"/>
  <c r="X293" i="3"/>
  <c r="X317" i="3"/>
  <c r="X341" i="3"/>
  <c r="X365" i="3"/>
  <c r="X389" i="3"/>
  <c r="X413" i="3"/>
  <c r="X437" i="3"/>
  <c r="X461" i="3"/>
  <c r="Y221" i="3"/>
  <c r="Y245" i="3"/>
  <c r="Z221" i="3"/>
  <c r="B222" i="3"/>
  <c r="C222" i="3"/>
  <c r="C246" i="3"/>
  <c r="C270" i="3"/>
  <c r="C294" i="3"/>
  <c r="C318" i="3"/>
  <c r="C342" i="3"/>
  <c r="D222" i="3"/>
  <c r="D246" i="3"/>
  <c r="E222" i="3"/>
  <c r="F222" i="3"/>
  <c r="G222" i="3"/>
  <c r="H222" i="3"/>
  <c r="U222" i="3"/>
  <c r="V222" i="3"/>
  <c r="W222" i="3"/>
  <c r="X222" i="3"/>
  <c r="Y222" i="3"/>
  <c r="Z222" i="3"/>
  <c r="B223" i="3"/>
  <c r="C223" i="3"/>
  <c r="D223" i="3"/>
  <c r="E223" i="3"/>
  <c r="F223" i="3"/>
  <c r="G223" i="3"/>
  <c r="H223" i="3"/>
  <c r="U223" i="3"/>
  <c r="V223" i="3"/>
  <c r="W223" i="3"/>
  <c r="X223" i="3"/>
  <c r="Y223" i="3"/>
  <c r="Z223" i="3"/>
  <c r="B224" i="3"/>
  <c r="C224" i="3"/>
  <c r="D224" i="3"/>
  <c r="E224" i="3"/>
  <c r="F224" i="3"/>
  <c r="G224" i="3"/>
  <c r="H224" i="3"/>
  <c r="U224" i="3"/>
  <c r="V224" i="3"/>
  <c r="W224" i="3"/>
  <c r="X224" i="3"/>
  <c r="Y224" i="3"/>
  <c r="Z224" i="3"/>
  <c r="C225" i="3"/>
  <c r="D225" i="3"/>
  <c r="E225" i="3"/>
  <c r="E249" i="3"/>
  <c r="F225" i="3"/>
  <c r="G225" i="3"/>
  <c r="H225" i="3"/>
  <c r="U225" i="3"/>
  <c r="U249" i="3"/>
  <c r="U273" i="3"/>
  <c r="U297" i="3"/>
  <c r="U321" i="3"/>
  <c r="V225" i="3"/>
  <c r="W225" i="3"/>
  <c r="X225" i="3"/>
  <c r="Y225" i="3"/>
  <c r="Y249" i="3"/>
  <c r="Z225" i="3"/>
  <c r="B226" i="3"/>
  <c r="C226" i="3"/>
  <c r="D226" i="3"/>
  <c r="D250" i="3"/>
  <c r="D274" i="3"/>
  <c r="D298" i="3"/>
  <c r="D322" i="3"/>
  <c r="D346" i="3"/>
  <c r="D370" i="3"/>
  <c r="D394" i="3"/>
  <c r="D418" i="3"/>
  <c r="D444" i="3"/>
  <c r="D468" i="3"/>
  <c r="E226" i="3"/>
  <c r="F226" i="3"/>
  <c r="G226" i="3"/>
  <c r="H226" i="3"/>
  <c r="H250" i="3"/>
  <c r="H274" i="3"/>
  <c r="H298" i="3"/>
  <c r="H322" i="3"/>
  <c r="H346" i="3"/>
  <c r="H370" i="3"/>
  <c r="H394" i="3"/>
  <c r="U226" i="3"/>
  <c r="V226" i="3"/>
  <c r="W226" i="3"/>
  <c r="X226" i="3"/>
  <c r="X250" i="3"/>
  <c r="X274" i="3"/>
  <c r="X298" i="3"/>
  <c r="X322" i="3"/>
  <c r="X346" i="3"/>
  <c r="Y226" i="3"/>
  <c r="Z226" i="3"/>
  <c r="B227" i="3"/>
  <c r="C227" i="3"/>
  <c r="C251" i="3"/>
  <c r="C275" i="3"/>
  <c r="C299" i="3"/>
  <c r="C323" i="3"/>
  <c r="C347" i="3"/>
  <c r="C371" i="3"/>
  <c r="D227" i="3"/>
  <c r="E227" i="3"/>
  <c r="F227" i="3"/>
  <c r="G227" i="3"/>
  <c r="G251" i="3"/>
  <c r="G275" i="3"/>
  <c r="G299" i="3"/>
  <c r="G323" i="3"/>
  <c r="G347" i="3"/>
  <c r="G371" i="3"/>
  <c r="G395" i="3"/>
  <c r="G419" i="3"/>
  <c r="G445" i="3"/>
  <c r="G469" i="3"/>
  <c r="H227" i="3"/>
  <c r="U227" i="3"/>
  <c r="V227" i="3"/>
  <c r="W227" i="3"/>
  <c r="W251" i="3"/>
  <c r="W275" i="3"/>
  <c r="W299" i="3"/>
  <c r="W323" i="3"/>
  <c r="W347" i="3"/>
  <c r="W371" i="3"/>
  <c r="X227" i="3"/>
  <c r="Y227" i="3"/>
  <c r="Z227" i="3"/>
  <c r="B228" i="3"/>
  <c r="C228" i="3"/>
  <c r="D228" i="3"/>
  <c r="E228" i="3"/>
  <c r="F228" i="3"/>
  <c r="F252" i="3"/>
  <c r="F276" i="3"/>
  <c r="F300" i="3"/>
  <c r="F324" i="3"/>
  <c r="G228" i="3"/>
  <c r="H228" i="3"/>
  <c r="U228" i="3"/>
  <c r="V228" i="3"/>
  <c r="V252" i="3"/>
  <c r="V276" i="3"/>
  <c r="V300" i="3"/>
  <c r="V324" i="3"/>
  <c r="V348" i="3"/>
  <c r="V372" i="3"/>
  <c r="V396" i="3"/>
  <c r="W228" i="3"/>
  <c r="X228" i="3"/>
  <c r="Y228" i="3"/>
  <c r="Z228" i="3"/>
  <c r="Z252" i="3"/>
  <c r="Z276" i="3"/>
  <c r="Z300" i="3"/>
  <c r="Z324" i="3"/>
  <c r="Z348" i="3"/>
  <c r="Z372" i="3"/>
  <c r="Z396" i="3"/>
  <c r="C229" i="3"/>
  <c r="D229" i="3"/>
  <c r="D253" i="3"/>
  <c r="D277" i="3"/>
  <c r="E229" i="3"/>
  <c r="F229" i="3"/>
  <c r="F253" i="3"/>
  <c r="F277" i="3"/>
  <c r="F301" i="3"/>
  <c r="F325" i="3"/>
  <c r="F349" i="3"/>
  <c r="F373" i="3"/>
  <c r="F397" i="3"/>
  <c r="G229" i="3"/>
  <c r="H229" i="3"/>
  <c r="H253" i="3"/>
  <c r="H277" i="3"/>
  <c r="U229" i="3"/>
  <c r="V229" i="3"/>
  <c r="V253" i="3"/>
  <c r="V277" i="3"/>
  <c r="V301" i="3"/>
  <c r="V325" i="3"/>
  <c r="V349" i="3"/>
  <c r="W229" i="3"/>
  <c r="X229" i="3"/>
  <c r="X253" i="3"/>
  <c r="X277" i="3"/>
  <c r="Y229" i="3"/>
  <c r="Z229" i="3"/>
  <c r="Z253" i="3"/>
  <c r="Z277" i="3"/>
  <c r="Z301" i="3"/>
  <c r="Z325" i="3"/>
  <c r="Z349" i="3"/>
  <c r="Z373" i="3"/>
  <c r="Z397" i="3"/>
  <c r="Z422" i="3"/>
  <c r="B230" i="3"/>
  <c r="C230" i="3"/>
  <c r="C254" i="3"/>
  <c r="C278" i="3"/>
  <c r="D230" i="3"/>
  <c r="E230" i="3"/>
  <c r="F230" i="3"/>
  <c r="G230" i="3"/>
  <c r="G254" i="3"/>
  <c r="G278" i="3"/>
  <c r="H230" i="3"/>
  <c r="U230" i="3"/>
  <c r="U254" i="3"/>
  <c r="U278" i="3"/>
  <c r="U302" i="3"/>
  <c r="U326" i="3"/>
  <c r="U350" i="3"/>
  <c r="U374" i="3"/>
  <c r="U398" i="3"/>
  <c r="V230" i="3"/>
  <c r="W230" i="3"/>
  <c r="W254" i="3"/>
  <c r="W278" i="3"/>
  <c r="X230" i="3"/>
  <c r="Y230" i="3"/>
  <c r="Y254" i="3"/>
  <c r="Y278" i="3"/>
  <c r="Y302" i="3"/>
  <c r="Y326" i="3"/>
  <c r="Z230" i="3"/>
  <c r="B231" i="3"/>
  <c r="C231" i="3"/>
  <c r="D231" i="3"/>
  <c r="D255" i="3"/>
  <c r="D279" i="3"/>
  <c r="D303" i="3"/>
  <c r="D327" i="3"/>
  <c r="D351" i="3"/>
  <c r="D375" i="3"/>
  <c r="D399" i="3"/>
  <c r="D423" i="3"/>
  <c r="D449" i="3"/>
  <c r="D473" i="3"/>
  <c r="E231" i="3"/>
  <c r="F231" i="3"/>
  <c r="F255" i="3"/>
  <c r="F279" i="3"/>
  <c r="G231" i="3"/>
  <c r="H231" i="3"/>
  <c r="H255" i="3"/>
  <c r="H279" i="3"/>
  <c r="H303" i="3"/>
  <c r="H327" i="3"/>
  <c r="H351" i="3"/>
  <c r="H375" i="3"/>
  <c r="U231" i="3"/>
  <c r="V231" i="3"/>
  <c r="V255" i="3"/>
  <c r="V279" i="3"/>
  <c r="W231" i="3"/>
  <c r="X231" i="3"/>
  <c r="Y231" i="3"/>
  <c r="Z231" i="3"/>
  <c r="Z255" i="3"/>
  <c r="Z279" i="3"/>
  <c r="B232" i="3"/>
  <c r="C232" i="3"/>
  <c r="C256" i="3"/>
  <c r="C280" i="3"/>
  <c r="C304" i="3"/>
  <c r="D232" i="3"/>
  <c r="E232" i="3"/>
  <c r="E256" i="3"/>
  <c r="E280" i="3"/>
  <c r="F232" i="3"/>
  <c r="G232" i="3"/>
  <c r="G256" i="3"/>
  <c r="G280" i="3"/>
  <c r="G304" i="3"/>
  <c r="G328" i="3"/>
  <c r="G352" i="3"/>
  <c r="G376" i="3"/>
  <c r="G400" i="3"/>
  <c r="G424" i="3"/>
  <c r="G450" i="3"/>
  <c r="G474" i="3"/>
  <c r="G498" i="3"/>
  <c r="G522" i="3"/>
  <c r="G546" i="3"/>
  <c r="G570" i="3"/>
  <c r="G594" i="3"/>
  <c r="H232" i="3"/>
  <c r="U232" i="3"/>
  <c r="U256" i="3"/>
  <c r="U280" i="3"/>
  <c r="V232" i="3"/>
  <c r="W232" i="3"/>
  <c r="W256" i="3"/>
  <c r="W280" i="3"/>
  <c r="W304" i="3"/>
  <c r="W328" i="3"/>
  <c r="X232" i="3"/>
  <c r="Y232" i="3"/>
  <c r="Y256" i="3"/>
  <c r="Y280" i="3"/>
  <c r="Z232" i="3"/>
  <c r="B233" i="3"/>
  <c r="C233" i="3"/>
  <c r="D233" i="3"/>
  <c r="D257" i="3"/>
  <c r="D281" i="3"/>
  <c r="E233" i="3"/>
  <c r="F233" i="3"/>
  <c r="F257" i="3"/>
  <c r="F281" i="3"/>
  <c r="F305" i="3"/>
  <c r="F329" i="3"/>
  <c r="G233" i="3"/>
  <c r="H233" i="3"/>
  <c r="H257" i="3"/>
  <c r="H281" i="3"/>
  <c r="U233" i="3"/>
  <c r="V233" i="3"/>
  <c r="V257" i="3"/>
  <c r="V281" i="3"/>
  <c r="V305" i="3"/>
  <c r="V329" i="3"/>
  <c r="V353" i="3"/>
  <c r="W233" i="3"/>
  <c r="X233" i="3"/>
  <c r="X257" i="3"/>
  <c r="X281" i="3"/>
  <c r="Y233" i="3"/>
  <c r="Z233" i="3"/>
  <c r="Z257" i="3"/>
  <c r="Z281" i="3"/>
  <c r="Z305" i="3"/>
  <c r="Z329" i="3"/>
  <c r="Z353" i="3"/>
  <c r="B234" i="3"/>
  <c r="C234" i="3"/>
  <c r="C258" i="3"/>
  <c r="C282" i="3"/>
  <c r="C306" i="3"/>
  <c r="C330" i="3"/>
  <c r="C354" i="3"/>
  <c r="C378" i="3"/>
  <c r="C402" i="3"/>
  <c r="C426" i="3"/>
  <c r="C452" i="3"/>
  <c r="C476" i="3"/>
  <c r="D234" i="3"/>
  <c r="E234" i="3"/>
  <c r="F234" i="3"/>
  <c r="G234" i="3"/>
  <c r="G258" i="3"/>
  <c r="G282" i="3"/>
  <c r="G306" i="3"/>
  <c r="G330" i="3"/>
  <c r="G354" i="3"/>
  <c r="G378" i="3"/>
  <c r="G402" i="3"/>
  <c r="G426" i="3"/>
  <c r="G452" i="3"/>
  <c r="G476" i="3"/>
  <c r="H234" i="3"/>
  <c r="U234" i="3"/>
  <c r="U258" i="3"/>
  <c r="U282" i="3"/>
  <c r="U306" i="3"/>
  <c r="V234" i="3"/>
  <c r="W234" i="3"/>
  <c r="W258" i="3"/>
  <c r="W282" i="3"/>
  <c r="W306" i="3"/>
  <c r="W330" i="3"/>
  <c r="W354" i="3"/>
  <c r="W378" i="3"/>
  <c r="W402" i="3"/>
  <c r="X234" i="3"/>
  <c r="Y234" i="3"/>
  <c r="Y258" i="3"/>
  <c r="Y282" i="3"/>
  <c r="Y306" i="3"/>
  <c r="Y330" i="3"/>
  <c r="Y354" i="3"/>
  <c r="Y378" i="3"/>
  <c r="Y402" i="3"/>
  <c r="Z234" i="3"/>
  <c r="U235" i="3"/>
  <c r="U259" i="3"/>
  <c r="U283" i="3"/>
  <c r="U307" i="3"/>
  <c r="U331" i="3"/>
  <c r="U355" i="3"/>
  <c r="U379" i="3"/>
  <c r="U403" i="3"/>
  <c r="V235" i="3"/>
  <c r="W235" i="3"/>
  <c r="W259" i="3"/>
  <c r="W283" i="3"/>
  <c r="W307" i="3"/>
  <c r="X235" i="3"/>
  <c r="Y235" i="3"/>
  <c r="Y259" i="3"/>
  <c r="Y283" i="3"/>
  <c r="Y307" i="3"/>
  <c r="Y331" i="3"/>
  <c r="Y355" i="3"/>
  <c r="Y379" i="3"/>
  <c r="Y403" i="3"/>
  <c r="Z235" i="3"/>
  <c r="U236" i="3"/>
  <c r="U260" i="3"/>
  <c r="U284" i="3"/>
  <c r="U308" i="3"/>
  <c r="U332" i="3"/>
  <c r="U356" i="3"/>
  <c r="U380" i="3"/>
  <c r="U404" i="3"/>
  <c r="V236" i="3"/>
  <c r="W236" i="3"/>
  <c r="W260" i="3"/>
  <c r="W284" i="3"/>
  <c r="W308" i="3"/>
  <c r="W332" i="3"/>
  <c r="W356" i="3"/>
  <c r="W380" i="3"/>
  <c r="W404" i="3"/>
  <c r="X236" i="3"/>
  <c r="Y236" i="3"/>
  <c r="Y260" i="3"/>
  <c r="Y284" i="3"/>
  <c r="Y308" i="3"/>
  <c r="Y332" i="3"/>
  <c r="Z236" i="3"/>
  <c r="U237" i="3"/>
  <c r="U261" i="3"/>
  <c r="U285" i="3"/>
  <c r="U309" i="3"/>
  <c r="U333" i="3"/>
  <c r="U357" i="3"/>
  <c r="U381" i="3"/>
  <c r="U405" i="3"/>
  <c r="V237" i="3"/>
  <c r="W237" i="3"/>
  <c r="W261" i="3"/>
  <c r="W285" i="3"/>
  <c r="X237" i="3"/>
  <c r="Y237" i="3"/>
  <c r="Y261" i="3"/>
  <c r="Y285" i="3"/>
  <c r="Y309" i="3"/>
  <c r="Y333" i="3"/>
  <c r="Y357" i="3"/>
  <c r="Y381" i="3"/>
  <c r="Y405" i="3"/>
  <c r="Z237" i="3"/>
  <c r="U238" i="3"/>
  <c r="V238" i="3"/>
  <c r="W238" i="3"/>
  <c r="X238" i="3"/>
  <c r="Y238" i="3"/>
  <c r="Z238" i="3"/>
  <c r="C241" i="3"/>
  <c r="D241" i="3"/>
  <c r="E241" i="3"/>
  <c r="F241" i="3"/>
  <c r="G241" i="3"/>
  <c r="H241" i="3"/>
  <c r="U241" i="3"/>
  <c r="V241" i="3"/>
  <c r="W241" i="3"/>
  <c r="X241" i="3"/>
  <c r="Y241" i="3"/>
  <c r="Z241" i="3"/>
  <c r="B242" i="3"/>
  <c r="B314" i="3"/>
  <c r="C242" i="3"/>
  <c r="D242" i="3"/>
  <c r="E242" i="3"/>
  <c r="F242" i="3"/>
  <c r="G242" i="3"/>
  <c r="H242" i="3"/>
  <c r="U242" i="3"/>
  <c r="W242" i="3"/>
  <c r="Y242" i="3"/>
  <c r="Y266" i="3"/>
  <c r="B243" i="3"/>
  <c r="B315" i="3"/>
  <c r="D243" i="3"/>
  <c r="E243" i="3"/>
  <c r="E267" i="3"/>
  <c r="E291" i="3"/>
  <c r="E315" i="3"/>
  <c r="E339" i="3"/>
  <c r="E363" i="3"/>
  <c r="E387" i="3"/>
  <c r="E411" i="3"/>
  <c r="E435" i="3"/>
  <c r="E459" i="3"/>
  <c r="F243" i="3"/>
  <c r="H243" i="3"/>
  <c r="H267" i="3"/>
  <c r="H291" i="3"/>
  <c r="H315" i="3"/>
  <c r="H339" i="3"/>
  <c r="V243" i="3"/>
  <c r="X243" i="3"/>
  <c r="Z243" i="3"/>
  <c r="B244" i="3"/>
  <c r="C244" i="3"/>
  <c r="E244" i="3"/>
  <c r="G244" i="3"/>
  <c r="U244" i="3"/>
  <c r="U268" i="3"/>
  <c r="U292" i="3"/>
  <c r="U316" i="3"/>
  <c r="U340" i="3"/>
  <c r="U364" i="3"/>
  <c r="W244" i="3"/>
  <c r="X244" i="3"/>
  <c r="Y244" i="3"/>
  <c r="B245" i="3"/>
  <c r="B317" i="3"/>
  <c r="C245" i="3"/>
  <c r="D245" i="3"/>
  <c r="D269" i="3"/>
  <c r="F245" i="3"/>
  <c r="G245" i="3"/>
  <c r="G269" i="3"/>
  <c r="G293" i="3"/>
  <c r="G317" i="3"/>
  <c r="G341" i="3"/>
  <c r="G365" i="3"/>
  <c r="G389" i="3"/>
  <c r="G413" i="3"/>
  <c r="G437" i="3"/>
  <c r="G461" i="3"/>
  <c r="V245" i="3"/>
  <c r="W245" i="3"/>
  <c r="Z245" i="3"/>
  <c r="B246" i="3"/>
  <c r="E246" i="3"/>
  <c r="E270" i="3"/>
  <c r="E294" i="3"/>
  <c r="E318" i="3"/>
  <c r="E342" i="3"/>
  <c r="E366" i="3"/>
  <c r="E390" i="3"/>
  <c r="E414" i="3"/>
  <c r="E438" i="3"/>
  <c r="E462" i="3"/>
  <c r="F246" i="3"/>
  <c r="G246" i="3"/>
  <c r="G270" i="3"/>
  <c r="G294" i="3"/>
  <c r="G318" i="3"/>
  <c r="G342" i="3"/>
  <c r="G366" i="3"/>
  <c r="G390" i="3"/>
  <c r="G414" i="3"/>
  <c r="G438" i="3"/>
  <c r="G462" i="3"/>
  <c r="H246" i="3"/>
  <c r="U246" i="3"/>
  <c r="U270" i="3"/>
  <c r="U294" i="3"/>
  <c r="U318" i="3"/>
  <c r="U342" i="3"/>
  <c r="U366" i="3"/>
  <c r="U390" i="3"/>
  <c r="U414" i="3"/>
  <c r="U438" i="3"/>
  <c r="U462" i="3"/>
  <c r="V246" i="3"/>
  <c r="W246" i="3"/>
  <c r="W270" i="3"/>
  <c r="W294" i="3"/>
  <c r="W318" i="3"/>
  <c r="W342" i="3"/>
  <c r="W366" i="3"/>
  <c r="W390" i="3"/>
  <c r="W414" i="3"/>
  <c r="W438" i="3"/>
  <c r="W462" i="3"/>
  <c r="X246" i="3"/>
  <c r="Y246" i="3"/>
  <c r="Y270" i="3"/>
  <c r="Y294" i="3"/>
  <c r="Y318" i="3"/>
  <c r="Y342" i="3"/>
  <c r="Y366" i="3"/>
  <c r="Y390" i="3"/>
  <c r="Y414" i="3"/>
  <c r="Y438" i="3"/>
  <c r="Y462" i="3"/>
  <c r="Z246" i="3"/>
  <c r="B247" i="3"/>
  <c r="C247" i="3"/>
  <c r="D247" i="3"/>
  <c r="D271" i="3"/>
  <c r="D295" i="3"/>
  <c r="D319" i="3"/>
  <c r="D343" i="3"/>
  <c r="D367" i="3"/>
  <c r="D391" i="3"/>
  <c r="D415" i="3"/>
  <c r="D439" i="3"/>
  <c r="D463" i="3"/>
  <c r="E247" i="3"/>
  <c r="F247" i="3"/>
  <c r="F271" i="3"/>
  <c r="F295" i="3"/>
  <c r="F319" i="3"/>
  <c r="F343" i="3"/>
  <c r="F367" i="3"/>
  <c r="F391" i="3"/>
  <c r="F415" i="3"/>
  <c r="F439" i="3"/>
  <c r="F463" i="3"/>
  <c r="G247" i="3"/>
  <c r="H247" i="3"/>
  <c r="H271" i="3"/>
  <c r="H295" i="3"/>
  <c r="H319" i="3"/>
  <c r="H343" i="3"/>
  <c r="H367" i="3"/>
  <c r="H391" i="3"/>
  <c r="H415" i="3"/>
  <c r="H439" i="3"/>
  <c r="H463" i="3"/>
  <c r="U247" i="3"/>
  <c r="V247" i="3"/>
  <c r="V271" i="3"/>
  <c r="V295" i="3"/>
  <c r="V319" i="3"/>
  <c r="V343" i="3"/>
  <c r="V367" i="3"/>
  <c r="V391" i="3"/>
  <c r="V415" i="3"/>
  <c r="V439" i="3"/>
  <c r="V463" i="3"/>
  <c r="W247" i="3"/>
  <c r="X247" i="3"/>
  <c r="X271" i="3"/>
  <c r="X295" i="3"/>
  <c r="X319" i="3"/>
  <c r="X343" i="3"/>
  <c r="X367" i="3"/>
  <c r="X391" i="3"/>
  <c r="X415" i="3"/>
  <c r="X439" i="3"/>
  <c r="X463" i="3"/>
  <c r="Y247" i="3"/>
  <c r="Z247" i="3"/>
  <c r="Z271" i="3"/>
  <c r="Z295" i="3"/>
  <c r="Z319" i="3"/>
  <c r="Z343" i="3"/>
  <c r="Z367" i="3"/>
  <c r="Z391" i="3"/>
  <c r="Z415" i="3"/>
  <c r="Z439" i="3"/>
  <c r="Z463" i="3"/>
  <c r="B248" i="3"/>
  <c r="C248" i="3"/>
  <c r="C272" i="3"/>
  <c r="C296" i="3"/>
  <c r="C320" i="3"/>
  <c r="C344" i="3"/>
  <c r="C368" i="3"/>
  <c r="C392" i="3"/>
  <c r="C416" i="3"/>
  <c r="C440" i="3"/>
  <c r="C464" i="3"/>
  <c r="D248" i="3"/>
  <c r="E248" i="3"/>
  <c r="E272" i="3"/>
  <c r="E296" i="3"/>
  <c r="E320" i="3"/>
  <c r="E344" i="3"/>
  <c r="E368" i="3"/>
  <c r="E392" i="3"/>
  <c r="E416" i="3"/>
  <c r="E440" i="3"/>
  <c r="E464" i="3"/>
  <c r="F248" i="3"/>
  <c r="G248" i="3"/>
  <c r="G272" i="3"/>
  <c r="G296" i="3"/>
  <c r="G320" i="3"/>
  <c r="G344" i="3"/>
  <c r="G368" i="3"/>
  <c r="G392" i="3"/>
  <c r="G416" i="3"/>
  <c r="G440" i="3"/>
  <c r="G464" i="3"/>
  <c r="H248" i="3"/>
  <c r="U248" i="3"/>
  <c r="U272" i="3"/>
  <c r="U296" i="3"/>
  <c r="U320" i="3"/>
  <c r="U344" i="3"/>
  <c r="U368" i="3"/>
  <c r="U392" i="3"/>
  <c r="U416" i="3"/>
  <c r="U440" i="3"/>
  <c r="V248" i="3"/>
  <c r="W248" i="3"/>
  <c r="W272" i="3"/>
  <c r="W296" i="3"/>
  <c r="W320" i="3"/>
  <c r="W344" i="3"/>
  <c r="W368" i="3"/>
  <c r="W392" i="3"/>
  <c r="X248" i="3"/>
  <c r="Y248" i="3"/>
  <c r="Y272" i="3"/>
  <c r="Y296" i="3"/>
  <c r="Y320" i="3"/>
  <c r="Y344" i="3"/>
  <c r="Y368" i="3"/>
  <c r="Y392" i="3"/>
  <c r="Y416" i="3"/>
  <c r="Y440" i="3"/>
  <c r="Y464" i="3"/>
  <c r="Z248" i="3"/>
  <c r="B249" i="3"/>
  <c r="B321" i="3"/>
  <c r="C249" i="3"/>
  <c r="D249" i="3"/>
  <c r="D273" i="3"/>
  <c r="D297" i="3"/>
  <c r="D321" i="3"/>
  <c r="D345" i="3"/>
  <c r="D369" i="3"/>
  <c r="D393" i="3"/>
  <c r="D417" i="3"/>
  <c r="D442" i="3"/>
  <c r="D466" i="3"/>
  <c r="F249" i="3"/>
  <c r="F273" i="3"/>
  <c r="F297" i="3"/>
  <c r="F321" i="3"/>
  <c r="F345" i="3"/>
  <c r="F369" i="3"/>
  <c r="F393" i="3"/>
  <c r="F417" i="3"/>
  <c r="F442" i="3"/>
  <c r="F466" i="3"/>
  <c r="G249" i="3"/>
  <c r="H249" i="3"/>
  <c r="V249" i="3"/>
  <c r="V273" i="3"/>
  <c r="V297" i="3"/>
  <c r="V321" i="3"/>
  <c r="V345" i="3"/>
  <c r="V369" i="3"/>
  <c r="V393" i="3"/>
  <c r="V417" i="3"/>
  <c r="V441" i="3"/>
  <c r="V465" i="3"/>
  <c r="W249" i="3"/>
  <c r="X249" i="3"/>
  <c r="X273" i="3"/>
  <c r="X297" i="3"/>
  <c r="X321" i="3"/>
  <c r="X345" i="3"/>
  <c r="Z249" i="3"/>
  <c r="Z273" i="3"/>
  <c r="Z297" i="3"/>
  <c r="Z321" i="3"/>
  <c r="Z345" i="3"/>
  <c r="Z369" i="3"/>
  <c r="B250" i="3"/>
  <c r="C250" i="3"/>
  <c r="C274" i="3"/>
  <c r="E250" i="3"/>
  <c r="E274" i="3"/>
  <c r="E298" i="3"/>
  <c r="E322" i="3"/>
  <c r="E346" i="3"/>
  <c r="E370" i="3"/>
  <c r="E394" i="3"/>
  <c r="E418" i="3"/>
  <c r="E444" i="3"/>
  <c r="E468" i="3"/>
  <c r="F250" i="3"/>
  <c r="G250" i="3"/>
  <c r="G274" i="3"/>
  <c r="G298" i="3"/>
  <c r="G322" i="3"/>
  <c r="G346" i="3"/>
  <c r="G370" i="3"/>
  <c r="G394" i="3"/>
  <c r="G418" i="3"/>
  <c r="G444" i="3"/>
  <c r="G468" i="3"/>
  <c r="U250" i="3"/>
  <c r="U274" i="3"/>
  <c r="U298" i="3"/>
  <c r="U322" i="3"/>
  <c r="U346" i="3"/>
  <c r="U370" i="3"/>
  <c r="U394" i="3"/>
  <c r="V250" i="3"/>
  <c r="W250" i="3"/>
  <c r="W274" i="3"/>
  <c r="Y250" i="3"/>
  <c r="Y274" i="3"/>
  <c r="Y298" i="3"/>
  <c r="Y322" i="3"/>
  <c r="Y346" i="3"/>
  <c r="Y370" i="3"/>
  <c r="Y394" i="3"/>
  <c r="Z250" i="3"/>
  <c r="B251" i="3"/>
  <c r="D251" i="3"/>
  <c r="D275" i="3"/>
  <c r="D299" i="3"/>
  <c r="D323" i="3"/>
  <c r="D347" i="3"/>
  <c r="D371" i="3"/>
  <c r="D395" i="3"/>
  <c r="D419" i="3"/>
  <c r="D445" i="3"/>
  <c r="D469" i="3"/>
  <c r="E251" i="3"/>
  <c r="F251" i="3"/>
  <c r="F275" i="3"/>
  <c r="H251" i="3"/>
  <c r="H275" i="3"/>
  <c r="H299" i="3"/>
  <c r="H323" i="3"/>
  <c r="H347" i="3"/>
  <c r="H371" i="3"/>
  <c r="H395" i="3"/>
  <c r="H419" i="3"/>
  <c r="H445" i="3"/>
  <c r="H469" i="3"/>
  <c r="U251" i="3"/>
  <c r="V251" i="3"/>
  <c r="V275" i="3"/>
  <c r="V299" i="3"/>
  <c r="V323" i="3"/>
  <c r="V347" i="3"/>
  <c r="V371" i="3"/>
  <c r="V395" i="3"/>
  <c r="X251" i="3"/>
  <c r="X275" i="3"/>
  <c r="X299" i="3"/>
  <c r="X323" i="3"/>
  <c r="X347" i="3"/>
  <c r="X371" i="3"/>
  <c r="X395" i="3"/>
  <c r="Y251" i="3"/>
  <c r="Z251" i="3"/>
  <c r="Z275" i="3"/>
  <c r="B252" i="3"/>
  <c r="C252" i="3"/>
  <c r="C276" i="3"/>
  <c r="C300" i="3"/>
  <c r="C324" i="3"/>
  <c r="C348" i="3"/>
  <c r="C372" i="3"/>
  <c r="C396" i="3"/>
  <c r="C420" i="3"/>
  <c r="C446" i="3"/>
  <c r="C470" i="3"/>
  <c r="D252" i="3"/>
  <c r="E252" i="3"/>
  <c r="G252" i="3"/>
  <c r="G276" i="3"/>
  <c r="G300" i="3"/>
  <c r="G324" i="3"/>
  <c r="G348" i="3"/>
  <c r="G372" i="3"/>
  <c r="G396" i="3"/>
  <c r="G420" i="3"/>
  <c r="G446" i="3"/>
  <c r="G470" i="3"/>
  <c r="H252" i="3"/>
  <c r="U252" i="3"/>
  <c r="U276" i="3"/>
  <c r="U300" i="3"/>
  <c r="U324" i="3"/>
  <c r="W252" i="3"/>
  <c r="W276" i="3"/>
  <c r="W300" i="3"/>
  <c r="W324" i="3"/>
  <c r="W348" i="3"/>
  <c r="W372" i="3"/>
  <c r="W396" i="3"/>
  <c r="X252" i="3"/>
  <c r="Y252" i="3"/>
  <c r="B253" i="3"/>
  <c r="B325" i="3"/>
  <c r="C253" i="3"/>
  <c r="E253" i="3"/>
  <c r="E277" i="3"/>
  <c r="E301" i="3"/>
  <c r="E325" i="3"/>
  <c r="E349" i="3"/>
  <c r="E373" i="3"/>
  <c r="E397" i="3"/>
  <c r="E421" i="3"/>
  <c r="E447" i="3"/>
  <c r="E471" i="3"/>
  <c r="G253" i="3"/>
  <c r="G277" i="3"/>
  <c r="G301" i="3"/>
  <c r="G325" i="3"/>
  <c r="U253" i="3"/>
  <c r="W253" i="3"/>
  <c r="Y253" i="3"/>
  <c r="B254" i="3"/>
  <c r="D254" i="3"/>
  <c r="E254" i="3"/>
  <c r="E278" i="3"/>
  <c r="E302" i="3"/>
  <c r="E326" i="3"/>
  <c r="E350" i="3"/>
  <c r="E374" i="3"/>
  <c r="E398" i="3"/>
  <c r="E422" i="3"/>
  <c r="E448" i="3"/>
  <c r="E472" i="3"/>
  <c r="F254" i="3"/>
  <c r="H254" i="3"/>
  <c r="H278" i="3"/>
  <c r="H302" i="3"/>
  <c r="H326" i="3"/>
  <c r="H350" i="3"/>
  <c r="V254" i="3"/>
  <c r="X254" i="3"/>
  <c r="Z254" i="3"/>
  <c r="B255" i="3"/>
  <c r="C255" i="3"/>
  <c r="E255" i="3"/>
  <c r="G255" i="3"/>
  <c r="U255" i="3"/>
  <c r="U279" i="3"/>
  <c r="U303" i="3"/>
  <c r="U327" i="3"/>
  <c r="U351" i="3"/>
  <c r="W255" i="3"/>
  <c r="X255" i="3"/>
  <c r="X279" i="3"/>
  <c r="X303" i="3"/>
  <c r="X327" i="3"/>
  <c r="X351" i="3"/>
  <c r="X375" i="3"/>
  <c r="X399" i="3"/>
  <c r="Y255" i="3"/>
  <c r="B256" i="3"/>
  <c r="D256" i="3"/>
  <c r="D280" i="3"/>
  <c r="D304" i="3"/>
  <c r="D328" i="3"/>
  <c r="F256" i="3"/>
  <c r="H256" i="3"/>
  <c r="V256" i="3"/>
  <c r="X256" i="3"/>
  <c r="X280" i="3"/>
  <c r="Z256" i="3"/>
  <c r="B257" i="3"/>
  <c r="B329" i="3"/>
  <c r="C257" i="3"/>
  <c r="E257" i="3"/>
  <c r="E281" i="3"/>
  <c r="G257" i="3"/>
  <c r="U257" i="3"/>
  <c r="W257" i="3"/>
  <c r="Y257" i="3"/>
  <c r="Y281" i="3"/>
  <c r="Y305" i="3"/>
  <c r="Y329" i="3"/>
  <c r="B258" i="3"/>
  <c r="D258" i="3"/>
  <c r="E258" i="3"/>
  <c r="E282" i="3"/>
  <c r="E306" i="3"/>
  <c r="E330" i="3"/>
  <c r="F258" i="3"/>
  <c r="H258" i="3"/>
  <c r="H282" i="3"/>
  <c r="H306" i="3"/>
  <c r="H330" i="3"/>
  <c r="H354" i="3"/>
  <c r="H378" i="3"/>
  <c r="H402" i="3"/>
  <c r="H426" i="3"/>
  <c r="H452" i="3"/>
  <c r="H476" i="3"/>
  <c r="V258" i="3"/>
  <c r="V282" i="3"/>
  <c r="V306" i="3"/>
  <c r="X258" i="3"/>
  <c r="Z258" i="3"/>
  <c r="V259" i="3"/>
  <c r="X259" i="3"/>
  <c r="X283" i="3"/>
  <c r="X307" i="3"/>
  <c r="X331" i="3"/>
  <c r="Z259" i="3"/>
  <c r="V260" i="3"/>
  <c r="X260" i="3"/>
  <c r="X284" i="3"/>
  <c r="X308" i="3"/>
  <c r="X332" i="3"/>
  <c r="X356" i="3"/>
  <c r="X380" i="3"/>
  <c r="X404" i="3"/>
  <c r="Z260" i="3"/>
  <c r="Z284" i="3"/>
  <c r="V261" i="3"/>
  <c r="X261" i="3"/>
  <c r="Z261" i="3"/>
  <c r="U262" i="3"/>
  <c r="V262" i="3"/>
  <c r="W262" i="3"/>
  <c r="X262" i="3"/>
  <c r="Y262" i="3"/>
  <c r="Z262" i="3"/>
  <c r="C265" i="3"/>
  <c r="D265" i="3"/>
  <c r="E265" i="3"/>
  <c r="F265" i="3"/>
  <c r="G265" i="3"/>
  <c r="H265" i="3"/>
  <c r="U265" i="3"/>
  <c r="V265" i="3"/>
  <c r="W265" i="3"/>
  <c r="X265" i="3"/>
  <c r="Y265" i="3"/>
  <c r="Z265" i="3"/>
  <c r="C266" i="3"/>
  <c r="D266" i="3"/>
  <c r="E266" i="3"/>
  <c r="F266" i="3"/>
  <c r="G266" i="3"/>
  <c r="H266" i="3"/>
  <c r="U266" i="3"/>
  <c r="W266" i="3"/>
  <c r="X266" i="3"/>
  <c r="X290" i="3"/>
  <c r="X314" i="3"/>
  <c r="X338" i="3"/>
  <c r="X362" i="3"/>
  <c r="X386" i="3"/>
  <c r="Z266" i="3"/>
  <c r="Z290" i="3"/>
  <c r="C267" i="3"/>
  <c r="C291" i="3"/>
  <c r="C315" i="3"/>
  <c r="C339" i="3"/>
  <c r="C363" i="3"/>
  <c r="C387" i="3"/>
  <c r="C411" i="3"/>
  <c r="C435" i="3"/>
  <c r="C459" i="3"/>
  <c r="D267" i="3"/>
  <c r="F267" i="3"/>
  <c r="G267" i="3"/>
  <c r="G291" i="3"/>
  <c r="G315" i="3"/>
  <c r="G339" i="3"/>
  <c r="G363" i="3"/>
  <c r="G387" i="3"/>
  <c r="G411" i="3"/>
  <c r="G435" i="3"/>
  <c r="G459" i="3"/>
  <c r="V267" i="3"/>
  <c r="V291" i="3"/>
  <c r="W267" i="3"/>
  <c r="W291" i="3"/>
  <c r="W315" i="3"/>
  <c r="W339" i="3"/>
  <c r="W363" i="3"/>
  <c r="X267" i="3"/>
  <c r="Z267" i="3"/>
  <c r="C268" i="3"/>
  <c r="E268" i="3"/>
  <c r="E292" i="3"/>
  <c r="F268" i="3"/>
  <c r="F292" i="3"/>
  <c r="G268" i="3"/>
  <c r="V268" i="3"/>
  <c r="V292" i="3"/>
  <c r="V316" i="3"/>
  <c r="V340" i="3"/>
  <c r="V364" i="3"/>
  <c r="V388" i="3"/>
  <c r="V412" i="3"/>
  <c r="V436" i="3"/>
  <c r="V460" i="3"/>
  <c r="W268" i="3"/>
  <c r="X268" i="3"/>
  <c r="X292" i="3"/>
  <c r="X316" i="3"/>
  <c r="X340" i="3"/>
  <c r="X364" i="3"/>
  <c r="X388" i="3"/>
  <c r="X412" i="3"/>
  <c r="X436" i="3"/>
  <c r="X460" i="3"/>
  <c r="Y268" i="3"/>
  <c r="B269" i="3"/>
  <c r="C269" i="3"/>
  <c r="C293" i="3"/>
  <c r="C317" i="3"/>
  <c r="C341" i="3"/>
  <c r="C365" i="3"/>
  <c r="E269" i="3"/>
  <c r="E293" i="3"/>
  <c r="E317" i="3"/>
  <c r="E341" i="3"/>
  <c r="E365" i="3"/>
  <c r="E389" i="3"/>
  <c r="E413" i="3"/>
  <c r="E437" i="3"/>
  <c r="E461" i="3"/>
  <c r="F269" i="3"/>
  <c r="U269" i="3"/>
  <c r="U293" i="3"/>
  <c r="U317" i="3"/>
  <c r="V269" i="3"/>
  <c r="V293" i="3"/>
  <c r="W269" i="3"/>
  <c r="Y269" i="3"/>
  <c r="Y293" i="3"/>
  <c r="Z269" i="3"/>
  <c r="D270" i="3"/>
  <c r="D294" i="3"/>
  <c r="F270" i="3"/>
  <c r="H270" i="3"/>
  <c r="H294" i="3"/>
  <c r="H318" i="3"/>
  <c r="H342" i="3"/>
  <c r="H366" i="3"/>
  <c r="H390" i="3"/>
  <c r="H414" i="3"/>
  <c r="H438" i="3"/>
  <c r="H462" i="3"/>
  <c r="V270" i="3"/>
  <c r="X270" i="3"/>
  <c r="X294" i="3"/>
  <c r="X318" i="3"/>
  <c r="Z270" i="3"/>
  <c r="B271" i="3"/>
  <c r="C271" i="3"/>
  <c r="C295" i="3"/>
  <c r="C319" i="3"/>
  <c r="C343" i="3"/>
  <c r="E271" i="3"/>
  <c r="G271" i="3"/>
  <c r="G295" i="3"/>
  <c r="U271" i="3"/>
  <c r="U295" i="3"/>
  <c r="W271" i="3"/>
  <c r="W295" i="3"/>
  <c r="W319" i="3"/>
  <c r="W343" i="3"/>
  <c r="W367" i="3"/>
  <c r="W391" i="3"/>
  <c r="W415" i="3"/>
  <c r="W439" i="3"/>
  <c r="W463" i="3"/>
  <c r="Y271" i="3"/>
  <c r="B272" i="3"/>
  <c r="D272" i="3"/>
  <c r="D296" i="3"/>
  <c r="D320" i="3"/>
  <c r="D344" i="3"/>
  <c r="D368" i="3"/>
  <c r="D392" i="3"/>
  <c r="F272" i="3"/>
  <c r="F296" i="3"/>
  <c r="F320" i="3"/>
  <c r="F344" i="3"/>
  <c r="H272" i="3"/>
  <c r="V272" i="3"/>
  <c r="V296" i="3"/>
  <c r="X272" i="3"/>
  <c r="X296" i="3"/>
  <c r="X320" i="3"/>
  <c r="X344" i="3"/>
  <c r="X368" i="3"/>
  <c r="X392" i="3"/>
  <c r="X416" i="3"/>
  <c r="X440" i="3"/>
  <c r="X464" i="3"/>
  <c r="Z272" i="3"/>
  <c r="Z296" i="3"/>
  <c r="Z320" i="3"/>
  <c r="Z344" i="3"/>
  <c r="Z368" i="3"/>
  <c r="Z392" i="3"/>
  <c r="Z416" i="3"/>
  <c r="Z440" i="3"/>
  <c r="Z464" i="3"/>
  <c r="B273" i="3"/>
  <c r="C273" i="3"/>
  <c r="C297" i="3"/>
  <c r="E273" i="3"/>
  <c r="E297" i="3"/>
  <c r="E321" i="3"/>
  <c r="E345" i="3"/>
  <c r="E369" i="3"/>
  <c r="E393" i="3"/>
  <c r="E417" i="3"/>
  <c r="E442" i="3"/>
  <c r="E466" i="3"/>
  <c r="G273" i="3"/>
  <c r="H273" i="3"/>
  <c r="W273" i="3"/>
  <c r="W297" i="3"/>
  <c r="W321" i="3"/>
  <c r="Y273" i="3"/>
  <c r="Y297" i="3"/>
  <c r="Y321" i="3"/>
  <c r="Y345" i="3"/>
  <c r="Y369" i="3"/>
  <c r="Y393" i="3"/>
  <c r="Y417" i="3"/>
  <c r="Y441" i="3"/>
  <c r="Y465" i="3"/>
  <c r="F274" i="3"/>
  <c r="V274" i="3"/>
  <c r="V298" i="3"/>
  <c r="V322" i="3"/>
  <c r="Z274" i="3"/>
  <c r="B275" i="3"/>
  <c r="E275" i="3"/>
  <c r="E299" i="3"/>
  <c r="U275" i="3"/>
  <c r="Y275" i="3"/>
  <c r="Y299" i="3"/>
  <c r="Y323" i="3"/>
  <c r="Y347" i="3"/>
  <c r="Y371" i="3"/>
  <c r="Y395" i="3"/>
  <c r="B276" i="3"/>
  <c r="D276" i="3"/>
  <c r="E276" i="3"/>
  <c r="E300" i="3"/>
  <c r="H276" i="3"/>
  <c r="H300" i="3"/>
  <c r="H324" i="3"/>
  <c r="H348" i="3"/>
  <c r="H372" i="3"/>
  <c r="H396" i="3"/>
  <c r="H420" i="3"/>
  <c r="H446" i="3"/>
  <c r="H470" i="3"/>
  <c r="X276" i="3"/>
  <c r="Y276" i="3"/>
  <c r="Y300" i="3"/>
  <c r="Y324" i="3"/>
  <c r="Y348" i="3"/>
  <c r="B277" i="3"/>
  <c r="C277" i="3"/>
  <c r="U277" i="3"/>
  <c r="U301" i="3"/>
  <c r="U325" i="3"/>
  <c r="U349" i="3"/>
  <c r="U373" i="3"/>
  <c r="U397" i="3"/>
  <c r="U422" i="3"/>
  <c r="U446" i="3"/>
  <c r="U470" i="3"/>
  <c r="W277" i="3"/>
  <c r="Y277" i="3"/>
  <c r="Y301" i="3"/>
  <c r="D278" i="3"/>
  <c r="D302" i="3"/>
  <c r="D326" i="3"/>
  <c r="D350" i="3"/>
  <c r="F278" i="3"/>
  <c r="F302" i="3"/>
  <c r="F326" i="3"/>
  <c r="V278" i="3"/>
  <c r="V302" i="3"/>
  <c r="V326" i="3"/>
  <c r="X278" i="3"/>
  <c r="X302" i="3"/>
  <c r="X326" i="3"/>
  <c r="X350" i="3"/>
  <c r="Z278" i="3"/>
  <c r="Z302" i="3"/>
  <c r="Z326" i="3"/>
  <c r="Z350" i="3"/>
  <c r="Z374" i="3"/>
  <c r="Z398" i="3"/>
  <c r="Z423" i="3"/>
  <c r="Z447" i="3"/>
  <c r="B279" i="3"/>
  <c r="C279" i="3"/>
  <c r="C303" i="3"/>
  <c r="C327" i="3"/>
  <c r="E279" i="3"/>
  <c r="G279" i="3"/>
  <c r="G303" i="3"/>
  <c r="G327" i="3"/>
  <c r="G351" i="3"/>
  <c r="G375" i="3"/>
  <c r="G399" i="3"/>
  <c r="G423" i="3"/>
  <c r="G449" i="3"/>
  <c r="G473" i="3"/>
  <c r="W279" i="3"/>
  <c r="W303" i="3"/>
  <c r="W327" i="3"/>
  <c r="W351" i="3"/>
  <c r="Y279" i="3"/>
  <c r="B280" i="3"/>
  <c r="B352" i="3"/>
  <c r="B376" i="3"/>
  <c r="B400" i="3"/>
  <c r="B424" i="3"/>
  <c r="B450" i="3"/>
  <c r="B474" i="3"/>
  <c r="B498" i="3"/>
  <c r="B522" i="3"/>
  <c r="B546" i="3"/>
  <c r="B570" i="3"/>
  <c r="B594" i="3"/>
  <c r="F280" i="3"/>
  <c r="F304" i="3"/>
  <c r="F328" i="3"/>
  <c r="F352" i="3"/>
  <c r="F376" i="3"/>
  <c r="F400" i="3"/>
  <c r="F424" i="3"/>
  <c r="F450" i="3"/>
  <c r="F474" i="3"/>
  <c r="H280" i="3"/>
  <c r="V280" i="3"/>
  <c r="V304" i="3"/>
  <c r="V328" i="3"/>
  <c r="V352" i="3"/>
  <c r="V376" i="3"/>
  <c r="V400" i="3"/>
  <c r="Z280" i="3"/>
  <c r="B281" i="3"/>
  <c r="C281" i="3"/>
  <c r="G281" i="3"/>
  <c r="G305" i="3"/>
  <c r="U281" i="3"/>
  <c r="U305" i="3"/>
  <c r="U329" i="3"/>
  <c r="U353" i="3"/>
  <c r="W281" i="3"/>
  <c r="W305" i="3"/>
  <c r="W329" i="3"/>
  <c r="W353" i="3"/>
  <c r="W377" i="3"/>
  <c r="W401" i="3"/>
  <c r="W427" i="3"/>
  <c r="W451" i="3"/>
  <c r="W475" i="3"/>
  <c r="D282" i="3"/>
  <c r="D306" i="3"/>
  <c r="F282" i="3"/>
  <c r="F306" i="3"/>
  <c r="F330" i="3"/>
  <c r="X282" i="3"/>
  <c r="Z282" i="3"/>
  <c r="Z306" i="3"/>
  <c r="Z330" i="3"/>
  <c r="Z354" i="3"/>
  <c r="Z378" i="3"/>
  <c r="Z402" i="3"/>
  <c r="V283" i="3"/>
  <c r="V307" i="3"/>
  <c r="V331" i="3"/>
  <c r="Z283" i="3"/>
  <c r="Z307" i="3"/>
  <c r="Z331" i="3"/>
  <c r="Z355" i="3"/>
  <c r="V284" i="3"/>
  <c r="V308" i="3"/>
  <c r="V332" i="3"/>
  <c r="V285" i="3"/>
  <c r="V309" i="3"/>
  <c r="V333" i="3"/>
  <c r="V357" i="3"/>
  <c r="V381" i="3"/>
  <c r="X285" i="3"/>
  <c r="X309" i="3"/>
  <c r="Z285" i="3"/>
  <c r="Z309" i="3"/>
  <c r="Z333" i="3"/>
  <c r="Z357" i="3"/>
  <c r="U286" i="3"/>
  <c r="V286" i="3"/>
  <c r="W286" i="3"/>
  <c r="X286" i="3"/>
  <c r="Y286" i="3"/>
  <c r="Z286" i="3"/>
  <c r="C289" i="3"/>
  <c r="D289" i="3"/>
  <c r="E289" i="3"/>
  <c r="F289" i="3"/>
  <c r="G289" i="3"/>
  <c r="H289" i="3"/>
  <c r="U289" i="3"/>
  <c r="V289" i="3"/>
  <c r="W289" i="3"/>
  <c r="X289" i="3"/>
  <c r="Y289" i="3"/>
  <c r="Z289" i="3"/>
  <c r="B290" i="3"/>
  <c r="C290" i="3"/>
  <c r="D290" i="3"/>
  <c r="E290" i="3"/>
  <c r="F290" i="3"/>
  <c r="G290" i="3"/>
  <c r="H290" i="3"/>
  <c r="U290" i="3"/>
  <c r="U314" i="3"/>
  <c r="U338" i="3"/>
  <c r="U362" i="3"/>
  <c r="U386" i="3"/>
  <c r="U410" i="3"/>
  <c r="U434" i="3"/>
  <c r="U458" i="3"/>
  <c r="W290" i="3"/>
  <c r="Y290" i="3"/>
  <c r="Y314" i="3"/>
  <c r="Y338" i="3"/>
  <c r="Y362" i="3"/>
  <c r="Y386" i="3"/>
  <c r="B291" i="3"/>
  <c r="D291" i="3"/>
  <c r="D315" i="3"/>
  <c r="D339" i="3"/>
  <c r="F291" i="3"/>
  <c r="X291" i="3"/>
  <c r="X315" i="3"/>
  <c r="Z291" i="3"/>
  <c r="C292" i="3"/>
  <c r="C316" i="3"/>
  <c r="C340" i="3"/>
  <c r="C364" i="3"/>
  <c r="C388" i="3"/>
  <c r="C412" i="3"/>
  <c r="C436" i="3"/>
  <c r="C460" i="3"/>
  <c r="G292" i="3"/>
  <c r="G316" i="3"/>
  <c r="G340" i="3"/>
  <c r="W292" i="3"/>
  <c r="Y292" i="3"/>
  <c r="D293" i="3"/>
  <c r="D317" i="3"/>
  <c r="D341" i="3"/>
  <c r="D365" i="3"/>
  <c r="D389" i="3"/>
  <c r="D413" i="3"/>
  <c r="D437" i="3"/>
  <c r="D461" i="3"/>
  <c r="F293" i="3"/>
  <c r="F317" i="3"/>
  <c r="H293" i="3"/>
  <c r="H317" i="3"/>
  <c r="H341" i="3"/>
  <c r="W293" i="3"/>
  <c r="W317" i="3"/>
  <c r="W341" i="3"/>
  <c r="Z293" i="3"/>
  <c r="Z317" i="3"/>
  <c r="Z341" i="3"/>
  <c r="Z365" i="3"/>
  <c r="Z389" i="3"/>
  <c r="B294" i="3"/>
  <c r="F294" i="3"/>
  <c r="F318" i="3"/>
  <c r="F342" i="3"/>
  <c r="F366" i="3"/>
  <c r="F390" i="3"/>
  <c r="F414" i="3"/>
  <c r="F438" i="3"/>
  <c r="V294" i="3"/>
  <c r="V318" i="3"/>
  <c r="V342" i="3"/>
  <c r="V366" i="3"/>
  <c r="Z294" i="3"/>
  <c r="Z318" i="3"/>
  <c r="Z342" i="3"/>
  <c r="Z366" i="3"/>
  <c r="Z390" i="3"/>
  <c r="Z414" i="3"/>
  <c r="Z438" i="3"/>
  <c r="Z462" i="3"/>
  <c r="B295" i="3"/>
  <c r="E295" i="3"/>
  <c r="E319" i="3"/>
  <c r="E343" i="3"/>
  <c r="E367" i="3"/>
  <c r="E391" i="3"/>
  <c r="E415" i="3"/>
  <c r="E439" i="3"/>
  <c r="Y295" i="3"/>
  <c r="Y319" i="3"/>
  <c r="Y343" i="3"/>
  <c r="Y367" i="3"/>
  <c r="Y391" i="3"/>
  <c r="Y415" i="3"/>
  <c r="Y439" i="3"/>
  <c r="Y463" i="3"/>
  <c r="B296" i="3"/>
  <c r="H296" i="3"/>
  <c r="H320" i="3"/>
  <c r="H344" i="3"/>
  <c r="H368" i="3"/>
  <c r="H392" i="3"/>
  <c r="G297" i="3"/>
  <c r="H297" i="3"/>
  <c r="H321" i="3"/>
  <c r="H345" i="3"/>
  <c r="B298" i="3"/>
  <c r="C298" i="3"/>
  <c r="F298" i="3"/>
  <c r="W298" i="3"/>
  <c r="W322" i="3"/>
  <c r="W346" i="3"/>
  <c r="W370" i="3"/>
  <c r="Z298" i="3"/>
  <c r="Z322" i="3"/>
  <c r="B299" i="3"/>
  <c r="F299" i="3"/>
  <c r="F323" i="3"/>
  <c r="U299" i="3"/>
  <c r="Z299" i="3"/>
  <c r="Z323" i="3"/>
  <c r="Z347" i="3"/>
  <c r="Z371" i="3"/>
  <c r="Z395" i="3"/>
  <c r="B300" i="3"/>
  <c r="D300" i="3"/>
  <c r="D324" i="3"/>
  <c r="X300" i="3"/>
  <c r="X324" i="3"/>
  <c r="X348" i="3"/>
  <c r="C301" i="3"/>
  <c r="D301" i="3"/>
  <c r="H301" i="3"/>
  <c r="H325" i="3"/>
  <c r="W301" i="3"/>
  <c r="W325" i="3"/>
  <c r="W349" i="3"/>
  <c r="X301" i="3"/>
  <c r="X325" i="3"/>
  <c r="B302" i="3"/>
  <c r="C302" i="3"/>
  <c r="C326" i="3"/>
  <c r="C350" i="3"/>
  <c r="C374" i="3"/>
  <c r="G302" i="3"/>
  <c r="W302" i="3"/>
  <c r="B303" i="3"/>
  <c r="E303" i="3"/>
  <c r="F303" i="3"/>
  <c r="F327" i="3"/>
  <c r="F351" i="3"/>
  <c r="V303" i="3"/>
  <c r="V327" i="3"/>
  <c r="V351" i="3"/>
  <c r="V375" i="3"/>
  <c r="V399" i="3"/>
  <c r="Y303" i="3"/>
  <c r="Z303" i="3"/>
  <c r="Z327" i="3"/>
  <c r="Z351" i="3"/>
  <c r="B304" i="3"/>
  <c r="E304" i="3"/>
  <c r="E328" i="3"/>
  <c r="H304" i="3"/>
  <c r="U304" i="3"/>
  <c r="U328" i="3"/>
  <c r="X304" i="3"/>
  <c r="X328" i="3"/>
  <c r="X352" i="3"/>
  <c r="X376" i="3"/>
  <c r="X400" i="3"/>
  <c r="Y304" i="3"/>
  <c r="Y328" i="3"/>
  <c r="Z304" i="3"/>
  <c r="Z328" i="3"/>
  <c r="Z352" i="3"/>
  <c r="Z376" i="3"/>
  <c r="Z400" i="3"/>
  <c r="B305" i="3"/>
  <c r="C305" i="3"/>
  <c r="C329" i="3"/>
  <c r="D305" i="3"/>
  <c r="D329" i="3"/>
  <c r="E305" i="3"/>
  <c r="E329" i="3"/>
  <c r="E353" i="3"/>
  <c r="E377" i="3"/>
  <c r="E401" i="3"/>
  <c r="E425" i="3"/>
  <c r="E451" i="3"/>
  <c r="E475" i="3"/>
  <c r="H305" i="3"/>
  <c r="H329" i="3"/>
  <c r="X305" i="3"/>
  <c r="X329" i="3"/>
  <c r="X353" i="3"/>
  <c r="X377" i="3"/>
  <c r="B306" i="3"/>
  <c r="X306" i="3"/>
  <c r="X330" i="3"/>
  <c r="X354" i="3"/>
  <c r="X378" i="3"/>
  <c r="X402" i="3"/>
  <c r="Z308" i="3"/>
  <c r="W309" i="3"/>
  <c r="W333" i="3"/>
  <c r="W357" i="3"/>
  <c r="W381" i="3"/>
  <c r="W405" i="3"/>
  <c r="U310" i="3"/>
  <c r="V310" i="3"/>
  <c r="W310" i="3"/>
  <c r="X310" i="3"/>
  <c r="Y310" i="3"/>
  <c r="Z310" i="3"/>
  <c r="C313" i="3"/>
  <c r="D313" i="3"/>
  <c r="E313" i="3"/>
  <c r="F313" i="3"/>
  <c r="G313" i="3"/>
  <c r="H313" i="3"/>
  <c r="U313" i="3"/>
  <c r="V313" i="3"/>
  <c r="W313" i="3"/>
  <c r="X313" i="3"/>
  <c r="Y313" i="3"/>
  <c r="Z313" i="3"/>
  <c r="C314" i="3"/>
  <c r="D314" i="3"/>
  <c r="E314" i="3"/>
  <c r="F314" i="3"/>
  <c r="G314" i="3"/>
  <c r="H314" i="3"/>
  <c r="W314" i="3"/>
  <c r="Z314" i="3"/>
  <c r="Z338" i="3"/>
  <c r="F315" i="3"/>
  <c r="F339" i="3"/>
  <c r="F363" i="3"/>
  <c r="F387" i="3"/>
  <c r="V315" i="3"/>
  <c r="V339" i="3"/>
  <c r="V363" i="3"/>
  <c r="Z315" i="3"/>
  <c r="B316" i="3"/>
  <c r="E316" i="3"/>
  <c r="E340" i="3"/>
  <c r="E364" i="3"/>
  <c r="F316" i="3"/>
  <c r="W316" i="3"/>
  <c r="W340" i="3"/>
  <c r="W364" i="3"/>
  <c r="W388" i="3"/>
  <c r="W412" i="3"/>
  <c r="W436" i="3"/>
  <c r="W460" i="3"/>
  <c r="Y316" i="3"/>
  <c r="Y340" i="3"/>
  <c r="Y364" i="3"/>
  <c r="V317" i="3"/>
  <c r="Y317" i="3"/>
  <c r="Y341" i="3"/>
  <c r="Y365" i="3"/>
  <c r="Y389" i="3"/>
  <c r="Y413" i="3"/>
  <c r="Y437" i="3"/>
  <c r="Y461" i="3"/>
  <c r="B318" i="3"/>
  <c r="D318" i="3"/>
  <c r="D342" i="3"/>
  <c r="D366" i="3"/>
  <c r="D390" i="3"/>
  <c r="D414" i="3"/>
  <c r="D438" i="3"/>
  <c r="D462" i="3"/>
  <c r="B319" i="3"/>
  <c r="G319" i="3"/>
  <c r="U319" i="3"/>
  <c r="U343" i="3"/>
  <c r="U367" i="3"/>
  <c r="U391" i="3"/>
  <c r="U415" i="3"/>
  <c r="U439" i="3"/>
  <c r="U463" i="3"/>
  <c r="B320" i="3"/>
  <c r="V320" i="3"/>
  <c r="C321" i="3"/>
  <c r="C345" i="3"/>
  <c r="G321" i="3"/>
  <c r="G345" i="3"/>
  <c r="G369" i="3"/>
  <c r="G393" i="3"/>
  <c r="G417" i="3"/>
  <c r="G442" i="3"/>
  <c r="G466" i="3"/>
  <c r="J321" i="3"/>
  <c r="K321" i="3"/>
  <c r="L321" i="3"/>
  <c r="L345" i="3"/>
  <c r="L369" i="3"/>
  <c r="L393" i="3"/>
  <c r="L417" i="3"/>
  <c r="D441" i="3"/>
  <c r="D465" i="3"/>
  <c r="M321" i="3"/>
  <c r="N321" i="3"/>
  <c r="N345" i="3"/>
  <c r="O321" i="3"/>
  <c r="P321" i="3"/>
  <c r="P345" i="3"/>
  <c r="P369" i="3"/>
  <c r="P393" i="3"/>
  <c r="P417" i="3"/>
  <c r="H441" i="3"/>
  <c r="H465" i="3"/>
  <c r="B322" i="3"/>
  <c r="C322" i="3"/>
  <c r="C346" i="3"/>
  <c r="C370" i="3"/>
  <c r="C394" i="3"/>
  <c r="C418" i="3"/>
  <c r="C444" i="3"/>
  <c r="C468" i="3"/>
  <c r="F322" i="3"/>
  <c r="J322" i="3"/>
  <c r="K322" i="3"/>
  <c r="L322" i="3"/>
  <c r="L346" i="3"/>
  <c r="M322" i="3"/>
  <c r="M346" i="3"/>
  <c r="M370" i="3"/>
  <c r="N322" i="3"/>
  <c r="N346" i="3"/>
  <c r="O322" i="3"/>
  <c r="P322" i="3"/>
  <c r="P346" i="3"/>
  <c r="B323" i="3"/>
  <c r="E323" i="3"/>
  <c r="U323" i="3"/>
  <c r="U347" i="3"/>
  <c r="B324" i="3"/>
  <c r="E324" i="3"/>
  <c r="C325" i="3"/>
  <c r="C349" i="3"/>
  <c r="C373" i="3"/>
  <c r="C397" i="3"/>
  <c r="C421" i="3"/>
  <c r="C447" i="3"/>
  <c r="C471" i="3"/>
  <c r="D325" i="3"/>
  <c r="Y325" i="3"/>
  <c r="Y349" i="3"/>
  <c r="Y373" i="3"/>
  <c r="B326" i="3"/>
  <c r="G326" i="3"/>
  <c r="W326" i="3"/>
  <c r="B327" i="3"/>
  <c r="E327" i="3"/>
  <c r="Y327" i="3"/>
  <c r="Y351" i="3"/>
  <c r="Y375" i="3"/>
  <c r="B328" i="3"/>
  <c r="C328" i="3"/>
  <c r="C352" i="3"/>
  <c r="C376" i="3"/>
  <c r="C400" i="3"/>
  <c r="C424" i="3"/>
  <c r="C450" i="3"/>
  <c r="C474" i="3"/>
  <c r="C498" i="3"/>
  <c r="C522" i="3"/>
  <c r="C546" i="3"/>
  <c r="C570" i="3"/>
  <c r="C594" i="3"/>
  <c r="H328" i="3"/>
  <c r="G329" i="3"/>
  <c r="G353" i="3"/>
  <c r="G377" i="3"/>
  <c r="G401" i="3"/>
  <c r="G425" i="3"/>
  <c r="G451" i="3"/>
  <c r="G475" i="3"/>
  <c r="B330" i="3"/>
  <c r="D330" i="3"/>
  <c r="D354" i="3"/>
  <c r="D378" i="3"/>
  <c r="D402" i="3"/>
  <c r="D426" i="3"/>
  <c r="D452" i="3"/>
  <c r="D476" i="3"/>
  <c r="U330" i="3"/>
  <c r="V330" i="3"/>
  <c r="W331" i="3"/>
  <c r="W355" i="3"/>
  <c r="W379" i="3"/>
  <c r="W403" i="3"/>
  <c r="Z332" i="3"/>
  <c r="Z356" i="3"/>
  <c r="Z380" i="3"/>
  <c r="Z404" i="3"/>
  <c r="X333" i="3"/>
  <c r="U334" i="3"/>
  <c r="V334" i="3"/>
  <c r="W334" i="3"/>
  <c r="X334" i="3"/>
  <c r="Y334" i="3"/>
  <c r="Z334" i="3"/>
  <c r="C337" i="3"/>
  <c r="D337" i="3"/>
  <c r="E337" i="3"/>
  <c r="F337" i="3"/>
  <c r="G337" i="3"/>
  <c r="H337" i="3"/>
  <c r="U337" i="3"/>
  <c r="V337" i="3"/>
  <c r="W337" i="3"/>
  <c r="X337" i="3"/>
  <c r="Y337" i="3"/>
  <c r="Z337" i="3"/>
  <c r="C338" i="3"/>
  <c r="D338" i="3"/>
  <c r="E338" i="3"/>
  <c r="F338" i="3"/>
  <c r="G338" i="3"/>
  <c r="H338" i="3"/>
  <c r="W338" i="3"/>
  <c r="W362" i="3"/>
  <c r="W386" i="3"/>
  <c r="W410" i="3"/>
  <c r="W434" i="3"/>
  <c r="W458" i="3"/>
  <c r="X339" i="3"/>
  <c r="X363" i="3"/>
  <c r="X387" i="3"/>
  <c r="X411" i="3"/>
  <c r="Z339" i="3"/>
  <c r="Z363" i="3"/>
  <c r="F340" i="3"/>
  <c r="F364" i="3"/>
  <c r="F388" i="3"/>
  <c r="F412" i="3"/>
  <c r="F436" i="3"/>
  <c r="F460" i="3"/>
  <c r="B341" i="3"/>
  <c r="B365" i="3"/>
  <c r="F341" i="3"/>
  <c r="F365" i="3"/>
  <c r="F389" i="3"/>
  <c r="U341" i="3"/>
  <c r="U365" i="3"/>
  <c r="U389" i="3"/>
  <c r="V341" i="3"/>
  <c r="V365" i="3"/>
  <c r="V389" i="3"/>
  <c r="V413" i="3"/>
  <c r="V437" i="3"/>
  <c r="V461" i="3"/>
  <c r="X342" i="3"/>
  <c r="X366" i="3"/>
  <c r="X390" i="3"/>
  <c r="B343" i="3"/>
  <c r="B367" i="3"/>
  <c r="B391" i="3"/>
  <c r="G343" i="3"/>
  <c r="B344" i="3"/>
  <c r="V344" i="3"/>
  <c r="B345" i="3"/>
  <c r="B369" i="3"/>
  <c r="J345" i="3"/>
  <c r="K345" i="3"/>
  <c r="M345" i="3"/>
  <c r="M369" i="3"/>
  <c r="M393" i="3"/>
  <c r="M417" i="3"/>
  <c r="E441" i="3"/>
  <c r="E465" i="3"/>
  <c r="O345" i="3"/>
  <c r="O369" i="3"/>
  <c r="U345" i="3"/>
  <c r="U369" i="3"/>
  <c r="U393" i="3"/>
  <c r="W345" i="3"/>
  <c r="W369" i="3"/>
  <c r="W393" i="3"/>
  <c r="F346" i="3"/>
  <c r="F370" i="3"/>
  <c r="F394" i="3"/>
  <c r="F418" i="3"/>
  <c r="F444" i="3"/>
  <c r="F468" i="3"/>
  <c r="J346" i="3"/>
  <c r="K346" i="3"/>
  <c r="O346" i="3"/>
  <c r="V346" i="3"/>
  <c r="V370" i="3"/>
  <c r="V394" i="3"/>
  <c r="V419" i="3"/>
  <c r="V443" i="3"/>
  <c r="V467" i="3"/>
  <c r="Z346" i="3"/>
  <c r="Z370" i="3"/>
  <c r="Z394" i="3"/>
  <c r="B347" i="3"/>
  <c r="E347" i="3"/>
  <c r="F347" i="3"/>
  <c r="F371" i="3"/>
  <c r="F395" i="3"/>
  <c r="B348" i="3"/>
  <c r="B372" i="3"/>
  <c r="B396" i="3"/>
  <c r="D348" i="3"/>
  <c r="D372" i="3"/>
  <c r="D396" i="3"/>
  <c r="D420" i="3"/>
  <c r="D446" i="3"/>
  <c r="D470" i="3"/>
  <c r="E348" i="3"/>
  <c r="F348" i="3"/>
  <c r="F372" i="3"/>
  <c r="F396" i="3"/>
  <c r="U348" i="3"/>
  <c r="U372" i="3"/>
  <c r="U396" i="3"/>
  <c r="U420" i="3"/>
  <c r="U444" i="3"/>
  <c r="U468" i="3"/>
  <c r="B349" i="3"/>
  <c r="B373" i="3"/>
  <c r="B397" i="3"/>
  <c r="D349" i="3"/>
  <c r="G349" i="3"/>
  <c r="H349" i="3"/>
  <c r="H373" i="3"/>
  <c r="X349" i="3"/>
  <c r="F350" i="3"/>
  <c r="F374" i="3"/>
  <c r="F398" i="3"/>
  <c r="F422" i="3"/>
  <c r="G350" i="3"/>
  <c r="G374" i="3"/>
  <c r="G398" i="3"/>
  <c r="V350" i="3"/>
  <c r="V374" i="3"/>
  <c r="V398" i="3"/>
  <c r="V423" i="3"/>
  <c r="V447" i="3"/>
  <c r="V471" i="3"/>
  <c r="W350" i="3"/>
  <c r="Y350" i="3"/>
  <c r="Y374" i="3"/>
  <c r="B351" i="3"/>
  <c r="C351" i="3"/>
  <c r="E351" i="3"/>
  <c r="E375" i="3"/>
  <c r="E399" i="3"/>
  <c r="E423" i="3"/>
  <c r="E449" i="3"/>
  <c r="E473" i="3"/>
  <c r="D352" i="3"/>
  <c r="E352" i="3"/>
  <c r="E376" i="3"/>
  <c r="E400" i="3"/>
  <c r="E424" i="3"/>
  <c r="E450" i="3"/>
  <c r="E474" i="3"/>
  <c r="E498" i="3"/>
  <c r="E522" i="3"/>
  <c r="E546" i="3"/>
  <c r="E570" i="3"/>
  <c r="E594" i="3"/>
  <c r="H352" i="3"/>
  <c r="H376" i="3"/>
  <c r="H400" i="3"/>
  <c r="H424" i="3"/>
  <c r="U352" i="3"/>
  <c r="W352" i="3"/>
  <c r="W376" i="3"/>
  <c r="W400" i="3"/>
  <c r="Y352" i="3"/>
  <c r="B353" i="3"/>
  <c r="C353" i="3"/>
  <c r="D353" i="3"/>
  <c r="F353" i="3"/>
  <c r="H353" i="3"/>
  <c r="Y353" i="3"/>
  <c r="Y377" i="3"/>
  <c r="Y401" i="3"/>
  <c r="Y427" i="3"/>
  <c r="E354" i="3"/>
  <c r="E378" i="3"/>
  <c r="E402" i="3"/>
  <c r="E426" i="3"/>
  <c r="E452" i="3"/>
  <c r="E476" i="3"/>
  <c r="F354" i="3"/>
  <c r="U354" i="3"/>
  <c r="U378" i="3"/>
  <c r="U402" i="3"/>
  <c r="V354" i="3"/>
  <c r="V378" i="3"/>
  <c r="V402" i="3"/>
  <c r="V355" i="3"/>
  <c r="X355" i="3"/>
  <c r="X379" i="3"/>
  <c r="X403" i="3"/>
  <c r="V356" i="3"/>
  <c r="Y356" i="3"/>
  <c r="Y380" i="3"/>
  <c r="X357" i="3"/>
  <c r="X381" i="3"/>
  <c r="X405" i="3"/>
  <c r="U358" i="3"/>
  <c r="V358" i="3"/>
  <c r="W358" i="3"/>
  <c r="X358" i="3"/>
  <c r="Y358" i="3"/>
  <c r="Z358" i="3"/>
  <c r="C361" i="3"/>
  <c r="D361" i="3"/>
  <c r="E361" i="3"/>
  <c r="F361" i="3"/>
  <c r="G361" i="3"/>
  <c r="H361" i="3"/>
  <c r="U361" i="3"/>
  <c r="V361" i="3"/>
  <c r="W361" i="3"/>
  <c r="X361" i="3"/>
  <c r="Y361" i="3"/>
  <c r="Z361" i="3"/>
  <c r="AD361" i="3"/>
  <c r="AE361" i="3"/>
  <c r="AF361" i="3"/>
  <c r="AG361" i="3"/>
  <c r="AH361" i="3"/>
  <c r="AI361" i="3"/>
  <c r="C362" i="3"/>
  <c r="D362" i="3"/>
  <c r="E362" i="3"/>
  <c r="F362" i="3"/>
  <c r="G362" i="3"/>
  <c r="H362" i="3"/>
  <c r="Z362" i="3"/>
  <c r="Z386" i="3"/>
  <c r="Z410" i="3"/>
  <c r="Z434" i="3"/>
  <c r="Z458" i="3"/>
  <c r="D363" i="3"/>
  <c r="D387" i="3"/>
  <c r="D411" i="3"/>
  <c r="H363" i="3"/>
  <c r="H387" i="3"/>
  <c r="H411" i="3"/>
  <c r="H435" i="3"/>
  <c r="H459" i="3"/>
  <c r="G364" i="3"/>
  <c r="G388" i="3"/>
  <c r="G412" i="3"/>
  <c r="G436" i="3"/>
  <c r="G460" i="3"/>
  <c r="AC364" i="3"/>
  <c r="H365" i="3"/>
  <c r="H389" i="3"/>
  <c r="H413" i="3"/>
  <c r="H437" i="3"/>
  <c r="W365" i="3"/>
  <c r="W389" i="3"/>
  <c r="W413" i="3"/>
  <c r="W437" i="3"/>
  <c r="C366" i="3"/>
  <c r="C390" i="3"/>
  <c r="C414" i="3"/>
  <c r="C438" i="3"/>
  <c r="AC366" i="3"/>
  <c r="C367" i="3"/>
  <c r="C391" i="3"/>
  <c r="C415" i="3"/>
  <c r="C439" i="3"/>
  <c r="C463" i="3"/>
  <c r="G367" i="3"/>
  <c r="G391" i="3"/>
  <c r="G415" i="3"/>
  <c r="AC367" i="3"/>
  <c r="B368" i="3"/>
  <c r="F368" i="3"/>
  <c r="F392" i="3"/>
  <c r="F416" i="3"/>
  <c r="F440" i="3"/>
  <c r="F464" i="3"/>
  <c r="V368" i="3"/>
  <c r="AC368" i="3"/>
  <c r="C369" i="3"/>
  <c r="C393" i="3"/>
  <c r="C417" i="3"/>
  <c r="C442" i="3"/>
  <c r="C466" i="3"/>
  <c r="H369" i="3"/>
  <c r="H393" i="3"/>
  <c r="H417" i="3"/>
  <c r="H442" i="3"/>
  <c r="H466" i="3"/>
  <c r="J369" i="3"/>
  <c r="K369" i="3"/>
  <c r="N369" i="3"/>
  <c r="N393" i="3"/>
  <c r="N417" i="3"/>
  <c r="F441" i="3"/>
  <c r="F465" i="3"/>
  <c r="X369" i="3"/>
  <c r="X393" i="3"/>
  <c r="X417" i="3"/>
  <c r="X441" i="3"/>
  <c r="X465" i="3"/>
  <c r="J370" i="3"/>
  <c r="K370" i="3"/>
  <c r="L370" i="3"/>
  <c r="N370" i="3"/>
  <c r="O370" i="3"/>
  <c r="O394" i="3"/>
  <c r="O418" i="3"/>
  <c r="G443" i="3"/>
  <c r="G467" i="3"/>
  <c r="P370" i="3"/>
  <c r="P394" i="3"/>
  <c r="P418" i="3"/>
  <c r="H443" i="3"/>
  <c r="H467" i="3"/>
  <c r="X370" i="3"/>
  <c r="X394" i="3"/>
  <c r="AC370" i="3"/>
  <c r="B371" i="3"/>
  <c r="B395" i="3"/>
  <c r="E371" i="3"/>
  <c r="E395" i="3"/>
  <c r="E419" i="3"/>
  <c r="E445" i="3"/>
  <c r="E469" i="3"/>
  <c r="U371" i="3"/>
  <c r="AC371" i="3"/>
  <c r="E372" i="3"/>
  <c r="E396" i="3"/>
  <c r="E420" i="3"/>
  <c r="E446" i="3"/>
  <c r="E470" i="3"/>
  <c r="X372" i="3"/>
  <c r="X396" i="3"/>
  <c r="X421" i="3"/>
  <c r="Y372" i="3"/>
  <c r="AC372" i="3"/>
  <c r="D373" i="3"/>
  <c r="D397" i="3"/>
  <c r="D421" i="3"/>
  <c r="G373" i="3"/>
  <c r="G397" i="3"/>
  <c r="G421" i="3"/>
  <c r="G447" i="3"/>
  <c r="V373" i="3"/>
  <c r="V397" i="3"/>
  <c r="V422" i="3"/>
  <c r="W373" i="3"/>
  <c r="W397" i="3"/>
  <c r="X373" i="3"/>
  <c r="X397" i="3"/>
  <c r="X422" i="3"/>
  <c r="X446" i="3"/>
  <c r="D374" i="3"/>
  <c r="D398" i="3"/>
  <c r="D422" i="3"/>
  <c r="D448" i="3"/>
  <c r="D472" i="3"/>
  <c r="H374" i="3"/>
  <c r="H398" i="3"/>
  <c r="H422" i="3"/>
  <c r="H448" i="3"/>
  <c r="H472" i="3"/>
  <c r="W374" i="3"/>
  <c r="W398" i="3"/>
  <c r="W423" i="3"/>
  <c r="W447" i="3"/>
  <c r="X374" i="3"/>
  <c r="X398" i="3"/>
  <c r="X423" i="3"/>
  <c r="AC374" i="3"/>
  <c r="B375" i="3"/>
  <c r="B399" i="3"/>
  <c r="C375" i="3"/>
  <c r="C399" i="3"/>
  <c r="C423" i="3"/>
  <c r="C449" i="3"/>
  <c r="C473" i="3"/>
  <c r="F375" i="3"/>
  <c r="F399" i="3"/>
  <c r="U375" i="3"/>
  <c r="U399" i="3"/>
  <c r="W375" i="3"/>
  <c r="W399" i="3"/>
  <c r="Z375" i="3"/>
  <c r="Z399" i="3"/>
  <c r="AC375" i="3"/>
  <c r="D376" i="3"/>
  <c r="U376" i="3"/>
  <c r="U400" i="3"/>
  <c r="Y376" i="3"/>
  <c r="Y400" i="3"/>
  <c r="B377" i="3"/>
  <c r="B401" i="3"/>
  <c r="B425" i="3"/>
  <c r="C377" i="3"/>
  <c r="C401" i="3"/>
  <c r="C425" i="3"/>
  <c r="C451" i="3"/>
  <c r="C475" i="3"/>
  <c r="D377" i="3"/>
  <c r="F377" i="3"/>
  <c r="F401" i="3"/>
  <c r="F425" i="3"/>
  <c r="F451" i="3"/>
  <c r="F475" i="3"/>
  <c r="H377" i="3"/>
  <c r="H401" i="3"/>
  <c r="H425" i="3"/>
  <c r="H451" i="3"/>
  <c r="H475" i="3"/>
  <c r="U377" i="3"/>
  <c r="U401" i="3"/>
  <c r="U427" i="3"/>
  <c r="U451" i="3"/>
  <c r="U475" i="3"/>
  <c r="V377" i="3"/>
  <c r="V401" i="3"/>
  <c r="V427" i="3"/>
  <c r="Z377" i="3"/>
  <c r="Z401" i="3"/>
  <c r="Z427" i="3"/>
  <c r="Z451" i="3"/>
  <c r="Z475" i="3"/>
  <c r="F378" i="3"/>
  <c r="V379" i="3"/>
  <c r="V403" i="3"/>
  <c r="Z379" i="3"/>
  <c r="Z403" i="3"/>
  <c r="V380" i="3"/>
  <c r="V404" i="3"/>
  <c r="Z381" i="3"/>
  <c r="Z405" i="3"/>
  <c r="U382" i="3"/>
  <c r="V382" i="3"/>
  <c r="W382" i="3"/>
  <c r="X382" i="3"/>
  <c r="Y382" i="3"/>
  <c r="Z382" i="3"/>
  <c r="C385" i="3"/>
  <c r="D385" i="3"/>
  <c r="E385" i="3"/>
  <c r="F385" i="3"/>
  <c r="G385" i="3"/>
  <c r="H385" i="3"/>
  <c r="U385" i="3"/>
  <c r="V385" i="3"/>
  <c r="W385" i="3"/>
  <c r="X385" i="3"/>
  <c r="Y385" i="3"/>
  <c r="Z385" i="3"/>
  <c r="AD385" i="3"/>
  <c r="AE385" i="3"/>
  <c r="AF385" i="3"/>
  <c r="AG385" i="3"/>
  <c r="AH385" i="3"/>
  <c r="AI385" i="3"/>
  <c r="C386" i="3"/>
  <c r="D386" i="3"/>
  <c r="E386" i="3"/>
  <c r="F386" i="3"/>
  <c r="G386" i="3"/>
  <c r="H386" i="3"/>
  <c r="AC386" i="3"/>
  <c r="AD386" i="3"/>
  <c r="AE386" i="3"/>
  <c r="AF386" i="3"/>
  <c r="AG386" i="3"/>
  <c r="AH386" i="3"/>
  <c r="AI386" i="3"/>
  <c r="V387" i="3"/>
  <c r="W387" i="3"/>
  <c r="W411" i="3"/>
  <c r="W435" i="3"/>
  <c r="W459" i="3"/>
  <c r="Z387" i="3"/>
  <c r="Z411" i="3"/>
  <c r="Z435" i="3"/>
  <c r="Z459" i="3"/>
  <c r="AC387" i="3"/>
  <c r="AD387" i="3"/>
  <c r="AE387" i="3"/>
  <c r="AF387" i="3"/>
  <c r="AG387" i="3"/>
  <c r="AH387" i="3"/>
  <c r="AI387" i="3"/>
  <c r="E388" i="3"/>
  <c r="U388" i="3"/>
  <c r="U412" i="3"/>
  <c r="U436" i="3"/>
  <c r="U460" i="3"/>
  <c r="Y388" i="3"/>
  <c r="Y412" i="3"/>
  <c r="Y436" i="3"/>
  <c r="AD388" i="3"/>
  <c r="AE388" i="3"/>
  <c r="AF388" i="3"/>
  <c r="AG388" i="3"/>
  <c r="AH388" i="3"/>
  <c r="AI388" i="3"/>
  <c r="B389" i="3"/>
  <c r="C389" i="3"/>
  <c r="C413" i="3"/>
  <c r="C437" i="3"/>
  <c r="C461" i="3"/>
  <c r="AC389" i="3"/>
  <c r="AD389" i="3"/>
  <c r="AE389" i="3"/>
  <c r="AF389" i="3"/>
  <c r="AG389" i="3"/>
  <c r="AH389" i="3"/>
  <c r="AI389" i="3"/>
  <c r="V390" i="3"/>
  <c r="V414" i="3"/>
  <c r="V438" i="3"/>
  <c r="AC390" i="3"/>
  <c r="AD390" i="3"/>
  <c r="AE390" i="3"/>
  <c r="AF390" i="3"/>
  <c r="AG390" i="3"/>
  <c r="AH390" i="3"/>
  <c r="AI390" i="3"/>
  <c r="AC391" i="3"/>
  <c r="AD391" i="3"/>
  <c r="AE391" i="3"/>
  <c r="AF391" i="3"/>
  <c r="AG391" i="3"/>
  <c r="AH391" i="3"/>
  <c r="AI391" i="3"/>
  <c r="B392" i="3"/>
  <c r="B416" i="3"/>
  <c r="V392" i="3"/>
  <c r="V416" i="3"/>
  <c r="AD392" i="3"/>
  <c r="AE392" i="3"/>
  <c r="AF392" i="3"/>
  <c r="AG392" i="3"/>
  <c r="AH392" i="3"/>
  <c r="AI392" i="3"/>
  <c r="B393" i="3"/>
  <c r="J393" i="3"/>
  <c r="K393" i="3"/>
  <c r="O393" i="3"/>
  <c r="O417" i="3"/>
  <c r="Z393" i="3"/>
  <c r="Z417" i="3"/>
  <c r="Z441" i="3"/>
  <c r="Z465" i="3"/>
  <c r="AC393" i="3"/>
  <c r="AD393" i="3"/>
  <c r="AE393" i="3"/>
  <c r="AF393" i="3"/>
  <c r="AG393" i="3"/>
  <c r="AH393" i="3"/>
  <c r="AI393" i="3"/>
  <c r="J394" i="3"/>
  <c r="K394" i="3"/>
  <c r="L394" i="3"/>
  <c r="L418" i="3"/>
  <c r="D443" i="3"/>
  <c r="M394" i="3"/>
  <c r="N394" i="3"/>
  <c r="W394" i="3"/>
  <c r="AC394" i="3"/>
  <c r="AD394" i="3"/>
  <c r="AE394" i="3"/>
  <c r="AF394" i="3"/>
  <c r="AG394" i="3"/>
  <c r="AH394" i="3"/>
  <c r="AI394" i="3"/>
  <c r="C395" i="3"/>
  <c r="C419" i="3"/>
  <c r="C445" i="3"/>
  <c r="C469" i="3"/>
  <c r="U395" i="3"/>
  <c r="W395" i="3"/>
  <c r="AC395" i="3"/>
  <c r="AD395" i="3"/>
  <c r="AE395" i="3"/>
  <c r="AF395" i="3"/>
  <c r="AG395" i="3"/>
  <c r="AH395" i="3"/>
  <c r="AI395" i="3"/>
  <c r="Y396" i="3"/>
  <c r="AD396" i="3"/>
  <c r="AE396" i="3"/>
  <c r="AF396" i="3"/>
  <c r="AG396" i="3"/>
  <c r="AH396" i="3"/>
  <c r="AI396" i="3"/>
  <c r="H397" i="3"/>
  <c r="H421" i="3"/>
  <c r="H447" i="3"/>
  <c r="H471" i="3"/>
  <c r="Y397" i="3"/>
  <c r="Y422" i="3"/>
  <c r="Y446" i="3"/>
  <c r="Y470" i="3"/>
  <c r="AC397" i="3"/>
  <c r="AD397" i="3"/>
  <c r="AE397" i="3"/>
  <c r="AF397" i="3"/>
  <c r="AG397" i="3"/>
  <c r="AH397" i="3"/>
  <c r="AI397" i="3"/>
  <c r="C398" i="3"/>
  <c r="C422" i="3"/>
  <c r="C448" i="3"/>
  <c r="C472" i="3"/>
  <c r="Y398" i="3"/>
  <c r="AC398" i="3"/>
  <c r="AD398" i="3"/>
  <c r="AE398" i="3"/>
  <c r="AF398" i="3"/>
  <c r="AG398" i="3"/>
  <c r="AH398" i="3"/>
  <c r="AI398" i="3"/>
  <c r="H399" i="3"/>
  <c r="H423" i="3"/>
  <c r="H449" i="3"/>
  <c r="H473" i="3"/>
  <c r="Y399" i="3"/>
  <c r="AC399" i="3"/>
  <c r="AD399" i="3"/>
  <c r="AE399" i="3"/>
  <c r="AF399" i="3"/>
  <c r="AG399" i="3"/>
  <c r="AH399" i="3"/>
  <c r="AI399" i="3"/>
  <c r="D400" i="3"/>
  <c r="D424" i="3"/>
  <c r="D450" i="3"/>
  <c r="D474" i="3"/>
  <c r="D498" i="3"/>
  <c r="D522" i="3"/>
  <c r="D546" i="3"/>
  <c r="D570" i="3"/>
  <c r="D594" i="3"/>
  <c r="AC400" i="3"/>
  <c r="AD400" i="3"/>
  <c r="AE400" i="3"/>
  <c r="AF400" i="3"/>
  <c r="AG400" i="3"/>
  <c r="AH400" i="3"/>
  <c r="AI400" i="3"/>
  <c r="D401" i="3"/>
  <c r="X401" i="3"/>
  <c r="X427" i="3"/>
  <c r="X451" i="3"/>
  <c r="X475" i="3"/>
  <c r="F402" i="3"/>
  <c r="F426" i="3"/>
  <c r="F452" i="3"/>
  <c r="F476" i="3"/>
  <c r="Y404" i="3"/>
  <c r="V405" i="3"/>
  <c r="U406" i="3"/>
  <c r="V406" i="3"/>
  <c r="W406" i="3"/>
  <c r="X406" i="3"/>
  <c r="Y406" i="3"/>
  <c r="Z406" i="3"/>
  <c r="C409" i="3"/>
  <c r="D409" i="3"/>
  <c r="E409" i="3"/>
  <c r="F409" i="3"/>
  <c r="G409" i="3"/>
  <c r="H409" i="3"/>
  <c r="U409" i="3"/>
  <c r="V409" i="3"/>
  <c r="W409" i="3"/>
  <c r="X409" i="3"/>
  <c r="Y409" i="3"/>
  <c r="Z409" i="3"/>
  <c r="C410" i="3"/>
  <c r="D410" i="3"/>
  <c r="E410" i="3"/>
  <c r="F410" i="3"/>
  <c r="G410" i="3"/>
  <c r="H410" i="3"/>
  <c r="X410" i="3"/>
  <c r="X434" i="3"/>
  <c r="X458" i="3"/>
  <c r="Y410" i="3"/>
  <c r="Y434" i="3"/>
  <c r="Y458" i="3"/>
  <c r="A411" i="3"/>
  <c r="F411" i="3"/>
  <c r="F435" i="3"/>
  <c r="V411" i="3"/>
  <c r="V435" i="3"/>
  <c r="V459" i="3"/>
  <c r="A412" i="3"/>
  <c r="E412" i="3"/>
  <c r="H412" i="3"/>
  <c r="H436" i="3"/>
  <c r="H460" i="3"/>
  <c r="A413" i="3"/>
  <c r="B413" i="3"/>
  <c r="F413" i="3"/>
  <c r="U413" i="3"/>
  <c r="Z413" i="3"/>
  <c r="Z437" i="3"/>
  <c r="Z461" i="3"/>
  <c r="A414" i="3"/>
  <c r="X414" i="3"/>
  <c r="X438" i="3"/>
  <c r="X462" i="3"/>
  <c r="A415" i="3"/>
  <c r="B415" i="3"/>
  <c r="B439" i="3"/>
  <c r="A416" i="3"/>
  <c r="D416" i="3"/>
  <c r="D440" i="3"/>
  <c r="H416" i="3"/>
  <c r="H440" i="3"/>
  <c r="W416" i="3"/>
  <c r="W440" i="3"/>
  <c r="W464" i="3"/>
  <c r="A417" i="3"/>
  <c r="B417" i="3"/>
  <c r="J417" i="3"/>
  <c r="K417" i="3"/>
  <c r="U417" i="3"/>
  <c r="W417" i="3"/>
  <c r="W441" i="3"/>
  <c r="W465" i="3"/>
  <c r="A418" i="3"/>
  <c r="H418" i="3"/>
  <c r="H444" i="3"/>
  <c r="H468" i="3"/>
  <c r="J418" i="3"/>
  <c r="K418" i="3"/>
  <c r="M418" i="3"/>
  <c r="E443" i="3"/>
  <c r="N418" i="3"/>
  <c r="F443" i="3"/>
  <c r="F467" i="3"/>
  <c r="A419" i="3"/>
  <c r="B419" i="3"/>
  <c r="F419" i="3"/>
  <c r="Z419" i="3"/>
  <c r="Z443" i="3"/>
  <c r="Z467" i="3"/>
  <c r="A420" i="3"/>
  <c r="B420" i="3"/>
  <c r="F420" i="3"/>
  <c r="X420" i="3"/>
  <c r="X444" i="3"/>
  <c r="X468" i="3"/>
  <c r="Y420" i="3"/>
  <c r="A421" i="3"/>
  <c r="B421" i="3"/>
  <c r="B447" i="3"/>
  <c r="B471" i="3"/>
  <c r="B495" i="3"/>
  <c r="B519" i="3"/>
  <c r="B543" i="3"/>
  <c r="B567" i="3"/>
  <c r="B591" i="3"/>
  <c r="F421" i="3"/>
  <c r="Y421" i="3"/>
  <c r="Y445" i="3"/>
  <c r="Y469" i="3"/>
  <c r="Z421" i="3"/>
  <c r="Z445" i="3"/>
  <c r="A422" i="3"/>
  <c r="G422" i="3"/>
  <c r="W422" i="3"/>
  <c r="W446" i="3"/>
  <c r="W470" i="3"/>
  <c r="A423" i="3"/>
  <c r="B423" i="3"/>
  <c r="F423" i="3"/>
  <c r="U423" i="3"/>
  <c r="Y423" i="3"/>
  <c r="Y447" i="3"/>
  <c r="Y471" i="3"/>
  <c r="A424" i="3"/>
  <c r="A425" i="3"/>
  <c r="D425" i="3"/>
  <c r="A426" i="3"/>
  <c r="U430" i="3"/>
  <c r="U454" i="3"/>
  <c r="U478" i="3"/>
  <c r="V430" i="3"/>
  <c r="V454" i="3"/>
  <c r="V478" i="3"/>
  <c r="W430" i="3"/>
  <c r="X430" i="3"/>
  <c r="Y430" i="3"/>
  <c r="Y454" i="3"/>
  <c r="Y478" i="3"/>
  <c r="Z430" i="3"/>
  <c r="C433" i="3"/>
  <c r="D433" i="3"/>
  <c r="E433" i="3"/>
  <c r="E529" i="3"/>
  <c r="E553" i="3"/>
  <c r="E577" i="3"/>
  <c r="F433" i="3"/>
  <c r="G433" i="3"/>
  <c r="H433" i="3"/>
  <c r="S433" i="3"/>
  <c r="U433" i="3"/>
  <c r="V433" i="3"/>
  <c r="W433" i="3"/>
  <c r="X433" i="3"/>
  <c r="Y433" i="3"/>
  <c r="Z433" i="3"/>
  <c r="AD433" i="3"/>
  <c r="AE433" i="3"/>
  <c r="AF433" i="3"/>
  <c r="AG433" i="3"/>
  <c r="AH433" i="3"/>
  <c r="AI433" i="3"/>
  <c r="A434" i="3"/>
  <c r="C434" i="3"/>
  <c r="D434" i="3"/>
  <c r="D458" i="3"/>
  <c r="D482" i="3"/>
  <c r="D506" i="3"/>
  <c r="D530" i="3"/>
  <c r="D554" i="3"/>
  <c r="D578" i="3"/>
  <c r="E434" i="3"/>
  <c r="E458" i="3"/>
  <c r="E482" i="3"/>
  <c r="E506" i="3"/>
  <c r="E530" i="3"/>
  <c r="E554" i="3"/>
  <c r="E578" i="3"/>
  <c r="F434" i="3"/>
  <c r="G434" i="3"/>
  <c r="H434" i="3"/>
  <c r="H458" i="3"/>
  <c r="H482" i="3"/>
  <c r="H506" i="3"/>
  <c r="H530" i="3"/>
  <c r="H554" i="3"/>
  <c r="H578" i="3"/>
  <c r="AD434" i="3"/>
  <c r="AE434" i="3"/>
  <c r="AF434" i="3"/>
  <c r="AG434" i="3"/>
  <c r="AH434" i="3"/>
  <c r="AI434" i="3"/>
  <c r="A435" i="3"/>
  <c r="D435" i="3"/>
  <c r="D459" i="3"/>
  <c r="X435" i="3"/>
  <c r="X459" i="3"/>
  <c r="AD435" i="3"/>
  <c r="AE435" i="3"/>
  <c r="AF435" i="3"/>
  <c r="AG435" i="3"/>
  <c r="AH435" i="3"/>
  <c r="AI435" i="3"/>
  <c r="A436" i="3"/>
  <c r="E436" i="3"/>
  <c r="AC436" i="3"/>
  <c r="AD436" i="3"/>
  <c r="AE436" i="3"/>
  <c r="AF436" i="3"/>
  <c r="AG436" i="3"/>
  <c r="AH436" i="3"/>
  <c r="AI436" i="3"/>
  <c r="A437" i="3"/>
  <c r="B437" i="3"/>
  <c r="F437" i="3"/>
  <c r="F461" i="3"/>
  <c r="U437" i="3"/>
  <c r="AD437" i="3"/>
  <c r="AE437" i="3"/>
  <c r="AF437" i="3"/>
  <c r="AG437" i="3"/>
  <c r="AH437" i="3"/>
  <c r="AI437" i="3"/>
  <c r="A438" i="3"/>
  <c r="AC438" i="3"/>
  <c r="AD438" i="3"/>
  <c r="AE438" i="3"/>
  <c r="AF438" i="3"/>
  <c r="AG438" i="3"/>
  <c r="AH438" i="3"/>
  <c r="AI438" i="3"/>
  <c r="A439" i="3"/>
  <c r="G439" i="3"/>
  <c r="G463" i="3"/>
  <c r="AC439" i="3"/>
  <c r="AD439" i="3"/>
  <c r="AE439" i="3"/>
  <c r="AF439" i="3"/>
  <c r="AG439" i="3"/>
  <c r="AH439" i="3"/>
  <c r="AI439" i="3"/>
  <c r="A440" i="3"/>
  <c r="B440" i="3"/>
  <c r="B464" i="3"/>
  <c r="B488" i="3"/>
  <c r="B512" i="3"/>
  <c r="B536" i="3"/>
  <c r="B560" i="3"/>
  <c r="B584" i="3"/>
  <c r="V440" i="3"/>
  <c r="V464" i="3"/>
  <c r="AC440" i="3"/>
  <c r="AD440" i="3"/>
  <c r="AE440" i="3"/>
  <c r="AF440" i="3"/>
  <c r="AG440" i="3"/>
  <c r="AH440" i="3"/>
  <c r="AI440" i="3"/>
  <c r="A441" i="3"/>
  <c r="C441" i="3"/>
  <c r="G441" i="3"/>
  <c r="U441" i="3"/>
  <c r="U465" i="3"/>
  <c r="AD441" i="3"/>
  <c r="AE441" i="3"/>
  <c r="AF441" i="3"/>
  <c r="AG441" i="3"/>
  <c r="AH441" i="3"/>
  <c r="AI441" i="3"/>
  <c r="A442" i="3"/>
  <c r="AA442" i="3"/>
  <c r="AA466" i="3"/>
  <c r="AC442" i="3"/>
  <c r="AD442" i="3"/>
  <c r="AE442" i="3"/>
  <c r="AF442" i="3"/>
  <c r="AG442" i="3"/>
  <c r="AH442" i="3"/>
  <c r="AI442" i="3"/>
  <c r="A443" i="3"/>
  <c r="C443" i="3"/>
  <c r="AC443" i="3"/>
  <c r="AD443" i="3"/>
  <c r="AE443" i="3"/>
  <c r="AF443" i="3"/>
  <c r="AG443" i="3"/>
  <c r="AH443" i="3"/>
  <c r="AI443" i="3"/>
  <c r="A444" i="3"/>
  <c r="Y444" i="3"/>
  <c r="AA444" i="3"/>
  <c r="AA468" i="3"/>
  <c r="AC444" i="3"/>
  <c r="AD444" i="3"/>
  <c r="AE444" i="3"/>
  <c r="AF444" i="3"/>
  <c r="AG444" i="3"/>
  <c r="AH444" i="3"/>
  <c r="AI444" i="3"/>
  <c r="A445" i="3"/>
  <c r="B445" i="3"/>
  <c r="F445" i="3"/>
  <c r="X445" i="3"/>
  <c r="X469" i="3"/>
  <c r="AD445" i="3"/>
  <c r="AE445" i="3"/>
  <c r="AF445" i="3"/>
  <c r="AG445" i="3"/>
  <c r="AH445" i="3"/>
  <c r="AI445" i="3"/>
  <c r="A446" i="3"/>
  <c r="B446" i="3"/>
  <c r="F446" i="3"/>
  <c r="F470" i="3"/>
  <c r="V446" i="3"/>
  <c r="Z446" i="3"/>
  <c r="Z470" i="3"/>
  <c r="AC446" i="3"/>
  <c r="AD446" i="3"/>
  <c r="AE446" i="3"/>
  <c r="AF446" i="3"/>
  <c r="AG446" i="3"/>
  <c r="AH446" i="3"/>
  <c r="AI446" i="3"/>
  <c r="A447" i="3"/>
  <c r="D447" i="3"/>
  <c r="D471" i="3"/>
  <c r="F447" i="3"/>
  <c r="F471" i="3"/>
  <c r="U447" i="3"/>
  <c r="U471" i="3"/>
  <c r="X447" i="3"/>
  <c r="X471" i="3"/>
  <c r="AC447" i="3"/>
  <c r="AD447" i="3"/>
  <c r="AE447" i="3"/>
  <c r="AF447" i="3"/>
  <c r="AG447" i="3"/>
  <c r="AH447" i="3"/>
  <c r="AI447" i="3"/>
  <c r="A448" i="3"/>
  <c r="F448" i="3"/>
  <c r="F472" i="3"/>
  <c r="G448" i="3"/>
  <c r="G472" i="3"/>
  <c r="U448" i="3"/>
  <c r="V448" i="3"/>
  <c r="W448" i="3"/>
  <c r="X448" i="3"/>
  <c r="Y448" i="3"/>
  <c r="Z448" i="3"/>
  <c r="AD448" i="3"/>
  <c r="AE448" i="3"/>
  <c r="AF448" i="3"/>
  <c r="AG448" i="3"/>
  <c r="AH448" i="3"/>
  <c r="AI448" i="3"/>
  <c r="A449" i="3"/>
  <c r="B449" i="3"/>
  <c r="F449" i="3"/>
  <c r="U449" i="3"/>
  <c r="V449" i="3"/>
  <c r="W449" i="3"/>
  <c r="X449" i="3"/>
  <c r="Y449" i="3"/>
  <c r="Z449" i="3"/>
  <c r="A450" i="3"/>
  <c r="H450" i="3"/>
  <c r="U450" i="3"/>
  <c r="V450" i="3"/>
  <c r="W450" i="3"/>
  <c r="X450" i="3"/>
  <c r="Y450" i="3"/>
  <c r="Z450" i="3"/>
  <c r="A451" i="3"/>
  <c r="B451" i="3"/>
  <c r="D451" i="3"/>
  <c r="V451" i="3"/>
  <c r="Y451" i="3"/>
  <c r="Y475" i="3"/>
  <c r="A452" i="3"/>
  <c r="U452" i="3"/>
  <c r="V452" i="3"/>
  <c r="W452" i="3"/>
  <c r="X452" i="3"/>
  <c r="Y452" i="3"/>
  <c r="Z452" i="3"/>
  <c r="U453" i="3"/>
  <c r="V453" i="3"/>
  <c r="W453" i="3"/>
  <c r="X453" i="3"/>
  <c r="Y453" i="3"/>
  <c r="Z453" i="3"/>
  <c r="W454" i="3"/>
  <c r="W478" i="3"/>
  <c r="X454" i="3"/>
  <c r="X478" i="3"/>
  <c r="Z454" i="3"/>
  <c r="Z478" i="3"/>
  <c r="C457" i="3"/>
  <c r="D457" i="3"/>
  <c r="E457" i="3"/>
  <c r="F457" i="3"/>
  <c r="G457" i="3"/>
  <c r="H457" i="3"/>
  <c r="S457" i="3"/>
  <c r="U457" i="3"/>
  <c r="V457" i="3"/>
  <c r="W457" i="3"/>
  <c r="X457" i="3"/>
  <c r="Y457" i="3"/>
  <c r="Z457" i="3"/>
  <c r="AD457" i="3"/>
  <c r="AE457" i="3"/>
  <c r="AF457" i="3"/>
  <c r="AG457" i="3"/>
  <c r="AH457" i="3"/>
  <c r="AI457" i="3"/>
  <c r="A458" i="3"/>
  <c r="C458" i="3"/>
  <c r="C482" i="3"/>
  <c r="C506" i="3"/>
  <c r="C530" i="3"/>
  <c r="C578" i="3"/>
  <c r="F458" i="3"/>
  <c r="G458" i="3"/>
  <c r="G482" i="3"/>
  <c r="G506" i="3"/>
  <c r="G530" i="3"/>
  <c r="G554" i="3"/>
  <c r="G578" i="3"/>
  <c r="AC458" i="3"/>
  <c r="AD458" i="3"/>
  <c r="AE458" i="3"/>
  <c r="AF458" i="3"/>
  <c r="AG458" i="3"/>
  <c r="AH458" i="3"/>
  <c r="AI458" i="3"/>
  <c r="A459" i="3"/>
  <c r="F459" i="3"/>
  <c r="U459" i="3"/>
  <c r="AC459" i="3"/>
  <c r="AD459" i="3"/>
  <c r="AE459" i="3"/>
  <c r="AF459" i="3"/>
  <c r="AG459" i="3"/>
  <c r="AH459" i="3"/>
  <c r="AI459" i="3"/>
  <c r="A460" i="3"/>
  <c r="E460" i="3"/>
  <c r="Y460" i="3"/>
  <c r="AD460" i="3"/>
  <c r="AE460" i="3"/>
  <c r="AF460" i="3"/>
  <c r="AG460" i="3"/>
  <c r="AH460" i="3"/>
  <c r="AI460" i="3"/>
  <c r="A461" i="3"/>
  <c r="B461" i="3"/>
  <c r="H461" i="3"/>
  <c r="U461" i="3"/>
  <c r="W461" i="3"/>
  <c r="AC461" i="3"/>
  <c r="AD461" i="3"/>
  <c r="AE461" i="3"/>
  <c r="AF461" i="3"/>
  <c r="AG461" i="3"/>
  <c r="AH461" i="3"/>
  <c r="AI461" i="3"/>
  <c r="A462" i="3"/>
  <c r="C462" i="3"/>
  <c r="F462" i="3"/>
  <c r="V462" i="3"/>
  <c r="AC462" i="3"/>
  <c r="AD462" i="3"/>
  <c r="AE462" i="3"/>
  <c r="AF462" i="3"/>
  <c r="AG462" i="3"/>
  <c r="AH462" i="3"/>
  <c r="AI462" i="3"/>
  <c r="A463" i="3"/>
  <c r="B463" i="3"/>
  <c r="E463" i="3"/>
  <c r="AC463" i="3"/>
  <c r="AD463" i="3"/>
  <c r="AE463" i="3"/>
  <c r="AF463" i="3"/>
  <c r="AG463" i="3"/>
  <c r="AH463" i="3"/>
  <c r="AI463" i="3"/>
  <c r="A464" i="3"/>
  <c r="D464" i="3"/>
  <c r="H464" i="3"/>
  <c r="U464" i="3"/>
  <c r="AD464" i="3"/>
  <c r="AE464" i="3"/>
  <c r="AF464" i="3"/>
  <c r="AG464" i="3"/>
  <c r="AH464" i="3"/>
  <c r="AI464" i="3"/>
  <c r="A465" i="3"/>
  <c r="B465" i="3"/>
  <c r="C465" i="3"/>
  <c r="G465" i="3"/>
  <c r="AC465" i="3"/>
  <c r="AD465" i="3"/>
  <c r="AE465" i="3"/>
  <c r="AF465" i="3"/>
  <c r="AG465" i="3"/>
  <c r="AH465" i="3"/>
  <c r="AI465" i="3"/>
  <c r="A466" i="3"/>
  <c r="B466" i="3"/>
  <c r="AC466" i="3"/>
  <c r="AD466" i="3"/>
  <c r="AE466" i="3"/>
  <c r="AF466" i="3"/>
  <c r="AG466" i="3"/>
  <c r="AH466" i="3"/>
  <c r="AI466" i="3"/>
  <c r="A467" i="3"/>
  <c r="B467" i="3"/>
  <c r="C467" i="3"/>
  <c r="D467" i="3"/>
  <c r="E467" i="3"/>
  <c r="AC467" i="3"/>
  <c r="AD467" i="3"/>
  <c r="AE467" i="3"/>
  <c r="AF467" i="3"/>
  <c r="AG467" i="3"/>
  <c r="AH467" i="3"/>
  <c r="AI467" i="3"/>
  <c r="A468" i="3"/>
  <c r="Y468" i="3"/>
  <c r="AC468" i="3"/>
  <c r="AD468" i="3"/>
  <c r="AE468" i="3"/>
  <c r="AF468" i="3"/>
  <c r="AG468" i="3"/>
  <c r="AH468" i="3"/>
  <c r="AI468" i="3"/>
  <c r="A469" i="3"/>
  <c r="B469" i="3"/>
  <c r="B493" i="3"/>
  <c r="B517" i="3"/>
  <c r="B541" i="3"/>
  <c r="B565" i="3"/>
  <c r="B589" i="3"/>
  <c r="F469" i="3"/>
  <c r="AC469" i="3"/>
  <c r="AD469" i="3"/>
  <c r="AE469" i="3"/>
  <c r="AF469" i="3"/>
  <c r="AG469" i="3"/>
  <c r="AH469" i="3"/>
  <c r="AI469" i="3"/>
  <c r="A470" i="3"/>
  <c r="B470" i="3"/>
  <c r="V470" i="3"/>
  <c r="X470" i="3"/>
  <c r="AC470" i="3"/>
  <c r="AD470" i="3"/>
  <c r="AE470" i="3"/>
  <c r="AF470" i="3"/>
  <c r="AG470" i="3"/>
  <c r="AH470" i="3"/>
  <c r="AI470" i="3"/>
  <c r="A471" i="3"/>
  <c r="G471" i="3"/>
  <c r="W471" i="3"/>
  <c r="Z471" i="3"/>
  <c r="AC471" i="3"/>
  <c r="AD471" i="3"/>
  <c r="AE471" i="3"/>
  <c r="AF471" i="3"/>
  <c r="AG471" i="3"/>
  <c r="AH471" i="3"/>
  <c r="AI471" i="3"/>
  <c r="A472" i="3"/>
  <c r="U472" i="3"/>
  <c r="V472" i="3"/>
  <c r="W472" i="3"/>
  <c r="X472" i="3"/>
  <c r="Y472" i="3"/>
  <c r="Z472" i="3"/>
  <c r="AC472" i="3"/>
  <c r="AD472" i="3"/>
  <c r="AE472" i="3"/>
  <c r="AF472" i="3"/>
  <c r="AG472" i="3"/>
  <c r="AH472" i="3"/>
  <c r="AI472" i="3"/>
  <c r="A473" i="3"/>
  <c r="B473" i="3"/>
  <c r="B497" i="3"/>
  <c r="B521" i="3"/>
  <c r="B545" i="3"/>
  <c r="B569" i="3"/>
  <c r="B593" i="3"/>
  <c r="F473" i="3"/>
  <c r="U473" i="3"/>
  <c r="V473" i="3"/>
  <c r="W473" i="3"/>
  <c r="X473" i="3"/>
  <c r="Y473" i="3"/>
  <c r="Z473" i="3"/>
  <c r="A474" i="3"/>
  <c r="H474" i="3"/>
  <c r="U474" i="3"/>
  <c r="V474" i="3"/>
  <c r="W474" i="3"/>
  <c r="X474" i="3"/>
  <c r="Y474" i="3"/>
  <c r="Z474" i="3"/>
  <c r="A475" i="3"/>
  <c r="B475" i="3"/>
  <c r="D475" i="3"/>
  <c r="V475" i="3"/>
  <c r="A476" i="3"/>
  <c r="U476" i="3"/>
  <c r="V476" i="3"/>
  <c r="W476" i="3"/>
  <c r="X476" i="3"/>
  <c r="Y476" i="3"/>
  <c r="Z476" i="3"/>
  <c r="U477" i="3"/>
  <c r="V477" i="3"/>
  <c r="W477" i="3"/>
  <c r="X477" i="3"/>
  <c r="Y477" i="3"/>
  <c r="Z477" i="3"/>
  <c r="T480" i="3"/>
  <c r="C481" i="3"/>
  <c r="D481" i="3"/>
  <c r="E481" i="3"/>
  <c r="F481" i="3"/>
  <c r="G481" i="3"/>
  <c r="H481" i="3"/>
  <c r="S481" i="3"/>
  <c r="U481" i="3"/>
  <c r="V481" i="3"/>
  <c r="W481" i="3"/>
  <c r="X481" i="3"/>
  <c r="Y481" i="3"/>
  <c r="Z481" i="3"/>
  <c r="A482" i="3"/>
  <c r="F482" i="3"/>
  <c r="A483" i="3"/>
  <c r="A484" i="3"/>
  <c r="A485" i="3"/>
  <c r="B485" i="3"/>
  <c r="A486" i="3"/>
  <c r="A487" i="3"/>
  <c r="B487" i="3"/>
  <c r="A488" i="3"/>
  <c r="A489" i="3"/>
  <c r="B489" i="3"/>
  <c r="A490" i="3"/>
  <c r="B490" i="3"/>
  <c r="A491" i="3"/>
  <c r="B491" i="3"/>
  <c r="A492" i="3"/>
  <c r="A493" i="3"/>
  <c r="A494" i="3"/>
  <c r="B494" i="3"/>
  <c r="A495" i="3"/>
  <c r="A496" i="3"/>
  <c r="A497" i="3"/>
  <c r="A498" i="3"/>
  <c r="F498" i="3"/>
  <c r="F522" i="3"/>
  <c r="F546" i="3"/>
  <c r="F570" i="3"/>
  <c r="F594" i="3"/>
  <c r="H498" i="3"/>
  <c r="A499" i="3"/>
  <c r="B499" i="3"/>
  <c r="A500" i="3"/>
  <c r="C501" i="3"/>
  <c r="D501" i="3"/>
  <c r="E501" i="3"/>
  <c r="F501" i="3"/>
  <c r="G501" i="3"/>
  <c r="H501" i="3"/>
  <c r="C502" i="3"/>
  <c r="D502" i="3"/>
  <c r="E502" i="3"/>
  <c r="F502" i="3"/>
  <c r="G502" i="3"/>
  <c r="H502" i="3"/>
  <c r="T504" i="3"/>
  <c r="C505" i="3"/>
  <c r="D505" i="3"/>
  <c r="E505" i="3"/>
  <c r="F505" i="3"/>
  <c r="G505" i="3"/>
  <c r="H505" i="3"/>
  <c r="S505" i="3"/>
  <c r="U505" i="3"/>
  <c r="V505" i="3"/>
  <c r="W505" i="3"/>
  <c r="X505" i="3"/>
  <c r="Y505" i="3"/>
  <c r="Z505" i="3"/>
  <c r="A506" i="3"/>
  <c r="F506" i="3"/>
  <c r="A507" i="3"/>
  <c r="A508" i="3"/>
  <c r="A509" i="3"/>
  <c r="B509" i="3"/>
  <c r="B533" i="3"/>
  <c r="B557" i="3"/>
  <c r="B581" i="3"/>
  <c r="A510" i="3"/>
  <c r="A511" i="3"/>
  <c r="B511" i="3"/>
  <c r="B535" i="3"/>
  <c r="B559" i="3"/>
  <c r="B583" i="3"/>
  <c r="A512" i="3"/>
  <c r="A513" i="3"/>
  <c r="B513" i="3"/>
  <c r="B537" i="3"/>
  <c r="B561" i="3"/>
  <c r="B585" i="3"/>
  <c r="A514" i="3"/>
  <c r="B514" i="3"/>
  <c r="A515" i="3"/>
  <c r="B515" i="3"/>
  <c r="A516" i="3"/>
  <c r="A517" i="3"/>
  <c r="A518" i="3"/>
  <c r="B518" i="3"/>
  <c r="A519" i="3"/>
  <c r="A520" i="3"/>
  <c r="A521" i="3"/>
  <c r="A522" i="3"/>
  <c r="H522" i="3"/>
  <c r="A523" i="3"/>
  <c r="B523" i="3"/>
  <c r="B547" i="3"/>
  <c r="B571" i="3"/>
  <c r="B595" i="3"/>
  <c r="A524" i="3"/>
  <c r="C525" i="3"/>
  <c r="D525" i="3"/>
  <c r="E525" i="3"/>
  <c r="F525" i="3"/>
  <c r="G525" i="3"/>
  <c r="H525" i="3"/>
  <c r="C526" i="3"/>
  <c r="D526" i="3"/>
  <c r="E526" i="3"/>
  <c r="F526" i="3"/>
  <c r="G526" i="3"/>
  <c r="H526" i="3"/>
  <c r="T528" i="3"/>
  <c r="C529" i="3"/>
  <c r="C553" i="3"/>
  <c r="C577" i="3"/>
  <c r="D529" i="3"/>
  <c r="D553" i="3"/>
  <c r="D577" i="3"/>
  <c r="F529" i="3"/>
  <c r="F553" i="3"/>
  <c r="F577" i="3"/>
  <c r="G529" i="3"/>
  <c r="G553" i="3"/>
  <c r="G577" i="3"/>
  <c r="H529" i="3"/>
  <c r="H553" i="3"/>
  <c r="H577" i="3"/>
  <c r="S529" i="3"/>
  <c r="U529" i="3"/>
  <c r="V529" i="3"/>
  <c r="W529" i="3"/>
  <c r="X529" i="3"/>
  <c r="Y529" i="3"/>
  <c r="Z529" i="3"/>
  <c r="A530" i="3"/>
  <c r="F530" i="3"/>
  <c r="F554" i="3"/>
  <c r="F578" i="3"/>
  <c r="A531" i="3"/>
  <c r="A532" i="3"/>
  <c r="A533" i="3"/>
  <c r="A534" i="3"/>
  <c r="A535" i="3"/>
  <c r="A536" i="3"/>
  <c r="A537" i="3"/>
  <c r="A538" i="3"/>
  <c r="B538" i="3"/>
  <c r="B562" i="3"/>
  <c r="B586" i="3"/>
  <c r="A539" i="3"/>
  <c r="B539" i="3"/>
  <c r="B563" i="3"/>
  <c r="B587" i="3"/>
  <c r="A540" i="3"/>
  <c r="A541" i="3"/>
  <c r="A542" i="3"/>
  <c r="B542" i="3"/>
  <c r="B566" i="3"/>
  <c r="B590" i="3"/>
  <c r="A543" i="3"/>
  <c r="A544" i="3"/>
  <c r="A545" i="3"/>
  <c r="A546" i="3"/>
  <c r="H546" i="3"/>
  <c r="A547" i="3"/>
  <c r="A548" i="3"/>
  <c r="C549" i="3"/>
  <c r="D549" i="3"/>
  <c r="E549" i="3"/>
  <c r="F549" i="3"/>
  <c r="G549" i="3"/>
  <c r="H549" i="3"/>
  <c r="C550" i="3"/>
  <c r="D550" i="3"/>
  <c r="E550" i="3"/>
  <c r="F550" i="3"/>
  <c r="G550" i="3"/>
  <c r="H550" i="3"/>
  <c r="B3" i="53"/>
  <c r="K3" i="53"/>
  <c r="K4" i="53"/>
  <c r="L4" i="53"/>
  <c r="K5" i="53"/>
  <c r="L5" i="53"/>
  <c r="K6" i="53"/>
  <c r="L6" i="53"/>
  <c r="K7" i="53"/>
  <c r="L7" i="53"/>
  <c r="K8" i="53"/>
  <c r="L8" i="53"/>
  <c r="K9" i="53"/>
  <c r="L9" i="53"/>
  <c r="K10" i="53"/>
  <c r="L10" i="53"/>
  <c r="K11" i="53"/>
  <c r="L11" i="53"/>
  <c r="K12" i="53"/>
  <c r="L12" i="53"/>
  <c r="K13" i="53"/>
  <c r="L13" i="53"/>
  <c r="K14" i="53"/>
  <c r="L14" i="53"/>
  <c r="K15" i="53"/>
  <c r="L15" i="53"/>
  <c r="K16" i="53"/>
  <c r="L16" i="53"/>
  <c r="K17" i="53"/>
  <c r="L17" i="53"/>
  <c r="K18" i="53"/>
  <c r="L18" i="53"/>
  <c r="K19" i="53"/>
  <c r="L19" i="53"/>
  <c r="K20" i="53"/>
  <c r="L20" i="53"/>
  <c r="K21" i="53"/>
  <c r="L21" i="53"/>
  <c r="K22" i="53"/>
  <c r="L22" i="53"/>
  <c r="K23" i="53"/>
  <c r="L23" i="53"/>
  <c r="K24" i="53"/>
  <c r="L24" i="53"/>
  <c r="X20" i="20"/>
  <c r="Z20" i="20"/>
  <c r="X21" i="20"/>
  <c r="Z21" i="20"/>
  <c r="X22" i="20"/>
  <c r="Y22" i="20"/>
  <c r="Z22" i="20"/>
  <c r="AA22" i="20"/>
  <c r="X23" i="20"/>
  <c r="Y23" i="20"/>
  <c r="Z23" i="20"/>
  <c r="AA23" i="20"/>
  <c r="J24" i="20"/>
  <c r="B19" i="2"/>
  <c r="C19" i="2"/>
  <c r="D19" i="2"/>
  <c r="E19" i="2"/>
  <c r="F19" i="2"/>
  <c r="G19" i="2"/>
  <c r="H19" i="2"/>
  <c r="B21" i="2"/>
  <c r="C22" i="2"/>
  <c r="D22" i="2"/>
  <c r="E22" i="2"/>
  <c r="F22" i="2"/>
  <c r="G22" i="2"/>
  <c r="H22" i="2"/>
  <c r="B23" i="2"/>
  <c r="C23" i="2"/>
  <c r="C44" i="2"/>
  <c r="D23" i="2"/>
  <c r="D44" i="2"/>
  <c r="E23" i="2"/>
  <c r="E44" i="2"/>
  <c r="F23" i="2"/>
  <c r="F44" i="2"/>
  <c r="G23" i="2"/>
  <c r="G44" i="2"/>
  <c r="H23" i="2"/>
  <c r="H44" i="2"/>
  <c r="B24" i="2"/>
  <c r="C24" i="2"/>
  <c r="C45" i="2"/>
  <c r="D24" i="2"/>
  <c r="D45" i="2"/>
  <c r="E24" i="2"/>
  <c r="E45" i="2"/>
  <c r="F24" i="2"/>
  <c r="F45" i="2"/>
  <c r="G24" i="2"/>
  <c r="G45" i="2"/>
  <c r="H24" i="2"/>
  <c r="H45" i="2"/>
  <c r="B25" i="2"/>
  <c r="C25" i="2"/>
  <c r="C46" i="2"/>
  <c r="D25" i="2"/>
  <c r="D46" i="2"/>
  <c r="E25" i="2"/>
  <c r="E46" i="2"/>
  <c r="F25" i="2"/>
  <c r="F46" i="2"/>
  <c r="G25" i="2"/>
  <c r="G46" i="2"/>
  <c r="H25" i="2"/>
  <c r="H46" i="2"/>
  <c r="B26" i="2"/>
  <c r="C26" i="2"/>
  <c r="C47" i="2"/>
  <c r="D26" i="2"/>
  <c r="D47" i="2"/>
  <c r="E26" i="2"/>
  <c r="E47" i="2"/>
  <c r="F26" i="2"/>
  <c r="F47" i="2"/>
  <c r="G26" i="2"/>
  <c r="G47" i="2"/>
  <c r="H26" i="2"/>
  <c r="H47" i="2"/>
  <c r="B27" i="2"/>
  <c r="C27" i="2"/>
  <c r="C48" i="2"/>
  <c r="D27" i="2"/>
  <c r="D48" i="2"/>
  <c r="E27" i="2"/>
  <c r="E48" i="2"/>
  <c r="F27" i="2"/>
  <c r="F48" i="2"/>
  <c r="G27" i="2"/>
  <c r="G48" i="2"/>
  <c r="H27" i="2"/>
  <c r="H48" i="2"/>
  <c r="B28" i="2"/>
  <c r="C28" i="2"/>
  <c r="C49" i="2"/>
  <c r="D28" i="2"/>
  <c r="D49" i="2"/>
  <c r="E28" i="2"/>
  <c r="E49" i="2"/>
  <c r="F28" i="2"/>
  <c r="F49" i="2"/>
  <c r="G28" i="2"/>
  <c r="G49" i="2"/>
  <c r="H28" i="2"/>
  <c r="H49" i="2"/>
  <c r="B29" i="2"/>
  <c r="C29" i="2"/>
  <c r="C50" i="2"/>
  <c r="D29" i="2"/>
  <c r="D50" i="2"/>
  <c r="E29" i="2"/>
  <c r="E50" i="2"/>
  <c r="F29" i="2"/>
  <c r="F50" i="2"/>
  <c r="G29" i="2"/>
  <c r="G50" i="2"/>
  <c r="H29" i="2"/>
  <c r="H50"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2" i="2"/>
  <c r="B84" i="2"/>
  <c r="C42" i="2"/>
  <c r="C84" i="2"/>
  <c r="C43" i="2"/>
  <c r="D43" i="2"/>
  <c r="E43" i="2"/>
  <c r="F43" i="2"/>
  <c r="G43" i="2"/>
  <c r="H43" i="2"/>
  <c r="B44" i="2"/>
  <c r="B45" i="2"/>
  <c r="B46" i="2"/>
  <c r="B47" i="2"/>
  <c r="B48" i="2"/>
  <c r="B49" i="2"/>
  <c r="B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B72" i="2"/>
  <c r="C72" i="2"/>
  <c r="D72" i="2"/>
  <c r="E72" i="2"/>
  <c r="F72" i="2"/>
  <c r="G72" i="2"/>
  <c r="H72" i="2"/>
  <c r="B73" i="2"/>
  <c r="C73" i="2"/>
  <c r="D73" i="2"/>
  <c r="E73" i="2"/>
  <c r="F73" i="2"/>
  <c r="G73" i="2"/>
  <c r="H73" i="2"/>
  <c r="B74" i="2"/>
  <c r="C74" i="2"/>
  <c r="D74" i="2"/>
  <c r="E74" i="2"/>
  <c r="F74" i="2"/>
  <c r="G74" i="2"/>
  <c r="H74" i="2"/>
  <c r="B75" i="2"/>
  <c r="C75" i="2"/>
  <c r="D75" i="2"/>
  <c r="E75" i="2"/>
  <c r="F75" i="2"/>
  <c r="G75" i="2"/>
  <c r="H75" i="2"/>
  <c r="B76" i="2"/>
  <c r="C76" i="2"/>
  <c r="D76" i="2"/>
  <c r="E76" i="2"/>
  <c r="F76" i="2"/>
  <c r="G76" i="2"/>
  <c r="H76" i="2"/>
  <c r="B77" i="2"/>
  <c r="C77" i="2"/>
  <c r="D77" i="2"/>
  <c r="E77" i="2"/>
  <c r="F77" i="2"/>
  <c r="G77" i="2"/>
  <c r="H77" i="2"/>
  <c r="B78" i="2"/>
  <c r="C78" i="2"/>
  <c r="D78" i="2"/>
  <c r="E78" i="2"/>
  <c r="F78" i="2"/>
  <c r="G78" i="2"/>
  <c r="H78" i="2"/>
  <c r="B79" i="2"/>
  <c r="C79" i="2"/>
  <c r="D79" i="2"/>
  <c r="E79" i="2"/>
  <c r="F79" i="2"/>
  <c r="G79" i="2"/>
  <c r="H79" i="2"/>
  <c r="B80" i="2"/>
  <c r="C80" i="2"/>
  <c r="D80" i="2"/>
  <c r="E80" i="2"/>
  <c r="F80" i="2"/>
  <c r="G80" i="2"/>
  <c r="H80" i="2"/>
  <c r="B81" i="2"/>
  <c r="C81" i="2"/>
  <c r="D81" i="2"/>
  <c r="E81" i="2"/>
  <c r="F81" i="2"/>
  <c r="G81" i="2"/>
  <c r="H81" i="2"/>
  <c r="C85" i="2"/>
  <c r="D85" i="2"/>
  <c r="E85" i="2"/>
  <c r="F85" i="2"/>
  <c r="G85" i="2"/>
  <c r="H85" i="2"/>
  <c r="B86" i="2"/>
  <c r="C86" i="2"/>
  <c r="D86" i="2"/>
  <c r="E86" i="2"/>
  <c r="F86" i="2"/>
  <c r="G86" i="2"/>
  <c r="H86" i="2"/>
  <c r="B87" i="2"/>
  <c r="C87" i="2"/>
  <c r="D87" i="2"/>
  <c r="E87" i="2"/>
  <c r="F87" i="2"/>
  <c r="G87" i="2"/>
  <c r="H87" i="2"/>
  <c r="B88" i="2"/>
  <c r="C88" i="2"/>
  <c r="D88" i="2"/>
  <c r="E88" i="2"/>
  <c r="F88" i="2"/>
  <c r="G88" i="2"/>
  <c r="H88" i="2"/>
  <c r="B89" i="2"/>
  <c r="C89" i="2"/>
  <c r="D89" i="2"/>
  <c r="E89" i="2"/>
  <c r="F89" i="2"/>
  <c r="G89" i="2"/>
  <c r="H89" i="2"/>
  <c r="B90" i="2"/>
  <c r="C90" i="2"/>
  <c r="D90" i="2"/>
  <c r="E90" i="2"/>
  <c r="F90" i="2"/>
  <c r="G90" i="2"/>
  <c r="H90" i="2"/>
  <c r="B91" i="2"/>
  <c r="C91" i="2"/>
  <c r="D91" i="2"/>
  <c r="E91" i="2"/>
  <c r="F91" i="2"/>
  <c r="G91" i="2"/>
  <c r="H91" i="2"/>
  <c r="B92" i="2"/>
  <c r="C92" i="2"/>
  <c r="D92" i="2"/>
  <c r="E92" i="2"/>
  <c r="F92" i="2"/>
  <c r="G92" i="2"/>
  <c r="H92" i="2"/>
  <c r="B93" i="2"/>
  <c r="C93" i="2"/>
  <c r="D93" i="2"/>
  <c r="E93" i="2"/>
  <c r="F93" i="2"/>
  <c r="G93" i="2"/>
  <c r="H93" i="2"/>
  <c r="B94" i="2"/>
  <c r="C94" i="2"/>
  <c r="D94" i="2"/>
  <c r="E94" i="2"/>
  <c r="F94" i="2"/>
  <c r="G94" i="2"/>
  <c r="H94" i="2"/>
  <c r="B95" i="2"/>
  <c r="C95" i="2"/>
  <c r="D95" i="2"/>
  <c r="E95" i="2"/>
  <c r="F95" i="2"/>
  <c r="G95" i="2"/>
  <c r="H95" i="2"/>
  <c r="B96" i="2"/>
  <c r="C96" i="2"/>
  <c r="D96" i="2"/>
  <c r="E96" i="2"/>
  <c r="F96" i="2"/>
  <c r="G96" i="2"/>
  <c r="H96" i="2"/>
  <c r="B97" i="2"/>
  <c r="C97" i="2"/>
  <c r="D97" i="2"/>
  <c r="E97" i="2"/>
  <c r="F97" i="2"/>
  <c r="G97" i="2"/>
  <c r="H97" i="2"/>
  <c r="B98" i="2"/>
  <c r="C98" i="2"/>
  <c r="D98" i="2"/>
  <c r="E98" i="2"/>
  <c r="F98" i="2"/>
  <c r="G98" i="2"/>
  <c r="H98" i="2"/>
  <c r="B99" i="2"/>
  <c r="C99" i="2"/>
  <c r="D99" i="2"/>
  <c r="E99" i="2"/>
  <c r="F99" i="2"/>
  <c r="G99" i="2"/>
  <c r="H99" i="2"/>
  <c r="B100" i="2"/>
  <c r="C100" i="2"/>
  <c r="D100" i="2"/>
  <c r="E100" i="2"/>
  <c r="F100" i="2"/>
  <c r="G100" i="2"/>
  <c r="H100" i="2"/>
  <c r="B101" i="2"/>
  <c r="C101" i="2"/>
  <c r="D101" i="2"/>
  <c r="E101" i="2"/>
  <c r="F101" i="2"/>
  <c r="G101" i="2"/>
  <c r="H101" i="2"/>
  <c r="B102" i="2"/>
  <c r="C102" i="2"/>
  <c r="D102" i="2"/>
  <c r="E102" i="2"/>
  <c r="F102" i="2"/>
  <c r="G102" i="2"/>
  <c r="H102" i="2"/>
  <c r="C106" i="2"/>
  <c r="D106" i="2"/>
  <c r="E106" i="2"/>
  <c r="F106" i="2"/>
  <c r="G106" i="2"/>
  <c r="H106" i="2"/>
  <c r="B107" i="2"/>
  <c r="C107" i="2"/>
  <c r="D107" i="2"/>
  <c r="E107" i="2"/>
  <c r="F107" i="2"/>
  <c r="G107" i="2"/>
  <c r="H107" i="2"/>
  <c r="B108" i="2"/>
  <c r="C108" i="2"/>
  <c r="D108" i="2"/>
  <c r="E108" i="2"/>
  <c r="F108" i="2"/>
  <c r="G108" i="2"/>
  <c r="H108" i="2"/>
  <c r="B109" i="2"/>
  <c r="C109" i="2"/>
  <c r="D109" i="2"/>
  <c r="E109" i="2"/>
  <c r="F109" i="2"/>
  <c r="G109" i="2"/>
  <c r="H109" i="2"/>
  <c r="B110" i="2"/>
  <c r="C110" i="2"/>
  <c r="D110" i="2"/>
  <c r="E110" i="2"/>
  <c r="F110" i="2"/>
  <c r="G110" i="2"/>
  <c r="H110" i="2"/>
  <c r="B111" i="2"/>
  <c r="C111" i="2"/>
  <c r="D111" i="2"/>
  <c r="E111" i="2"/>
  <c r="F111" i="2"/>
  <c r="G111" i="2"/>
  <c r="H111" i="2"/>
  <c r="B112" i="2"/>
  <c r="C112" i="2"/>
  <c r="D112" i="2"/>
  <c r="E112" i="2"/>
  <c r="F112" i="2"/>
  <c r="G112" i="2"/>
  <c r="H112" i="2"/>
  <c r="B113" i="2"/>
  <c r="C113" i="2"/>
  <c r="D113" i="2"/>
  <c r="E113" i="2"/>
  <c r="F113" i="2"/>
  <c r="G113" i="2"/>
  <c r="H113" i="2"/>
  <c r="B114" i="2"/>
  <c r="C114" i="2"/>
  <c r="D114" i="2"/>
  <c r="E114" i="2"/>
  <c r="F114" i="2"/>
  <c r="G114" i="2"/>
  <c r="H114" i="2"/>
  <c r="B115" i="2"/>
  <c r="C115" i="2"/>
  <c r="D115" i="2"/>
  <c r="E115" i="2"/>
  <c r="F115" i="2"/>
  <c r="G115" i="2"/>
  <c r="H115" i="2"/>
  <c r="B116" i="2"/>
  <c r="C116" i="2"/>
  <c r="D116" i="2"/>
  <c r="E116" i="2"/>
  <c r="F116" i="2"/>
  <c r="G116" i="2"/>
  <c r="H116" i="2"/>
  <c r="B117" i="2"/>
  <c r="C117" i="2"/>
  <c r="D117" i="2"/>
  <c r="E117" i="2"/>
  <c r="F117" i="2"/>
  <c r="G117" i="2"/>
  <c r="H117" i="2"/>
  <c r="B118" i="2"/>
  <c r="C118" i="2"/>
  <c r="D118" i="2"/>
  <c r="E118" i="2"/>
  <c r="F118" i="2"/>
  <c r="G118" i="2"/>
  <c r="H118" i="2"/>
  <c r="B119" i="2"/>
  <c r="C119" i="2"/>
  <c r="D119" i="2"/>
  <c r="E119" i="2"/>
  <c r="F119" i="2"/>
  <c r="G119" i="2"/>
  <c r="H119" i="2"/>
  <c r="B120" i="2"/>
  <c r="C120" i="2"/>
  <c r="D120" i="2"/>
  <c r="E120" i="2"/>
  <c r="F120" i="2"/>
  <c r="G120" i="2"/>
  <c r="H120" i="2"/>
  <c r="B121" i="2"/>
  <c r="C121" i="2"/>
  <c r="D121" i="2"/>
  <c r="E121" i="2"/>
  <c r="F121" i="2"/>
  <c r="G121" i="2"/>
  <c r="H121" i="2"/>
  <c r="B122" i="2"/>
  <c r="C122" i="2"/>
  <c r="D122" i="2"/>
  <c r="E122" i="2"/>
  <c r="F122" i="2"/>
  <c r="G122" i="2"/>
  <c r="H122" i="2"/>
  <c r="B123" i="2"/>
  <c r="C123" i="2"/>
  <c r="D123" i="2"/>
  <c r="E123" i="2"/>
  <c r="F123" i="2"/>
  <c r="G123" i="2"/>
  <c r="H123" i="2"/>
  <c r="C127" i="2"/>
  <c r="D127" i="2"/>
  <c r="E127" i="2"/>
  <c r="F127" i="2"/>
  <c r="G127" i="2"/>
  <c r="H127" i="2"/>
  <c r="B128" i="2"/>
  <c r="C128" i="2"/>
  <c r="D128" i="2"/>
  <c r="E128" i="2"/>
  <c r="F128" i="2"/>
  <c r="G128" i="2"/>
  <c r="H128" i="2"/>
  <c r="B129" i="2"/>
  <c r="C129" i="2"/>
  <c r="D129" i="2"/>
  <c r="E129" i="2"/>
  <c r="F129" i="2"/>
  <c r="G129" i="2"/>
  <c r="H129" i="2"/>
  <c r="B130" i="2"/>
  <c r="C130" i="2"/>
  <c r="D130" i="2"/>
  <c r="E130" i="2"/>
  <c r="F130" i="2"/>
  <c r="G130" i="2"/>
  <c r="H130" i="2"/>
  <c r="B131" i="2"/>
  <c r="C131" i="2"/>
  <c r="D131" i="2"/>
  <c r="E131" i="2"/>
  <c r="F131" i="2"/>
  <c r="G131" i="2"/>
  <c r="H131" i="2"/>
  <c r="B132" i="2"/>
  <c r="C132" i="2"/>
  <c r="D132" i="2"/>
  <c r="E132" i="2"/>
  <c r="F132" i="2"/>
  <c r="G132" i="2"/>
  <c r="H132" i="2"/>
  <c r="B133" i="2"/>
  <c r="C133" i="2"/>
  <c r="D133" i="2"/>
  <c r="E133" i="2"/>
  <c r="F133" i="2"/>
  <c r="G133" i="2"/>
  <c r="H133" i="2"/>
  <c r="B134" i="2"/>
  <c r="C134" i="2"/>
  <c r="D134" i="2"/>
  <c r="E134" i="2"/>
  <c r="F134" i="2"/>
  <c r="G134" i="2"/>
  <c r="H134" i="2"/>
  <c r="B135" i="2"/>
  <c r="C135" i="2"/>
  <c r="D135" i="2"/>
  <c r="E135" i="2"/>
  <c r="F135" i="2"/>
  <c r="G135" i="2"/>
  <c r="H135" i="2"/>
  <c r="B136" i="2"/>
  <c r="C136" i="2"/>
  <c r="D136" i="2"/>
  <c r="E136" i="2"/>
  <c r="F136" i="2"/>
  <c r="G136" i="2"/>
  <c r="H136" i="2"/>
  <c r="B137" i="2"/>
  <c r="C137" i="2"/>
  <c r="D137" i="2"/>
  <c r="E137" i="2"/>
  <c r="F137" i="2"/>
  <c r="G137" i="2"/>
  <c r="H137" i="2"/>
  <c r="B138" i="2"/>
  <c r="C138" i="2"/>
  <c r="D138" i="2"/>
  <c r="E138" i="2"/>
  <c r="F138" i="2"/>
  <c r="G138" i="2"/>
  <c r="H138" i="2"/>
  <c r="B139" i="2"/>
  <c r="C139" i="2"/>
  <c r="D139" i="2"/>
  <c r="E139" i="2"/>
  <c r="F139" i="2"/>
  <c r="G139" i="2"/>
  <c r="H139" i="2"/>
  <c r="B140" i="2"/>
  <c r="C140" i="2"/>
  <c r="D140" i="2"/>
  <c r="E140" i="2"/>
  <c r="F140" i="2"/>
  <c r="G140" i="2"/>
  <c r="H140" i="2"/>
  <c r="B141" i="2"/>
  <c r="C141" i="2"/>
  <c r="D141" i="2"/>
  <c r="E141" i="2"/>
  <c r="F141" i="2"/>
  <c r="G141" i="2"/>
  <c r="H141" i="2"/>
  <c r="B142" i="2"/>
  <c r="C142" i="2"/>
  <c r="D142" i="2"/>
  <c r="E142" i="2"/>
  <c r="F142" i="2"/>
  <c r="G142" i="2"/>
  <c r="H142" i="2"/>
  <c r="B143" i="2"/>
  <c r="C143" i="2"/>
  <c r="D143" i="2"/>
  <c r="E143" i="2"/>
  <c r="F143" i="2"/>
  <c r="G143" i="2"/>
  <c r="H143" i="2"/>
  <c r="B144" i="2"/>
  <c r="C144" i="2"/>
  <c r="D144" i="2"/>
  <c r="E144" i="2"/>
  <c r="F144" i="2"/>
  <c r="G144" i="2"/>
  <c r="H144" i="2"/>
  <c r="C148" i="2"/>
  <c r="D148" i="2"/>
  <c r="E148" i="2"/>
  <c r="F148" i="2"/>
  <c r="G148" i="2"/>
  <c r="H148" i="2"/>
  <c r="B149" i="2"/>
  <c r="C149" i="2"/>
  <c r="D149" i="2"/>
  <c r="E149" i="2"/>
  <c r="F149" i="2"/>
  <c r="G149" i="2"/>
  <c r="H149" i="2"/>
  <c r="B150" i="2"/>
  <c r="C150" i="2"/>
  <c r="D150" i="2"/>
  <c r="E150" i="2"/>
  <c r="F150" i="2"/>
  <c r="G150" i="2"/>
  <c r="H150" i="2"/>
  <c r="B151" i="2"/>
  <c r="C151" i="2"/>
  <c r="D151" i="2"/>
  <c r="E151" i="2"/>
  <c r="F151" i="2"/>
  <c r="G151" i="2"/>
  <c r="H151" i="2"/>
  <c r="B152" i="2"/>
  <c r="C152" i="2"/>
  <c r="D152" i="2"/>
  <c r="E152" i="2"/>
  <c r="F152" i="2"/>
  <c r="G152" i="2"/>
  <c r="H152" i="2"/>
  <c r="B153" i="2"/>
  <c r="C153" i="2"/>
  <c r="D153" i="2"/>
  <c r="E153" i="2"/>
  <c r="F153" i="2"/>
  <c r="G153" i="2"/>
  <c r="H153" i="2"/>
  <c r="B154" i="2"/>
  <c r="C154" i="2"/>
  <c r="D154" i="2"/>
  <c r="E154" i="2"/>
  <c r="F154" i="2"/>
  <c r="G154" i="2"/>
  <c r="H154" i="2"/>
  <c r="B155" i="2"/>
  <c r="C155" i="2"/>
  <c r="D155" i="2"/>
  <c r="E155" i="2"/>
  <c r="F155" i="2"/>
  <c r="G155" i="2"/>
  <c r="H155" i="2"/>
  <c r="B156" i="2"/>
  <c r="C156" i="2"/>
  <c r="D156" i="2"/>
  <c r="E156" i="2"/>
  <c r="F156" i="2"/>
  <c r="G156" i="2"/>
  <c r="H156" i="2"/>
  <c r="B157" i="2"/>
  <c r="C157" i="2"/>
  <c r="D157" i="2"/>
  <c r="E157" i="2"/>
  <c r="F157" i="2"/>
  <c r="G157" i="2"/>
  <c r="H157" i="2"/>
  <c r="B158" i="2"/>
  <c r="C158" i="2"/>
  <c r="D158" i="2"/>
  <c r="E158" i="2"/>
  <c r="F158" i="2"/>
  <c r="G158" i="2"/>
  <c r="H158" i="2"/>
  <c r="B159" i="2"/>
  <c r="C159" i="2"/>
  <c r="D159" i="2"/>
  <c r="E159" i="2"/>
  <c r="F159" i="2"/>
  <c r="G159" i="2"/>
  <c r="H159" i="2"/>
  <c r="B160" i="2"/>
  <c r="C160" i="2"/>
  <c r="D160" i="2"/>
  <c r="E160" i="2"/>
  <c r="F160" i="2"/>
  <c r="G160" i="2"/>
  <c r="H160" i="2"/>
  <c r="B161" i="2"/>
  <c r="C161" i="2"/>
  <c r="D161" i="2"/>
  <c r="E161" i="2"/>
  <c r="F161" i="2"/>
  <c r="G161" i="2"/>
  <c r="H161" i="2"/>
  <c r="B162" i="2"/>
  <c r="C162" i="2"/>
  <c r="D162" i="2"/>
  <c r="E162" i="2"/>
  <c r="F162" i="2"/>
  <c r="G162" i="2"/>
  <c r="H162" i="2"/>
  <c r="B163" i="2"/>
  <c r="C163" i="2"/>
  <c r="D163" i="2"/>
  <c r="E163" i="2"/>
  <c r="F163" i="2"/>
  <c r="G163" i="2"/>
  <c r="H163" i="2"/>
  <c r="B164" i="2"/>
  <c r="C164" i="2"/>
  <c r="D164" i="2"/>
  <c r="E164" i="2"/>
  <c r="F164" i="2"/>
  <c r="G164" i="2"/>
  <c r="H164" i="2"/>
  <c r="B165" i="2"/>
  <c r="C165" i="2"/>
  <c r="D165" i="2"/>
  <c r="E165" i="2"/>
  <c r="F165" i="2"/>
  <c r="G165" i="2"/>
  <c r="H165" i="2"/>
  <c r="C169" i="2"/>
  <c r="D169" i="2"/>
  <c r="E169" i="2"/>
  <c r="F169" i="2"/>
  <c r="G169" i="2"/>
  <c r="H169" i="2"/>
  <c r="B170" i="2"/>
  <c r="C170" i="2"/>
  <c r="D170" i="2"/>
  <c r="E170" i="2"/>
  <c r="F170" i="2"/>
  <c r="G170" i="2"/>
  <c r="H170" i="2"/>
  <c r="B171" i="2"/>
  <c r="C171" i="2"/>
  <c r="D171" i="2"/>
  <c r="E171" i="2"/>
  <c r="F171" i="2"/>
  <c r="G171" i="2"/>
  <c r="H171" i="2"/>
  <c r="B172" i="2"/>
  <c r="C172" i="2"/>
  <c r="D172" i="2"/>
  <c r="E172" i="2"/>
  <c r="F172" i="2"/>
  <c r="G172" i="2"/>
  <c r="H172" i="2"/>
  <c r="B173" i="2"/>
  <c r="C173" i="2"/>
  <c r="D173" i="2"/>
  <c r="E173" i="2"/>
  <c r="F173" i="2"/>
  <c r="G173" i="2"/>
  <c r="H173" i="2"/>
  <c r="B174" i="2"/>
  <c r="C174" i="2"/>
  <c r="D174" i="2"/>
  <c r="E174" i="2"/>
  <c r="F174" i="2"/>
  <c r="G174" i="2"/>
  <c r="H174" i="2"/>
  <c r="B175" i="2"/>
  <c r="C175" i="2"/>
  <c r="D175" i="2"/>
  <c r="E175" i="2"/>
  <c r="F175" i="2"/>
  <c r="G175" i="2"/>
  <c r="H175" i="2"/>
  <c r="B176" i="2"/>
  <c r="C176" i="2"/>
  <c r="D176" i="2"/>
  <c r="E176" i="2"/>
  <c r="F176" i="2"/>
  <c r="G176" i="2"/>
  <c r="H176" i="2"/>
  <c r="B177" i="2"/>
  <c r="C177" i="2"/>
  <c r="D177" i="2"/>
  <c r="E177" i="2"/>
  <c r="F177" i="2"/>
  <c r="G177" i="2"/>
  <c r="H177" i="2"/>
  <c r="B178" i="2"/>
  <c r="C178" i="2"/>
  <c r="D178" i="2"/>
  <c r="E178" i="2"/>
  <c r="F178" i="2"/>
  <c r="G178" i="2"/>
  <c r="H178" i="2"/>
  <c r="B179" i="2"/>
  <c r="C179" i="2"/>
  <c r="D179" i="2"/>
  <c r="E179" i="2"/>
  <c r="F179" i="2"/>
  <c r="G179" i="2"/>
  <c r="H179" i="2"/>
  <c r="B180" i="2"/>
  <c r="C180" i="2"/>
  <c r="D180" i="2"/>
  <c r="E180" i="2"/>
  <c r="F180" i="2"/>
  <c r="G180" i="2"/>
  <c r="H180" i="2"/>
  <c r="B181" i="2"/>
  <c r="C181" i="2"/>
  <c r="D181" i="2"/>
  <c r="E181" i="2"/>
  <c r="F181" i="2"/>
  <c r="G181" i="2"/>
  <c r="H181" i="2"/>
  <c r="B182" i="2"/>
  <c r="C182" i="2"/>
  <c r="D182" i="2"/>
  <c r="E182" i="2"/>
  <c r="F182" i="2"/>
  <c r="G182" i="2"/>
  <c r="H182" i="2"/>
  <c r="B183" i="2"/>
  <c r="C183" i="2"/>
  <c r="D183" i="2"/>
  <c r="E183" i="2"/>
  <c r="F183" i="2"/>
  <c r="G183" i="2"/>
  <c r="H183" i="2"/>
  <c r="B184" i="2"/>
  <c r="C184" i="2"/>
  <c r="D184" i="2"/>
  <c r="E184" i="2"/>
  <c r="F184" i="2"/>
  <c r="G184" i="2"/>
  <c r="H184" i="2"/>
  <c r="B185" i="2"/>
  <c r="C185" i="2"/>
  <c r="D185" i="2"/>
  <c r="E185" i="2"/>
  <c r="F185" i="2"/>
  <c r="G185" i="2"/>
  <c r="H185" i="2"/>
  <c r="B186" i="2"/>
  <c r="C186" i="2"/>
  <c r="D186" i="2"/>
  <c r="E186" i="2"/>
  <c r="F186" i="2"/>
  <c r="G186" i="2"/>
  <c r="H186" i="2"/>
  <c r="C190" i="2"/>
  <c r="D190" i="2"/>
  <c r="E190" i="2"/>
  <c r="F190" i="2"/>
  <c r="G190" i="2"/>
  <c r="H190" i="2"/>
  <c r="B191" i="2"/>
  <c r="C191" i="2"/>
  <c r="D191" i="2"/>
  <c r="E191" i="2"/>
  <c r="F191" i="2"/>
  <c r="G191" i="2"/>
  <c r="H191" i="2"/>
  <c r="B192" i="2"/>
  <c r="C192" i="2"/>
  <c r="D192" i="2"/>
  <c r="E192" i="2"/>
  <c r="F192" i="2"/>
  <c r="G192" i="2"/>
  <c r="H192" i="2"/>
  <c r="B193" i="2"/>
  <c r="C193" i="2"/>
  <c r="D193" i="2"/>
  <c r="E193" i="2"/>
  <c r="F193" i="2"/>
  <c r="G193" i="2"/>
  <c r="H193" i="2"/>
  <c r="B194" i="2"/>
  <c r="C194" i="2"/>
  <c r="D194" i="2"/>
  <c r="E194" i="2"/>
  <c r="F194" i="2"/>
  <c r="G194" i="2"/>
  <c r="H194" i="2"/>
  <c r="B195" i="2"/>
  <c r="C195" i="2"/>
  <c r="D195" i="2"/>
  <c r="E195" i="2"/>
  <c r="F195" i="2"/>
  <c r="G195" i="2"/>
  <c r="H195" i="2"/>
  <c r="B196" i="2"/>
  <c r="C196" i="2"/>
  <c r="D196" i="2"/>
  <c r="E196" i="2"/>
  <c r="F196" i="2"/>
  <c r="G196" i="2"/>
  <c r="H196" i="2"/>
  <c r="B197" i="2"/>
  <c r="C197" i="2"/>
  <c r="D197" i="2"/>
  <c r="E197" i="2"/>
  <c r="F197" i="2"/>
  <c r="G197" i="2"/>
  <c r="H197" i="2"/>
  <c r="B198" i="2"/>
  <c r="C198" i="2"/>
  <c r="D198" i="2"/>
  <c r="E198" i="2"/>
  <c r="F198" i="2"/>
  <c r="G198" i="2"/>
  <c r="H198" i="2"/>
  <c r="B199" i="2"/>
  <c r="C199" i="2"/>
  <c r="D199" i="2"/>
  <c r="E199" i="2"/>
  <c r="F199" i="2"/>
  <c r="G199" i="2"/>
  <c r="H199" i="2"/>
  <c r="B200" i="2"/>
  <c r="C200" i="2"/>
  <c r="D200" i="2"/>
  <c r="E200" i="2"/>
  <c r="F200" i="2"/>
  <c r="G200" i="2"/>
  <c r="H200" i="2"/>
  <c r="B201" i="2"/>
  <c r="C201" i="2"/>
  <c r="D201" i="2"/>
  <c r="E201" i="2"/>
  <c r="F201" i="2"/>
  <c r="G201" i="2"/>
  <c r="H201" i="2"/>
  <c r="B202" i="2"/>
  <c r="C202" i="2"/>
  <c r="D202" i="2"/>
  <c r="E202" i="2"/>
  <c r="F202" i="2"/>
  <c r="G202" i="2"/>
  <c r="H202" i="2"/>
  <c r="B203" i="2"/>
  <c r="C203" i="2"/>
  <c r="D203" i="2"/>
  <c r="E203" i="2"/>
  <c r="F203" i="2"/>
  <c r="G203" i="2"/>
  <c r="H203" i="2"/>
  <c r="B204" i="2"/>
  <c r="C204" i="2"/>
  <c r="D204" i="2"/>
  <c r="E204" i="2"/>
  <c r="F204" i="2"/>
  <c r="G204" i="2"/>
  <c r="H204" i="2"/>
  <c r="B205" i="2"/>
  <c r="C205" i="2"/>
  <c r="D205" i="2"/>
  <c r="E205" i="2"/>
  <c r="F205" i="2"/>
  <c r="G205" i="2"/>
  <c r="H205" i="2"/>
  <c r="B206" i="2"/>
  <c r="C206" i="2"/>
  <c r="D206" i="2"/>
  <c r="E206" i="2"/>
  <c r="F206" i="2"/>
  <c r="G206" i="2"/>
  <c r="H206" i="2"/>
  <c r="B207" i="2"/>
  <c r="C207" i="2"/>
  <c r="D207" i="2"/>
  <c r="E207" i="2"/>
  <c r="F207" i="2"/>
  <c r="G207" i="2"/>
  <c r="H207" i="2"/>
  <c r="C211" i="2"/>
  <c r="D211" i="2"/>
  <c r="E211" i="2"/>
  <c r="F211" i="2"/>
  <c r="G211" i="2"/>
  <c r="H211" i="2"/>
  <c r="B212" i="2"/>
  <c r="C212" i="2"/>
  <c r="D212" i="2"/>
  <c r="E212" i="2"/>
  <c r="F212" i="2"/>
  <c r="G212" i="2"/>
  <c r="H212" i="2"/>
  <c r="B213" i="2"/>
  <c r="C213" i="2"/>
  <c r="D213" i="2"/>
  <c r="E213" i="2"/>
  <c r="F213" i="2"/>
  <c r="G213" i="2"/>
  <c r="H213" i="2"/>
  <c r="B214" i="2"/>
  <c r="C214" i="2"/>
  <c r="D214" i="2"/>
  <c r="E214" i="2"/>
  <c r="F214" i="2"/>
  <c r="G214" i="2"/>
  <c r="H214" i="2"/>
  <c r="B215" i="2"/>
  <c r="C215" i="2"/>
  <c r="D215" i="2"/>
  <c r="E215" i="2"/>
  <c r="F215" i="2"/>
  <c r="G215" i="2"/>
  <c r="H215" i="2"/>
  <c r="B216" i="2"/>
  <c r="C216" i="2"/>
  <c r="D216" i="2"/>
  <c r="E216" i="2"/>
  <c r="F216" i="2"/>
  <c r="G216" i="2"/>
  <c r="H216" i="2"/>
  <c r="B217" i="2"/>
  <c r="C217" i="2"/>
  <c r="D217" i="2"/>
  <c r="E217" i="2"/>
  <c r="F217" i="2"/>
  <c r="G217" i="2"/>
  <c r="H217" i="2"/>
  <c r="B218" i="2"/>
  <c r="C218" i="2"/>
  <c r="D218" i="2"/>
  <c r="E218" i="2"/>
  <c r="F218" i="2"/>
  <c r="G218" i="2"/>
  <c r="H218" i="2"/>
  <c r="B219" i="2"/>
  <c r="C219" i="2"/>
  <c r="D219" i="2"/>
  <c r="E219" i="2"/>
  <c r="F219" i="2"/>
  <c r="G219" i="2"/>
  <c r="H219" i="2"/>
  <c r="B220" i="2"/>
  <c r="C220" i="2"/>
  <c r="D220" i="2"/>
  <c r="E220" i="2"/>
  <c r="F220" i="2"/>
  <c r="G220" i="2"/>
  <c r="H220" i="2"/>
  <c r="B221" i="2"/>
  <c r="C221" i="2"/>
  <c r="D221" i="2"/>
  <c r="E221" i="2"/>
  <c r="F221" i="2"/>
  <c r="G221" i="2"/>
  <c r="H221" i="2"/>
  <c r="B222" i="2"/>
  <c r="C222" i="2"/>
  <c r="D222" i="2"/>
  <c r="E222" i="2"/>
  <c r="F222" i="2"/>
  <c r="G222" i="2"/>
  <c r="H222" i="2"/>
  <c r="B223" i="2"/>
  <c r="C223" i="2"/>
  <c r="D223" i="2"/>
  <c r="E223" i="2"/>
  <c r="F223" i="2"/>
  <c r="G223" i="2"/>
  <c r="H223" i="2"/>
  <c r="B224" i="2"/>
  <c r="C224" i="2"/>
  <c r="D224" i="2"/>
  <c r="E224" i="2"/>
  <c r="F224" i="2"/>
  <c r="G224" i="2"/>
  <c r="H224" i="2"/>
  <c r="B225" i="2"/>
  <c r="C225" i="2"/>
  <c r="D225" i="2"/>
  <c r="E225" i="2"/>
  <c r="F225" i="2"/>
  <c r="G225" i="2"/>
  <c r="H225" i="2"/>
  <c r="B226" i="2"/>
  <c r="C226" i="2"/>
  <c r="D226" i="2"/>
  <c r="E226" i="2"/>
  <c r="F226" i="2"/>
  <c r="G226" i="2"/>
  <c r="H226" i="2"/>
  <c r="B227" i="2"/>
  <c r="C227" i="2"/>
  <c r="D227" i="2"/>
  <c r="E227" i="2"/>
  <c r="F227" i="2"/>
  <c r="G227" i="2"/>
  <c r="H227" i="2"/>
  <c r="B228" i="2"/>
  <c r="C228" i="2"/>
  <c r="D228" i="2"/>
  <c r="E228" i="2"/>
  <c r="F228" i="2"/>
  <c r="G228" i="2"/>
  <c r="H228" i="2"/>
  <c r="C232" i="2"/>
  <c r="D232" i="2"/>
  <c r="E232" i="2"/>
  <c r="F232" i="2"/>
  <c r="G232" i="2"/>
  <c r="H232" i="2"/>
  <c r="B233" i="2"/>
  <c r="C233" i="2"/>
  <c r="D233" i="2"/>
  <c r="E233" i="2"/>
  <c r="F233" i="2"/>
  <c r="G233" i="2"/>
  <c r="H233" i="2"/>
  <c r="B234" i="2"/>
  <c r="C234" i="2"/>
  <c r="D234" i="2"/>
  <c r="E234" i="2"/>
  <c r="F234" i="2"/>
  <c r="G234" i="2"/>
  <c r="H234" i="2"/>
  <c r="B235" i="2"/>
  <c r="C235" i="2"/>
  <c r="D235" i="2"/>
  <c r="E235" i="2"/>
  <c r="F235" i="2"/>
  <c r="G235" i="2"/>
  <c r="H235" i="2"/>
  <c r="B236" i="2"/>
  <c r="C236" i="2"/>
  <c r="D236" i="2"/>
  <c r="E236" i="2"/>
  <c r="F236" i="2"/>
  <c r="G236" i="2"/>
  <c r="H236" i="2"/>
  <c r="B237" i="2"/>
  <c r="C237" i="2"/>
  <c r="D237" i="2"/>
  <c r="E237" i="2"/>
  <c r="F237" i="2"/>
  <c r="G237" i="2"/>
  <c r="H237" i="2"/>
  <c r="B238" i="2"/>
  <c r="C238" i="2"/>
  <c r="D238" i="2"/>
  <c r="E238" i="2"/>
  <c r="F238" i="2"/>
  <c r="G238" i="2"/>
  <c r="H238" i="2"/>
  <c r="B239" i="2"/>
  <c r="C239" i="2"/>
  <c r="D239" i="2"/>
  <c r="E239" i="2"/>
  <c r="F239" i="2"/>
  <c r="G239" i="2"/>
  <c r="H239" i="2"/>
  <c r="B240" i="2"/>
  <c r="C240" i="2"/>
  <c r="D240" i="2"/>
  <c r="E240" i="2"/>
  <c r="F240" i="2"/>
  <c r="G240" i="2"/>
  <c r="H240" i="2"/>
  <c r="B241" i="2"/>
  <c r="C241" i="2"/>
  <c r="D241" i="2"/>
  <c r="E241" i="2"/>
  <c r="F241" i="2"/>
  <c r="G241" i="2"/>
  <c r="H241" i="2"/>
  <c r="B242" i="2"/>
  <c r="C242" i="2"/>
  <c r="D242" i="2"/>
  <c r="E242" i="2"/>
  <c r="F242" i="2"/>
  <c r="G242" i="2"/>
  <c r="H242" i="2"/>
  <c r="B243" i="2"/>
  <c r="C243" i="2"/>
  <c r="D243" i="2"/>
  <c r="E243" i="2"/>
  <c r="F243" i="2"/>
  <c r="G243" i="2"/>
  <c r="H243" i="2"/>
  <c r="B244" i="2"/>
  <c r="C244" i="2"/>
  <c r="D244" i="2"/>
  <c r="E244" i="2"/>
  <c r="F244" i="2"/>
  <c r="G244" i="2"/>
  <c r="H244" i="2"/>
  <c r="B245" i="2"/>
  <c r="C245" i="2"/>
  <c r="D245" i="2"/>
  <c r="E245" i="2"/>
  <c r="F245" i="2"/>
  <c r="G245" i="2"/>
  <c r="H245" i="2"/>
  <c r="B246" i="2"/>
  <c r="C246" i="2"/>
  <c r="D246" i="2"/>
  <c r="E246" i="2"/>
  <c r="F246" i="2"/>
  <c r="G246" i="2"/>
  <c r="H246" i="2"/>
  <c r="B247" i="2"/>
  <c r="C247" i="2"/>
  <c r="D247" i="2"/>
  <c r="E247" i="2"/>
  <c r="F247" i="2"/>
  <c r="G247" i="2"/>
  <c r="H247" i="2"/>
  <c r="B248" i="2"/>
  <c r="C248" i="2"/>
  <c r="D248" i="2"/>
  <c r="E248" i="2"/>
  <c r="F248" i="2"/>
  <c r="G248" i="2"/>
  <c r="H248" i="2"/>
  <c r="B249" i="2"/>
  <c r="C249" i="2"/>
  <c r="D249" i="2"/>
  <c r="E249" i="2"/>
  <c r="F249" i="2"/>
  <c r="G249" i="2"/>
  <c r="H249" i="2"/>
  <c r="C253" i="2"/>
  <c r="D253" i="2"/>
  <c r="E253" i="2"/>
  <c r="F253" i="2"/>
  <c r="G253" i="2"/>
  <c r="H253" i="2"/>
  <c r="J253" i="2"/>
  <c r="K253" i="2"/>
  <c r="L253" i="2"/>
  <c r="M253" i="2"/>
  <c r="N253" i="2"/>
  <c r="O253" i="2"/>
  <c r="P253" i="2"/>
  <c r="Q253" i="2"/>
  <c r="B254" i="2"/>
  <c r="C254" i="2"/>
  <c r="D254" i="2"/>
  <c r="E254" i="2"/>
  <c r="F254" i="2"/>
  <c r="G254" i="2"/>
  <c r="H254" i="2"/>
  <c r="K254" i="2"/>
  <c r="L254" i="2"/>
  <c r="M254" i="2"/>
  <c r="N254" i="2"/>
  <c r="O254" i="2"/>
  <c r="P254" i="2"/>
  <c r="Q254" i="2"/>
  <c r="B255" i="2"/>
  <c r="C255" i="2"/>
  <c r="D255" i="2"/>
  <c r="E255" i="2"/>
  <c r="F255" i="2"/>
  <c r="G255" i="2"/>
  <c r="H255" i="2"/>
  <c r="K255" i="2"/>
  <c r="L255" i="2"/>
  <c r="M255" i="2"/>
  <c r="N255" i="2"/>
  <c r="O255" i="2"/>
  <c r="P255" i="2"/>
  <c r="Q255" i="2"/>
  <c r="B256" i="2"/>
  <c r="C256" i="2"/>
  <c r="D256" i="2"/>
  <c r="E256" i="2"/>
  <c r="F256" i="2"/>
  <c r="G256" i="2"/>
  <c r="H256" i="2"/>
  <c r="K256" i="2"/>
  <c r="L256" i="2"/>
  <c r="M256" i="2"/>
  <c r="N256" i="2"/>
  <c r="O256" i="2"/>
  <c r="P256" i="2"/>
  <c r="Q256" i="2"/>
  <c r="B257" i="2"/>
  <c r="C257" i="2"/>
  <c r="D257" i="2"/>
  <c r="E257" i="2"/>
  <c r="F257" i="2"/>
  <c r="G257" i="2"/>
  <c r="H257" i="2"/>
  <c r="K257" i="2"/>
  <c r="L257" i="2"/>
  <c r="M257" i="2"/>
  <c r="N257" i="2"/>
  <c r="O257" i="2"/>
  <c r="P257" i="2"/>
  <c r="Q257" i="2"/>
  <c r="B258" i="2"/>
  <c r="C258" i="2"/>
  <c r="D258" i="2"/>
  <c r="E258" i="2"/>
  <c r="F258" i="2"/>
  <c r="G258" i="2"/>
  <c r="H258" i="2"/>
  <c r="K258" i="2"/>
  <c r="L258" i="2"/>
  <c r="M258" i="2"/>
  <c r="N258" i="2"/>
  <c r="O258" i="2"/>
  <c r="P258" i="2"/>
  <c r="Q258" i="2"/>
  <c r="B259" i="2"/>
  <c r="C259" i="2"/>
  <c r="D259" i="2"/>
  <c r="E259" i="2"/>
  <c r="F259" i="2"/>
  <c r="G259" i="2"/>
  <c r="H259" i="2"/>
  <c r="K259" i="2"/>
  <c r="L259" i="2"/>
  <c r="M259" i="2"/>
  <c r="N259" i="2"/>
  <c r="O259" i="2"/>
  <c r="P259" i="2"/>
  <c r="Q259" i="2"/>
  <c r="B260" i="2"/>
  <c r="C260" i="2"/>
  <c r="D260" i="2"/>
  <c r="E260" i="2"/>
  <c r="F260" i="2"/>
  <c r="G260" i="2"/>
  <c r="H260" i="2"/>
  <c r="K260" i="2"/>
  <c r="L260" i="2"/>
  <c r="M260" i="2"/>
  <c r="N260" i="2"/>
  <c r="O260" i="2"/>
  <c r="P260" i="2"/>
  <c r="Q260" i="2"/>
  <c r="C261" i="2"/>
  <c r="D261" i="2"/>
  <c r="E261" i="2"/>
  <c r="F261" i="2"/>
  <c r="G261" i="2"/>
  <c r="H261" i="2"/>
  <c r="K261" i="2"/>
  <c r="L261" i="2"/>
  <c r="M261" i="2"/>
  <c r="N261" i="2"/>
  <c r="O261" i="2"/>
  <c r="P261" i="2"/>
  <c r="Q261" i="2"/>
  <c r="C262" i="2"/>
  <c r="D262" i="2"/>
  <c r="E262" i="2"/>
  <c r="F262" i="2"/>
  <c r="G262" i="2"/>
  <c r="H262" i="2"/>
  <c r="K262" i="2"/>
  <c r="L262" i="2"/>
  <c r="M262" i="2"/>
  <c r="N262" i="2"/>
  <c r="O262" i="2"/>
  <c r="P262" i="2"/>
  <c r="Q262" i="2"/>
  <c r="B263" i="2"/>
  <c r="C263" i="2"/>
  <c r="D263" i="2"/>
  <c r="E263" i="2"/>
  <c r="F263" i="2"/>
  <c r="G263" i="2"/>
  <c r="H263" i="2"/>
  <c r="K263" i="2"/>
  <c r="L263" i="2"/>
  <c r="M263" i="2"/>
  <c r="N263" i="2"/>
  <c r="O263" i="2"/>
  <c r="P263" i="2"/>
  <c r="Q263" i="2"/>
  <c r="B264" i="2"/>
  <c r="C264" i="2"/>
  <c r="D264" i="2"/>
  <c r="E264" i="2"/>
  <c r="F264" i="2"/>
  <c r="G264" i="2"/>
  <c r="H264" i="2"/>
  <c r="K264" i="2"/>
  <c r="L264" i="2"/>
  <c r="M264" i="2"/>
  <c r="N264" i="2"/>
  <c r="O264" i="2"/>
  <c r="P264" i="2"/>
  <c r="Q264" i="2"/>
  <c r="B265" i="2"/>
  <c r="C265" i="2"/>
  <c r="D265" i="2"/>
  <c r="E265" i="2"/>
  <c r="F265" i="2"/>
  <c r="G265" i="2"/>
  <c r="H265" i="2"/>
  <c r="K265" i="2"/>
  <c r="L265" i="2"/>
  <c r="M265" i="2"/>
  <c r="N265" i="2"/>
  <c r="O265" i="2"/>
  <c r="P265" i="2"/>
  <c r="Q265" i="2"/>
  <c r="B266" i="2"/>
  <c r="C266" i="2"/>
  <c r="D266" i="2"/>
  <c r="E266" i="2"/>
  <c r="F266" i="2"/>
  <c r="G266" i="2"/>
  <c r="H266" i="2"/>
  <c r="K266" i="2"/>
  <c r="L266" i="2"/>
  <c r="M266" i="2"/>
  <c r="N266" i="2"/>
  <c r="O266" i="2"/>
  <c r="P266" i="2"/>
  <c r="Q266" i="2"/>
  <c r="B267" i="2"/>
  <c r="C267" i="2"/>
  <c r="D267" i="2"/>
  <c r="E267" i="2"/>
  <c r="F267" i="2"/>
  <c r="G267" i="2"/>
  <c r="H267" i="2"/>
  <c r="K267" i="2"/>
  <c r="L267" i="2"/>
  <c r="M267" i="2"/>
  <c r="N267" i="2"/>
  <c r="O267" i="2"/>
  <c r="P267" i="2"/>
  <c r="Q267" i="2"/>
  <c r="B268" i="2"/>
  <c r="C268" i="2"/>
  <c r="D268" i="2"/>
  <c r="E268" i="2"/>
  <c r="F268" i="2"/>
  <c r="G268" i="2"/>
  <c r="H268" i="2"/>
  <c r="K268" i="2"/>
  <c r="L268" i="2"/>
  <c r="M268" i="2"/>
  <c r="N268" i="2"/>
  <c r="O268" i="2"/>
  <c r="P268" i="2"/>
  <c r="Q268" i="2"/>
  <c r="B269" i="2"/>
  <c r="C269" i="2"/>
  <c r="D269" i="2"/>
  <c r="E269" i="2"/>
  <c r="F269" i="2"/>
  <c r="G269" i="2"/>
  <c r="H269" i="2"/>
  <c r="K269" i="2"/>
  <c r="L269" i="2"/>
  <c r="M269" i="2"/>
  <c r="N269" i="2"/>
  <c r="O269" i="2"/>
  <c r="P269" i="2"/>
  <c r="Q269" i="2"/>
  <c r="B270" i="2"/>
  <c r="C270" i="2"/>
  <c r="D270" i="2"/>
  <c r="E270" i="2"/>
  <c r="F270" i="2"/>
  <c r="G270" i="2"/>
  <c r="H270" i="2"/>
  <c r="K270" i="2"/>
  <c r="L270" i="2"/>
  <c r="M270" i="2"/>
  <c r="N270" i="2"/>
  <c r="O270" i="2"/>
  <c r="P270" i="2"/>
  <c r="Q270" i="2"/>
  <c r="B271" i="2"/>
  <c r="C271" i="2"/>
  <c r="D271" i="2"/>
  <c r="E271" i="2"/>
  <c r="F271" i="2"/>
  <c r="G271" i="2"/>
  <c r="H271" i="2"/>
  <c r="C275" i="2"/>
  <c r="D275" i="2"/>
  <c r="E275" i="2"/>
  <c r="F275" i="2"/>
  <c r="G275" i="2"/>
  <c r="H275" i="2"/>
  <c r="J275" i="2"/>
  <c r="L275" i="2"/>
  <c r="M275" i="2"/>
  <c r="N275" i="2"/>
  <c r="O275" i="2"/>
  <c r="P275" i="2"/>
  <c r="Q275" i="2"/>
  <c r="B276" i="2"/>
  <c r="C276" i="2"/>
  <c r="D276" i="2"/>
  <c r="E276" i="2"/>
  <c r="F276" i="2"/>
  <c r="G276" i="2"/>
  <c r="H276" i="2"/>
  <c r="K276" i="2"/>
  <c r="L276" i="2"/>
  <c r="M276" i="2"/>
  <c r="N276" i="2"/>
  <c r="O276" i="2"/>
  <c r="P276" i="2"/>
  <c r="Q276" i="2"/>
  <c r="B277" i="2"/>
  <c r="C277" i="2"/>
  <c r="D277" i="2"/>
  <c r="E277" i="2"/>
  <c r="F277" i="2"/>
  <c r="G277" i="2"/>
  <c r="H277" i="2"/>
  <c r="K277" i="2"/>
  <c r="L277" i="2"/>
  <c r="M277" i="2"/>
  <c r="N277" i="2"/>
  <c r="O277" i="2"/>
  <c r="P277" i="2"/>
  <c r="Q277" i="2"/>
  <c r="B278" i="2"/>
  <c r="C278" i="2"/>
  <c r="D278" i="2"/>
  <c r="E278" i="2"/>
  <c r="F278" i="2"/>
  <c r="G278" i="2"/>
  <c r="H278" i="2"/>
  <c r="K278" i="2"/>
  <c r="L278" i="2"/>
  <c r="M278" i="2"/>
  <c r="N278" i="2"/>
  <c r="O278" i="2"/>
  <c r="P278" i="2"/>
  <c r="Q278" i="2"/>
  <c r="B279" i="2"/>
  <c r="C279" i="2"/>
  <c r="D279" i="2"/>
  <c r="E279" i="2"/>
  <c r="F279" i="2"/>
  <c r="G279" i="2"/>
  <c r="H279" i="2"/>
  <c r="K279" i="2"/>
  <c r="L279" i="2"/>
  <c r="M279" i="2"/>
  <c r="N279" i="2"/>
  <c r="O279" i="2"/>
  <c r="P279" i="2"/>
  <c r="Q279" i="2"/>
  <c r="B280" i="2"/>
  <c r="C280" i="2"/>
  <c r="D280" i="2"/>
  <c r="E280" i="2"/>
  <c r="F280" i="2"/>
  <c r="G280" i="2"/>
  <c r="H280" i="2"/>
  <c r="K280" i="2"/>
  <c r="L280" i="2"/>
  <c r="M280" i="2"/>
  <c r="N280" i="2"/>
  <c r="O280" i="2"/>
  <c r="P280" i="2"/>
  <c r="Q280" i="2"/>
  <c r="B281" i="2"/>
  <c r="C281" i="2"/>
  <c r="D281" i="2"/>
  <c r="E281" i="2"/>
  <c r="F281" i="2"/>
  <c r="G281" i="2"/>
  <c r="H281" i="2"/>
  <c r="K281" i="2"/>
  <c r="L281" i="2"/>
  <c r="M281" i="2"/>
  <c r="N281" i="2"/>
  <c r="O281" i="2"/>
  <c r="P281" i="2"/>
  <c r="Q281" i="2"/>
  <c r="B282" i="2"/>
  <c r="C282" i="2"/>
  <c r="D282" i="2"/>
  <c r="E282" i="2"/>
  <c r="F282" i="2"/>
  <c r="G282" i="2"/>
  <c r="H282" i="2"/>
  <c r="K282" i="2"/>
  <c r="L282" i="2"/>
  <c r="M282" i="2"/>
  <c r="N282" i="2"/>
  <c r="O282" i="2"/>
  <c r="P282" i="2"/>
  <c r="Q282" i="2"/>
  <c r="B283" i="2"/>
  <c r="C283" i="2"/>
  <c r="D283" i="2"/>
  <c r="E283" i="2"/>
  <c r="F283" i="2"/>
  <c r="G283" i="2"/>
  <c r="H283" i="2"/>
  <c r="K283" i="2"/>
  <c r="L283" i="2"/>
  <c r="M283" i="2"/>
  <c r="N283" i="2"/>
  <c r="O283" i="2"/>
  <c r="P283" i="2"/>
  <c r="Q283" i="2"/>
  <c r="B284" i="2"/>
  <c r="C284" i="2"/>
  <c r="D284" i="2"/>
  <c r="E284" i="2"/>
  <c r="F284" i="2"/>
  <c r="G284" i="2"/>
  <c r="H284" i="2"/>
  <c r="K284" i="2"/>
  <c r="L284" i="2"/>
  <c r="M284" i="2"/>
  <c r="N284" i="2"/>
  <c r="O284" i="2"/>
  <c r="P284" i="2"/>
  <c r="Q284" i="2"/>
  <c r="B285" i="2"/>
  <c r="C285" i="2"/>
  <c r="D285" i="2"/>
  <c r="E285" i="2"/>
  <c r="F285" i="2"/>
  <c r="G285" i="2"/>
  <c r="H285" i="2"/>
  <c r="K285" i="2"/>
  <c r="L285" i="2"/>
  <c r="M285" i="2"/>
  <c r="N285" i="2"/>
  <c r="O285" i="2"/>
  <c r="P285" i="2"/>
  <c r="Q285" i="2"/>
  <c r="B286" i="2"/>
  <c r="C286" i="2"/>
  <c r="D286" i="2"/>
  <c r="E286" i="2"/>
  <c r="F286" i="2"/>
  <c r="G286" i="2"/>
  <c r="H286" i="2"/>
  <c r="K286" i="2"/>
  <c r="L286" i="2"/>
  <c r="M286" i="2"/>
  <c r="N286" i="2"/>
  <c r="O286" i="2"/>
  <c r="P286" i="2"/>
  <c r="Q286" i="2"/>
  <c r="B287" i="2"/>
  <c r="C287" i="2"/>
  <c r="D287" i="2"/>
  <c r="E287" i="2"/>
  <c r="F287" i="2"/>
  <c r="G287" i="2"/>
  <c r="H287" i="2"/>
  <c r="K287" i="2"/>
  <c r="L287" i="2"/>
  <c r="M287" i="2"/>
  <c r="N287" i="2"/>
  <c r="O287" i="2"/>
  <c r="P287" i="2"/>
  <c r="Q287" i="2"/>
  <c r="B288" i="2"/>
  <c r="C288" i="2"/>
  <c r="D288" i="2"/>
  <c r="E288" i="2"/>
  <c r="F288" i="2"/>
  <c r="G288" i="2"/>
  <c r="H288" i="2"/>
  <c r="K288" i="2"/>
  <c r="L288" i="2"/>
  <c r="M288" i="2"/>
  <c r="N288" i="2"/>
  <c r="O288" i="2"/>
  <c r="P288" i="2"/>
  <c r="Q288" i="2"/>
  <c r="B289" i="2"/>
  <c r="C289" i="2"/>
  <c r="D289" i="2"/>
  <c r="E289" i="2"/>
  <c r="F289" i="2"/>
  <c r="G289" i="2"/>
  <c r="H289" i="2"/>
  <c r="K289" i="2"/>
  <c r="L289" i="2"/>
  <c r="M289" i="2"/>
  <c r="N289" i="2"/>
  <c r="O289" i="2"/>
  <c r="P289" i="2"/>
  <c r="Q289" i="2"/>
  <c r="B290" i="2"/>
  <c r="C290" i="2"/>
  <c r="D290" i="2"/>
  <c r="E290" i="2"/>
  <c r="F290" i="2"/>
  <c r="G290" i="2"/>
  <c r="H290" i="2"/>
  <c r="K290" i="2"/>
  <c r="L290" i="2"/>
  <c r="M290" i="2"/>
  <c r="N290" i="2"/>
  <c r="O290" i="2"/>
  <c r="P290" i="2"/>
  <c r="Q290" i="2"/>
  <c r="B291" i="2"/>
  <c r="C291" i="2"/>
  <c r="D291" i="2"/>
  <c r="E291" i="2"/>
  <c r="F291" i="2"/>
  <c r="G291" i="2"/>
  <c r="H291" i="2"/>
  <c r="K291" i="2"/>
  <c r="L291" i="2"/>
  <c r="M291" i="2"/>
  <c r="N291" i="2"/>
  <c r="O291" i="2"/>
  <c r="P291" i="2"/>
  <c r="Q291" i="2"/>
  <c r="B292" i="2"/>
  <c r="C292" i="2"/>
  <c r="D292" i="2"/>
  <c r="E292" i="2"/>
  <c r="F292" i="2"/>
  <c r="G292" i="2"/>
  <c r="H292" i="2"/>
  <c r="K292" i="2"/>
  <c r="L292" i="2"/>
  <c r="M292" i="2"/>
  <c r="N292" i="2"/>
  <c r="O292" i="2"/>
  <c r="P292" i="2"/>
  <c r="Q292" i="2"/>
  <c r="B293" i="2"/>
  <c r="C293" i="2"/>
  <c r="D293" i="2"/>
  <c r="E293" i="2"/>
  <c r="F293" i="2"/>
  <c r="G293" i="2"/>
  <c r="H293" i="2"/>
  <c r="C297" i="2"/>
  <c r="D297" i="2"/>
  <c r="E297" i="2"/>
  <c r="F297" i="2"/>
  <c r="G297" i="2"/>
  <c r="H297" i="2"/>
  <c r="J297" i="2"/>
  <c r="L297" i="2"/>
  <c r="M297" i="2"/>
  <c r="N297" i="2"/>
  <c r="O297" i="2"/>
  <c r="P297" i="2"/>
  <c r="Q297" i="2"/>
  <c r="B298" i="2"/>
  <c r="C298" i="2"/>
  <c r="D298" i="2"/>
  <c r="E298" i="2"/>
  <c r="F298" i="2"/>
  <c r="G298" i="2"/>
  <c r="H298" i="2"/>
  <c r="K298" i="2"/>
  <c r="L298" i="2"/>
  <c r="M298" i="2"/>
  <c r="N298" i="2"/>
  <c r="O298" i="2"/>
  <c r="P298" i="2"/>
  <c r="Q298" i="2"/>
  <c r="B299" i="2"/>
  <c r="C299" i="2"/>
  <c r="D299" i="2"/>
  <c r="E299" i="2"/>
  <c r="F299" i="2"/>
  <c r="G299" i="2"/>
  <c r="H299" i="2"/>
  <c r="K299" i="2"/>
  <c r="L299" i="2"/>
  <c r="M299" i="2"/>
  <c r="N299" i="2"/>
  <c r="O299" i="2"/>
  <c r="P299" i="2"/>
  <c r="Q299" i="2"/>
  <c r="B300" i="2"/>
  <c r="C300" i="2"/>
  <c r="D300" i="2"/>
  <c r="E300" i="2"/>
  <c r="F300" i="2"/>
  <c r="G300" i="2"/>
  <c r="H300" i="2"/>
  <c r="K300" i="2"/>
  <c r="L300" i="2"/>
  <c r="M300" i="2"/>
  <c r="N300" i="2"/>
  <c r="O300" i="2"/>
  <c r="P300" i="2"/>
  <c r="Q300" i="2"/>
  <c r="B301" i="2"/>
  <c r="C301" i="2"/>
  <c r="D301" i="2"/>
  <c r="E301" i="2"/>
  <c r="F301" i="2"/>
  <c r="G301" i="2"/>
  <c r="H301" i="2"/>
  <c r="K301" i="2"/>
  <c r="L301" i="2"/>
  <c r="M301" i="2"/>
  <c r="N301" i="2"/>
  <c r="O301" i="2"/>
  <c r="P301" i="2"/>
  <c r="Q301" i="2"/>
  <c r="B302" i="2"/>
  <c r="C302" i="2"/>
  <c r="D302" i="2"/>
  <c r="E302" i="2"/>
  <c r="F302" i="2"/>
  <c r="G302" i="2"/>
  <c r="H302" i="2"/>
  <c r="K302" i="2"/>
  <c r="L302" i="2"/>
  <c r="M302" i="2"/>
  <c r="N302" i="2"/>
  <c r="O302" i="2"/>
  <c r="P302" i="2"/>
  <c r="Q302" i="2"/>
  <c r="B303" i="2"/>
  <c r="C303" i="2"/>
  <c r="D303" i="2"/>
  <c r="E303" i="2"/>
  <c r="F303" i="2"/>
  <c r="G303" i="2"/>
  <c r="H303" i="2"/>
  <c r="K303" i="2"/>
  <c r="L303" i="2"/>
  <c r="M303" i="2"/>
  <c r="N303" i="2"/>
  <c r="O303" i="2"/>
  <c r="P303" i="2"/>
  <c r="Q303" i="2"/>
  <c r="B304" i="2"/>
  <c r="C304" i="2"/>
  <c r="D304" i="2"/>
  <c r="E304" i="2"/>
  <c r="F304" i="2"/>
  <c r="G304" i="2"/>
  <c r="H304" i="2"/>
  <c r="K304" i="2"/>
  <c r="L304" i="2"/>
  <c r="M304" i="2"/>
  <c r="N304" i="2"/>
  <c r="O304" i="2"/>
  <c r="P304" i="2"/>
  <c r="Q304" i="2"/>
  <c r="B305" i="2"/>
  <c r="C305" i="2"/>
  <c r="D305" i="2"/>
  <c r="E305" i="2"/>
  <c r="F305" i="2"/>
  <c r="G305" i="2"/>
  <c r="H305" i="2"/>
  <c r="K305" i="2"/>
  <c r="L305" i="2"/>
  <c r="M305" i="2"/>
  <c r="N305" i="2"/>
  <c r="O305" i="2"/>
  <c r="P305" i="2"/>
  <c r="Q305" i="2"/>
  <c r="B306" i="2"/>
  <c r="C306" i="2"/>
  <c r="D306" i="2"/>
  <c r="E306" i="2"/>
  <c r="F306" i="2"/>
  <c r="G306" i="2"/>
  <c r="H306" i="2"/>
  <c r="K306" i="2"/>
  <c r="L306" i="2"/>
  <c r="M306" i="2"/>
  <c r="N306" i="2"/>
  <c r="O306" i="2"/>
  <c r="P306" i="2"/>
  <c r="Q306" i="2"/>
  <c r="B307" i="2"/>
  <c r="C307" i="2"/>
  <c r="D307" i="2"/>
  <c r="E307" i="2"/>
  <c r="F307" i="2"/>
  <c r="G307" i="2"/>
  <c r="H307" i="2"/>
  <c r="K307" i="2"/>
  <c r="L307" i="2"/>
  <c r="M307" i="2"/>
  <c r="N307" i="2"/>
  <c r="O307" i="2"/>
  <c r="P307" i="2"/>
  <c r="Q307" i="2"/>
  <c r="B308" i="2"/>
  <c r="C308" i="2"/>
  <c r="D308" i="2"/>
  <c r="E308" i="2"/>
  <c r="F308" i="2"/>
  <c r="G308" i="2"/>
  <c r="H308" i="2"/>
  <c r="K308" i="2"/>
  <c r="L308" i="2"/>
  <c r="M308" i="2"/>
  <c r="N308" i="2"/>
  <c r="O308" i="2"/>
  <c r="P308" i="2"/>
  <c r="Q308" i="2"/>
  <c r="B309" i="2"/>
  <c r="C309" i="2"/>
  <c r="D309" i="2"/>
  <c r="E309" i="2"/>
  <c r="F309" i="2"/>
  <c r="G309" i="2"/>
  <c r="H309" i="2"/>
  <c r="K309" i="2"/>
  <c r="L309" i="2"/>
  <c r="M309" i="2"/>
  <c r="N309" i="2"/>
  <c r="O309" i="2"/>
  <c r="P309" i="2"/>
  <c r="Q309" i="2"/>
  <c r="B310" i="2"/>
  <c r="C310" i="2"/>
  <c r="D310" i="2"/>
  <c r="E310" i="2"/>
  <c r="F310" i="2"/>
  <c r="G310" i="2"/>
  <c r="H310" i="2"/>
  <c r="K310" i="2"/>
  <c r="L310" i="2"/>
  <c r="M310" i="2"/>
  <c r="N310" i="2"/>
  <c r="O310" i="2"/>
  <c r="P310" i="2"/>
  <c r="Q310" i="2"/>
  <c r="B311" i="2"/>
  <c r="C311" i="2"/>
  <c r="D311" i="2"/>
  <c r="E311" i="2"/>
  <c r="F311" i="2"/>
  <c r="G311" i="2"/>
  <c r="H311" i="2"/>
  <c r="K311" i="2"/>
  <c r="L311" i="2"/>
  <c r="M311" i="2"/>
  <c r="N311" i="2"/>
  <c r="O311" i="2"/>
  <c r="P311" i="2"/>
  <c r="Q311" i="2"/>
  <c r="B312" i="2"/>
  <c r="C312" i="2"/>
  <c r="D312" i="2"/>
  <c r="E312" i="2"/>
  <c r="F312" i="2"/>
  <c r="G312" i="2"/>
  <c r="H312" i="2"/>
  <c r="K312" i="2"/>
  <c r="L312" i="2"/>
  <c r="M312" i="2"/>
  <c r="N312" i="2"/>
  <c r="O312" i="2"/>
  <c r="P312" i="2"/>
  <c r="Q312" i="2"/>
  <c r="B313" i="2"/>
  <c r="C313" i="2"/>
  <c r="D313" i="2"/>
  <c r="E313" i="2"/>
  <c r="F313" i="2"/>
  <c r="G313" i="2"/>
  <c r="H313" i="2"/>
  <c r="K313" i="2"/>
  <c r="L313" i="2"/>
  <c r="M313" i="2"/>
  <c r="N313" i="2"/>
  <c r="O313" i="2"/>
  <c r="P313" i="2"/>
  <c r="Q313" i="2"/>
  <c r="B314" i="2"/>
  <c r="C314" i="2"/>
  <c r="D314" i="2"/>
  <c r="E314" i="2"/>
  <c r="F314" i="2"/>
  <c r="G314" i="2"/>
  <c r="H314" i="2"/>
  <c r="K314" i="2"/>
  <c r="L314" i="2"/>
  <c r="M314" i="2"/>
  <c r="N314" i="2"/>
  <c r="O314" i="2"/>
  <c r="P314" i="2"/>
  <c r="Q314" i="2"/>
  <c r="B315" i="2"/>
  <c r="C315" i="2"/>
  <c r="D315" i="2"/>
  <c r="E315" i="2"/>
  <c r="F315" i="2"/>
  <c r="G315" i="2"/>
  <c r="H315" i="2"/>
  <c r="C319" i="2"/>
  <c r="D319" i="2"/>
  <c r="E319" i="2"/>
  <c r="F319" i="2"/>
  <c r="G319" i="2"/>
  <c r="H319" i="2"/>
  <c r="J319" i="2"/>
  <c r="L319" i="2"/>
  <c r="M319" i="2"/>
  <c r="N319" i="2"/>
  <c r="O319" i="2"/>
  <c r="P319" i="2"/>
  <c r="Q319" i="2"/>
  <c r="B320" i="2"/>
  <c r="C320" i="2"/>
  <c r="D320" i="2"/>
  <c r="E320" i="2"/>
  <c r="F320" i="2"/>
  <c r="G320" i="2"/>
  <c r="H320" i="2"/>
  <c r="K320" i="2"/>
  <c r="L320" i="2"/>
  <c r="M320" i="2"/>
  <c r="N320" i="2"/>
  <c r="O320" i="2"/>
  <c r="P320" i="2"/>
  <c r="Q320" i="2"/>
  <c r="B321" i="2"/>
  <c r="C321" i="2"/>
  <c r="D321" i="2"/>
  <c r="E321" i="2"/>
  <c r="F321" i="2"/>
  <c r="G321" i="2"/>
  <c r="H321" i="2"/>
  <c r="K321" i="2"/>
  <c r="L321" i="2"/>
  <c r="M321" i="2"/>
  <c r="N321" i="2"/>
  <c r="O321" i="2"/>
  <c r="P321" i="2"/>
  <c r="Q321" i="2"/>
  <c r="B322" i="2"/>
  <c r="C322" i="2"/>
  <c r="D322" i="2"/>
  <c r="E322" i="2"/>
  <c r="F322" i="2"/>
  <c r="G322" i="2"/>
  <c r="H322" i="2"/>
  <c r="K322" i="2"/>
  <c r="L322" i="2"/>
  <c r="M322" i="2"/>
  <c r="N322" i="2"/>
  <c r="O322" i="2"/>
  <c r="P322" i="2"/>
  <c r="Q322" i="2"/>
  <c r="B323" i="2"/>
  <c r="C323" i="2"/>
  <c r="D323" i="2"/>
  <c r="E323" i="2"/>
  <c r="F323" i="2"/>
  <c r="G323" i="2"/>
  <c r="H323" i="2"/>
  <c r="K323" i="2"/>
  <c r="L323" i="2"/>
  <c r="M323" i="2"/>
  <c r="N323" i="2"/>
  <c r="O323" i="2"/>
  <c r="P323" i="2"/>
  <c r="Q323" i="2"/>
  <c r="B324" i="2"/>
  <c r="C324" i="2"/>
  <c r="D324" i="2"/>
  <c r="E324" i="2"/>
  <c r="F324" i="2"/>
  <c r="G324" i="2"/>
  <c r="H324" i="2"/>
  <c r="K324" i="2"/>
  <c r="L324" i="2"/>
  <c r="M324" i="2"/>
  <c r="N324" i="2"/>
  <c r="O324" i="2"/>
  <c r="P324" i="2"/>
  <c r="Q324" i="2"/>
  <c r="B325" i="2"/>
  <c r="C325" i="2"/>
  <c r="D325" i="2"/>
  <c r="E325" i="2"/>
  <c r="F325" i="2"/>
  <c r="G325" i="2"/>
  <c r="H325" i="2"/>
  <c r="K325" i="2"/>
  <c r="L325" i="2"/>
  <c r="M325" i="2"/>
  <c r="N325" i="2"/>
  <c r="O325" i="2"/>
  <c r="P325" i="2"/>
  <c r="Q325" i="2"/>
  <c r="B326" i="2"/>
  <c r="C326" i="2"/>
  <c r="D326" i="2"/>
  <c r="E326" i="2"/>
  <c r="F326" i="2"/>
  <c r="G326" i="2"/>
  <c r="H326" i="2"/>
  <c r="K326" i="2"/>
  <c r="L326" i="2"/>
  <c r="M326" i="2"/>
  <c r="N326" i="2"/>
  <c r="O326" i="2"/>
  <c r="P326" i="2"/>
  <c r="Q326" i="2"/>
  <c r="B327" i="2"/>
  <c r="C327" i="2"/>
  <c r="D327" i="2"/>
  <c r="E327" i="2"/>
  <c r="F327" i="2"/>
  <c r="G327" i="2"/>
  <c r="H327" i="2"/>
  <c r="K327" i="2"/>
  <c r="L327" i="2"/>
  <c r="M327" i="2"/>
  <c r="N327" i="2"/>
  <c r="O327" i="2"/>
  <c r="P327" i="2"/>
  <c r="Q327" i="2"/>
  <c r="B328" i="2"/>
  <c r="C328" i="2"/>
  <c r="D328" i="2"/>
  <c r="E328" i="2"/>
  <c r="F328" i="2"/>
  <c r="G328" i="2"/>
  <c r="H328" i="2"/>
  <c r="K328" i="2"/>
  <c r="L328" i="2"/>
  <c r="M328" i="2"/>
  <c r="N328" i="2"/>
  <c r="O328" i="2"/>
  <c r="P328" i="2"/>
  <c r="Q328" i="2"/>
  <c r="B329" i="2"/>
  <c r="C329" i="2"/>
  <c r="D329" i="2"/>
  <c r="E329" i="2"/>
  <c r="F329" i="2"/>
  <c r="G329" i="2"/>
  <c r="H329" i="2"/>
  <c r="K329" i="2"/>
  <c r="L329" i="2"/>
  <c r="M329" i="2"/>
  <c r="N329" i="2"/>
  <c r="O329" i="2"/>
  <c r="P329" i="2"/>
  <c r="Q329" i="2"/>
  <c r="B330" i="2"/>
  <c r="C330" i="2"/>
  <c r="D330" i="2"/>
  <c r="E330" i="2"/>
  <c r="F330" i="2"/>
  <c r="G330" i="2"/>
  <c r="H330" i="2"/>
  <c r="K330" i="2"/>
  <c r="L330" i="2"/>
  <c r="M330" i="2"/>
  <c r="N330" i="2"/>
  <c r="O330" i="2"/>
  <c r="P330" i="2"/>
  <c r="Q330" i="2"/>
  <c r="B331" i="2"/>
  <c r="C331" i="2"/>
  <c r="D331" i="2"/>
  <c r="E331" i="2"/>
  <c r="F331" i="2"/>
  <c r="G331" i="2"/>
  <c r="H331" i="2"/>
  <c r="K331" i="2"/>
  <c r="L331" i="2"/>
  <c r="M331" i="2"/>
  <c r="N331" i="2"/>
  <c r="O331" i="2"/>
  <c r="P331" i="2"/>
  <c r="Q331" i="2"/>
  <c r="B332" i="2"/>
  <c r="C332" i="2"/>
  <c r="D332" i="2"/>
  <c r="E332" i="2"/>
  <c r="F332" i="2"/>
  <c r="G332" i="2"/>
  <c r="H332" i="2"/>
  <c r="K332" i="2"/>
  <c r="L332" i="2"/>
  <c r="M332" i="2"/>
  <c r="N332" i="2"/>
  <c r="O332" i="2"/>
  <c r="P332" i="2"/>
  <c r="Q332" i="2"/>
  <c r="B333" i="2"/>
  <c r="C333" i="2"/>
  <c r="D333" i="2"/>
  <c r="E333" i="2"/>
  <c r="F333" i="2"/>
  <c r="G333" i="2"/>
  <c r="H333" i="2"/>
  <c r="K333" i="2"/>
  <c r="L333" i="2"/>
  <c r="M333" i="2"/>
  <c r="N333" i="2"/>
  <c r="O333" i="2"/>
  <c r="P333" i="2"/>
  <c r="Q333" i="2"/>
  <c r="B334" i="2"/>
  <c r="C334" i="2"/>
  <c r="D334" i="2"/>
  <c r="E334" i="2"/>
  <c r="F334" i="2"/>
  <c r="G334" i="2"/>
  <c r="H334" i="2"/>
  <c r="K334" i="2"/>
  <c r="L334" i="2"/>
  <c r="M334" i="2"/>
  <c r="N334" i="2"/>
  <c r="O334" i="2"/>
  <c r="P334" i="2"/>
  <c r="Q334" i="2"/>
  <c r="B335" i="2"/>
  <c r="C335" i="2"/>
  <c r="D335" i="2"/>
  <c r="E335" i="2"/>
  <c r="F335" i="2"/>
  <c r="G335" i="2"/>
  <c r="H335" i="2"/>
  <c r="K335" i="2"/>
  <c r="L335" i="2"/>
  <c r="M335" i="2"/>
  <c r="N335" i="2"/>
  <c r="O335" i="2"/>
  <c r="P335" i="2"/>
  <c r="Q335" i="2"/>
  <c r="B336" i="2"/>
  <c r="C336" i="2"/>
  <c r="D336" i="2"/>
  <c r="E336" i="2"/>
  <c r="F336" i="2"/>
  <c r="G336" i="2"/>
  <c r="H336" i="2"/>
  <c r="K336" i="2"/>
  <c r="L336" i="2"/>
  <c r="M336" i="2"/>
  <c r="N336" i="2"/>
  <c r="O336" i="2"/>
  <c r="P336" i="2"/>
  <c r="Q336" i="2"/>
  <c r="B337" i="2"/>
  <c r="C337" i="2"/>
  <c r="D337" i="2"/>
  <c r="E337" i="2"/>
  <c r="F337" i="2"/>
  <c r="G337" i="2"/>
  <c r="H337" i="2"/>
  <c r="C341" i="2"/>
  <c r="D341" i="2"/>
  <c r="E341" i="2"/>
  <c r="F341" i="2"/>
  <c r="G341" i="2"/>
  <c r="H341" i="2"/>
  <c r="J341" i="2"/>
  <c r="L341" i="2"/>
  <c r="M341" i="2"/>
  <c r="N341" i="2"/>
  <c r="O341" i="2"/>
  <c r="P341" i="2"/>
  <c r="Q341" i="2"/>
  <c r="B342" i="2"/>
  <c r="C342" i="2"/>
  <c r="D342" i="2"/>
  <c r="E342" i="2"/>
  <c r="F342" i="2"/>
  <c r="G342" i="2"/>
  <c r="H342" i="2"/>
  <c r="K342" i="2"/>
  <c r="L342" i="2"/>
  <c r="M342" i="2"/>
  <c r="N342" i="2"/>
  <c r="O342" i="2"/>
  <c r="P342" i="2"/>
  <c r="Q342" i="2"/>
  <c r="B343" i="2"/>
  <c r="C343" i="2"/>
  <c r="D343" i="2"/>
  <c r="E343" i="2"/>
  <c r="F343" i="2"/>
  <c r="G343" i="2"/>
  <c r="H343" i="2"/>
  <c r="K343" i="2"/>
  <c r="L343" i="2"/>
  <c r="M343" i="2"/>
  <c r="N343" i="2"/>
  <c r="O343" i="2"/>
  <c r="P343" i="2"/>
  <c r="Q343" i="2"/>
  <c r="B344" i="2"/>
  <c r="C344" i="2"/>
  <c r="D344" i="2"/>
  <c r="E344" i="2"/>
  <c r="F344" i="2"/>
  <c r="G344" i="2"/>
  <c r="H344" i="2"/>
  <c r="K344" i="2"/>
  <c r="L344" i="2"/>
  <c r="M344" i="2"/>
  <c r="N344" i="2"/>
  <c r="O344" i="2"/>
  <c r="P344" i="2"/>
  <c r="Q344" i="2"/>
  <c r="B345" i="2"/>
  <c r="C345" i="2"/>
  <c r="D345" i="2"/>
  <c r="E345" i="2"/>
  <c r="F345" i="2"/>
  <c r="G345" i="2"/>
  <c r="H345" i="2"/>
  <c r="K345" i="2"/>
  <c r="L345" i="2"/>
  <c r="M345" i="2"/>
  <c r="N345" i="2"/>
  <c r="O345" i="2"/>
  <c r="P345" i="2"/>
  <c r="Q345" i="2"/>
  <c r="B346" i="2"/>
  <c r="C346" i="2"/>
  <c r="D346" i="2"/>
  <c r="E346" i="2"/>
  <c r="F346" i="2"/>
  <c r="G346" i="2"/>
  <c r="H346" i="2"/>
  <c r="K346" i="2"/>
  <c r="L346" i="2"/>
  <c r="M346" i="2"/>
  <c r="N346" i="2"/>
  <c r="O346" i="2"/>
  <c r="P346" i="2"/>
  <c r="Q346" i="2"/>
  <c r="B347" i="2"/>
  <c r="C347" i="2"/>
  <c r="D347" i="2"/>
  <c r="E347" i="2"/>
  <c r="F347" i="2"/>
  <c r="G347" i="2"/>
  <c r="H347" i="2"/>
  <c r="K347" i="2"/>
  <c r="L347" i="2"/>
  <c r="M347" i="2"/>
  <c r="N347" i="2"/>
  <c r="O347" i="2"/>
  <c r="P347" i="2"/>
  <c r="Q347" i="2"/>
  <c r="B348" i="2"/>
  <c r="C348" i="2"/>
  <c r="D348" i="2"/>
  <c r="E348" i="2"/>
  <c r="F348" i="2"/>
  <c r="G348" i="2"/>
  <c r="H348" i="2"/>
  <c r="K348" i="2"/>
  <c r="L348" i="2"/>
  <c r="M348" i="2"/>
  <c r="N348" i="2"/>
  <c r="O348" i="2"/>
  <c r="P348" i="2"/>
  <c r="Q348" i="2"/>
  <c r="B349" i="2"/>
  <c r="C349" i="2"/>
  <c r="D349" i="2"/>
  <c r="E349" i="2"/>
  <c r="F349" i="2"/>
  <c r="G349" i="2"/>
  <c r="H349" i="2"/>
  <c r="K349" i="2"/>
  <c r="L349" i="2"/>
  <c r="M349" i="2"/>
  <c r="N349" i="2"/>
  <c r="O349" i="2"/>
  <c r="P349" i="2"/>
  <c r="Q349" i="2"/>
  <c r="B350" i="2"/>
  <c r="C350" i="2"/>
  <c r="D350" i="2"/>
  <c r="E350" i="2"/>
  <c r="F350" i="2"/>
  <c r="G350" i="2"/>
  <c r="H350" i="2"/>
  <c r="K350" i="2"/>
  <c r="L350" i="2"/>
  <c r="M350" i="2"/>
  <c r="N350" i="2"/>
  <c r="O350" i="2"/>
  <c r="P350" i="2"/>
  <c r="Q350" i="2"/>
  <c r="B351" i="2"/>
  <c r="C351" i="2"/>
  <c r="D351" i="2"/>
  <c r="E351" i="2"/>
  <c r="F351" i="2"/>
  <c r="G351" i="2"/>
  <c r="H351" i="2"/>
  <c r="K351" i="2"/>
  <c r="L351" i="2"/>
  <c r="M351" i="2"/>
  <c r="N351" i="2"/>
  <c r="O351" i="2"/>
  <c r="P351" i="2"/>
  <c r="Q351" i="2"/>
  <c r="B352" i="2"/>
  <c r="C352" i="2"/>
  <c r="D352" i="2"/>
  <c r="E352" i="2"/>
  <c r="F352" i="2"/>
  <c r="G352" i="2"/>
  <c r="H352" i="2"/>
  <c r="K352" i="2"/>
  <c r="L352" i="2"/>
  <c r="M352" i="2"/>
  <c r="N352" i="2"/>
  <c r="O352" i="2"/>
  <c r="P352" i="2"/>
  <c r="Q352" i="2"/>
  <c r="B353" i="2"/>
  <c r="C353" i="2"/>
  <c r="D353" i="2"/>
  <c r="E353" i="2"/>
  <c r="F353" i="2"/>
  <c r="G353" i="2"/>
  <c r="H353" i="2"/>
  <c r="K353" i="2"/>
  <c r="L353" i="2"/>
  <c r="M353" i="2"/>
  <c r="N353" i="2"/>
  <c r="O353" i="2"/>
  <c r="P353" i="2"/>
  <c r="Q353" i="2"/>
  <c r="B354" i="2"/>
  <c r="C354" i="2"/>
  <c r="D354" i="2"/>
  <c r="E354" i="2"/>
  <c r="F354" i="2"/>
  <c r="G354" i="2"/>
  <c r="H354" i="2"/>
  <c r="K354" i="2"/>
  <c r="L354" i="2"/>
  <c r="M354" i="2"/>
  <c r="N354" i="2"/>
  <c r="O354" i="2"/>
  <c r="P354" i="2"/>
  <c r="Q354" i="2"/>
  <c r="B355" i="2"/>
  <c r="C355" i="2"/>
  <c r="D355" i="2"/>
  <c r="E355" i="2"/>
  <c r="F355" i="2"/>
  <c r="G355" i="2"/>
  <c r="H355" i="2"/>
  <c r="K355" i="2"/>
  <c r="L355" i="2"/>
  <c r="M355" i="2"/>
  <c r="N355" i="2"/>
  <c r="O355" i="2"/>
  <c r="P355" i="2"/>
  <c r="Q355" i="2"/>
  <c r="B356" i="2"/>
  <c r="C356" i="2"/>
  <c r="D356" i="2"/>
  <c r="E356" i="2"/>
  <c r="F356" i="2"/>
  <c r="G356" i="2"/>
  <c r="H356" i="2"/>
  <c r="K356" i="2"/>
  <c r="L356" i="2"/>
  <c r="M356" i="2"/>
  <c r="N356" i="2"/>
  <c r="O356" i="2"/>
  <c r="P356" i="2"/>
  <c r="Q356" i="2"/>
  <c r="B357" i="2"/>
  <c r="C357" i="2"/>
  <c r="D357" i="2"/>
  <c r="E357" i="2"/>
  <c r="F357" i="2"/>
  <c r="G357" i="2"/>
  <c r="H357" i="2"/>
  <c r="K357" i="2"/>
  <c r="L357" i="2"/>
  <c r="M357" i="2"/>
  <c r="N357" i="2"/>
  <c r="O357" i="2"/>
  <c r="P357" i="2"/>
  <c r="Q357" i="2"/>
  <c r="B358" i="2"/>
  <c r="C358" i="2"/>
  <c r="D358" i="2"/>
  <c r="E358" i="2"/>
  <c r="F358" i="2"/>
  <c r="G358" i="2"/>
  <c r="H358" i="2"/>
  <c r="K358" i="2"/>
  <c r="L358" i="2"/>
  <c r="M358" i="2"/>
  <c r="N358" i="2"/>
  <c r="O358" i="2"/>
  <c r="P358" i="2"/>
  <c r="Q358" i="2"/>
  <c r="B359" i="2"/>
  <c r="C359" i="2"/>
  <c r="D359" i="2"/>
  <c r="E359" i="2"/>
  <c r="F359" i="2"/>
  <c r="G359" i="2"/>
  <c r="H359" i="2"/>
  <c r="C364" i="2"/>
  <c r="D364" i="2"/>
  <c r="E364" i="2"/>
  <c r="F364" i="2"/>
  <c r="G364" i="2"/>
  <c r="H364" i="2"/>
  <c r="C380" i="2"/>
  <c r="D380" i="2"/>
  <c r="E380" i="2"/>
  <c r="F380" i="2"/>
  <c r="G380" i="2"/>
  <c r="H380" i="2"/>
  <c r="C386" i="2"/>
  <c r="D386" i="2"/>
  <c r="E386" i="2"/>
  <c r="F386" i="2"/>
  <c r="G386" i="2"/>
  <c r="H386" i="2"/>
  <c r="B387" i="2"/>
  <c r="C387" i="2"/>
  <c r="D387" i="2"/>
  <c r="E387" i="2"/>
  <c r="F387" i="2"/>
  <c r="G387" i="2"/>
  <c r="H387" i="2"/>
  <c r="B388" i="2"/>
  <c r="B389" i="2"/>
  <c r="B390" i="2"/>
  <c r="B391" i="2"/>
  <c r="B392" i="2"/>
  <c r="B393" i="2"/>
  <c r="B394" i="2"/>
  <c r="B395" i="2"/>
  <c r="B396" i="2"/>
  <c r="B397" i="2"/>
  <c r="B398" i="2"/>
  <c r="B399" i="2"/>
  <c r="B400" i="2"/>
  <c r="B401" i="2"/>
  <c r="B402" i="2"/>
  <c r="B403" i="2"/>
  <c r="C403" i="2"/>
  <c r="D403" i="2"/>
  <c r="E403" i="2"/>
  <c r="F403" i="2"/>
  <c r="G403" i="2"/>
  <c r="H403" i="2"/>
  <c r="B404" i="2"/>
  <c r="B405" i="2"/>
  <c r="C409" i="2"/>
  <c r="D409" i="2"/>
  <c r="E409" i="2"/>
  <c r="F409" i="2"/>
  <c r="G409" i="2"/>
  <c r="H409" i="2"/>
  <c r="B410" i="2"/>
  <c r="C410" i="2"/>
  <c r="D410" i="2"/>
  <c r="E410" i="2"/>
  <c r="F410" i="2"/>
  <c r="G410" i="2"/>
  <c r="H410" i="2"/>
  <c r="B411" i="2"/>
  <c r="B412" i="2"/>
  <c r="B413" i="2"/>
  <c r="B414" i="2"/>
  <c r="B415" i="2"/>
  <c r="B416" i="2"/>
  <c r="B417" i="2"/>
  <c r="B418" i="2"/>
  <c r="B419" i="2"/>
  <c r="B420" i="2"/>
  <c r="B421" i="2"/>
  <c r="B422" i="2"/>
  <c r="B423" i="2"/>
  <c r="B424" i="2"/>
  <c r="B425" i="2"/>
  <c r="B426" i="2"/>
  <c r="C426" i="2"/>
  <c r="D426" i="2"/>
  <c r="E426" i="2"/>
  <c r="F426" i="2"/>
  <c r="G426" i="2"/>
  <c r="H426" i="2"/>
  <c r="B427" i="2"/>
  <c r="B428" i="2"/>
  <c r="J3" i="19"/>
  <c r="J4" i="19"/>
  <c r="J5" i="19"/>
  <c r="J6" i="19"/>
  <c r="J7" i="19"/>
  <c r="J8" i="19"/>
  <c r="J12" i="19"/>
  <c r="J13" i="19"/>
  <c r="J14" i="19"/>
  <c r="J15" i="19"/>
  <c r="J16" i="19"/>
  <c r="J17" i="19"/>
  <c r="J18" i="19"/>
  <c r="J19" i="19"/>
  <c r="J20" i="19"/>
  <c r="J12" i="35"/>
  <c r="J13" i="35"/>
  <c r="J14" i="35"/>
  <c r="J15" i="35"/>
  <c r="J16" i="35"/>
  <c r="J17" i="35"/>
  <c r="J21" i="35"/>
  <c r="J22" i="35"/>
  <c r="J23" i="35"/>
  <c r="J24" i="35"/>
  <c r="J25" i="35"/>
  <c r="J26" i="35"/>
  <c r="J27" i="35"/>
  <c r="J28" i="35"/>
  <c r="J35" i="16"/>
  <c r="J36" i="16"/>
  <c r="J37" i="16"/>
  <c r="J38" i="16"/>
  <c r="J39" i="16"/>
  <c r="J40" i="16"/>
  <c r="J41" i="16"/>
  <c r="J42" i="16"/>
  <c r="J43" i="16"/>
  <c r="J44" i="16"/>
  <c r="J45" i="16"/>
  <c r="J66" i="16"/>
  <c r="B5" i="13"/>
  <c r="E24" i="17" s="1"/>
  <c r="D5" i="13"/>
  <c r="C23" i="24" s="1"/>
  <c r="A7" i="20"/>
  <c r="C6" i="13"/>
  <c r="G20" i="13"/>
  <c r="L35" i="13"/>
  <c r="H20" i="13"/>
  <c r="I20" i="13"/>
  <c r="L37" i="13"/>
  <c r="J20" i="13"/>
  <c r="K20" i="13"/>
  <c r="L20" i="13"/>
  <c r="M20" i="13"/>
  <c r="N20" i="13"/>
  <c r="O20" i="13"/>
  <c r="P20" i="13"/>
  <c r="Q20" i="13"/>
  <c r="R20" i="13"/>
  <c r="S20" i="13"/>
  <c r="T20" i="13"/>
  <c r="U20" i="13"/>
  <c r="V20" i="13"/>
  <c r="W20" i="13"/>
  <c r="X20" i="13"/>
  <c r="Y20" i="13"/>
  <c r="Z20" i="13"/>
  <c r="AA20" i="13"/>
  <c r="AB20" i="13"/>
  <c r="AC20" i="13"/>
  <c r="AD20" i="13"/>
  <c r="AE20" i="13"/>
  <c r="AF20" i="13"/>
  <c r="AG20" i="13"/>
  <c r="AH20" i="13"/>
  <c r="AI20" i="13"/>
  <c r="AJ20" i="13"/>
  <c r="AK20" i="13"/>
  <c r="AL20" i="13"/>
  <c r="G21" i="13"/>
  <c r="L39" i="13"/>
  <c r="H21" i="13"/>
  <c r="L40" i="13"/>
  <c r="I21" i="13"/>
  <c r="L41" i="13"/>
  <c r="J21" i="13"/>
  <c r="L42" i="13"/>
  <c r="K21" i="13"/>
  <c r="L43" i="13"/>
  <c r="L21" i="13"/>
  <c r="L44" i="13"/>
  <c r="M21" i="13"/>
  <c r="L45" i="13"/>
  <c r="N21" i="13"/>
  <c r="L46" i="13"/>
  <c r="O21" i="13"/>
  <c r="L47" i="13"/>
  <c r="P21" i="13"/>
  <c r="L48" i="13"/>
  <c r="Q21" i="13"/>
  <c r="L49" i="13"/>
  <c r="R21" i="13"/>
  <c r="L50" i="13"/>
  <c r="S21" i="13"/>
  <c r="T21" i="13"/>
  <c r="U21" i="13"/>
  <c r="V21" i="13"/>
  <c r="W21" i="13"/>
  <c r="X21" i="13"/>
  <c r="Y21" i="13"/>
  <c r="Z21" i="13"/>
  <c r="AA21" i="13"/>
  <c r="AB21" i="13"/>
  <c r="AC21" i="13"/>
  <c r="AD21" i="13"/>
  <c r="AE21" i="13"/>
  <c r="AF21" i="13"/>
  <c r="AG21" i="13"/>
  <c r="AH21" i="13"/>
  <c r="AI21" i="13"/>
  <c r="AJ21" i="13"/>
  <c r="AK21" i="13"/>
  <c r="AL21" i="13"/>
  <c r="G22" i="13"/>
  <c r="L54" i="13"/>
  <c r="H22" i="13"/>
  <c r="L55" i="13"/>
  <c r="I22" i="13"/>
  <c r="L56" i="13"/>
  <c r="J22" i="13"/>
  <c r="L57" i="13"/>
  <c r="K22" i="13"/>
  <c r="L58" i="13"/>
  <c r="L22" i="13"/>
  <c r="L59" i="13"/>
  <c r="M22" i="13"/>
  <c r="L60" i="13"/>
  <c r="N22" i="13"/>
  <c r="L61" i="13"/>
  <c r="O22" i="13"/>
  <c r="L62" i="13"/>
  <c r="P22" i="13"/>
  <c r="L63" i="13"/>
  <c r="Q22" i="13"/>
  <c r="L64" i="13"/>
  <c r="R22" i="13"/>
  <c r="L65" i="13"/>
  <c r="S22" i="13"/>
  <c r="T22" i="13"/>
  <c r="U22" i="13"/>
  <c r="V22" i="13"/>
  <c r="W22" i="13"/>
  <c r="X22" i="13"/>
  <c r="Y22" i="13"/>
  <c r="Z22" i="13"/>
  <c r="AA22" i="13"/>
  <c r="AB22" i="13"/>
  <c r="AC22" i="13"/>
  <c r="AD22" i="13"/>
  <c r="AE22" i="13"/>
  <c r="AF22" i="13"/>
  <c r="AG22" i="13"/>
  <c r="AH22" i="13"/>
  <c r="AI22" i="13"/>
  <c r="AJ22" i="13"/>
  <c r="AK22" i="13"/>
  <c r="AL22" i="13"/>
  <c r="I23" i="13"/>
  <c r="L68" i="13"/>
  <c r="M23" i="13"/>
  <c r="N23" i="13"/>
  <c r="O23" i="13"/>
  <c r="P23" i="13"/>
  <c r="Q23" i="13"/>
  <c r="R23" i="13"/>
  <c r="S23" i="13"/>
  <c r="T23" i="13"/>
  <c r="U23" i="13"/>
  <c r="V23" i="13"/>
  <c r="W23" i="13"/>
  <c r="X23" i="13"/>
  <c r="Y23" i="13"/>
  <c r="Z23" i="13"/>
  <c r="AA23" i="13"/>
  <c r="AB23" i="13"/>
  <c r="AC23" i="13"/>
  <c r="AD23" i="13"/>
  <c r="AE23" i="13"/>
  <c r="AF23" i="13"/>
  <c r="AG23" i="13"/>
  <c r="AH23" i="13"/>
  <c r="AI23" i="13"/>
  <c r="AJ23" i="13"/>
  <c r="AK23" i="13"/>
  <c r="AL23" i="13"/>
  <c r="M25" i="13"/>
  <c r="N25" i="13"/>
  <c r="O25" i="13"/>
  <c r="P25" i="13"/>
  <c r="Q25" i="13"/>
  <c r="R25" i="13"/>
  <c r="S25" i="13"/>
  <c r="T25" i="13"/>
  <c r="U25" i="13"/>
  <c r="V25" i="13"/>
  <c r="W25" i="13"/>
  <c r="X25" i="13"/>
  <c r="Y25" i="13"/>
  <c r="Z25" i="13"/>
  <c r="AA25" i="13"/>
  <c r="AB25" i="13"/>
  <c r="AC25" i="13"/>
  <c r="AD25" i="13"/>
  <c r="AE25" i="13"/>
  <c r="AF25" i="13"/>
  <c r="AG25" i="13"/>
  <c r="AH25" i="13"/>
  <c r="AI25" i="13"/>
  <c r="AJ25" i="13"/>
  <c r="AK25" i="13"/>
  <c r="AL25" i="13"/>
  <c r="K27" i="13"/>
  <c r="L27" i="13"/>
  <c r="M27" i="13"/>
  <c r="N27" i="13"/>
  <c r="O27" i="13"/>
  <c r="P27" i="13"/>
  <c r="Q27" i="13"/>
  <c r="R27" i="13"/>
  <c r="S27" i="13"/>
  <c r="T27" i="13"/>
  <c r="U27" i="13"/>
  <c r="V27" i="13"/>
  <c r="W27" i="13"/>
  <c r="X27" i="13"/>
  <c r="Y27" i="13"/>
  <c r="Z27" i="13"/>
  <c r="AA27" i="13"/>
  <c r="AB27" i="13"/>
  <c r="AC27" i="13"/>
  <c r="AD27" i="13"/>
  <c r="AE27" i="13"/>
  <c r="AF27" i="13"/>
  <c r="AG27" i="13"/>
  <c r="AH27" i="13"/>
  <c r="AI27" i="13"/>
  <c r="AJ27" i="13"/>
  <c r="AK27" i="13"/>
  <c r="AL27" i="13"/>
  <c r="K28" i="13"/>
  <c r="L28" i="13"/>
  <c r="M28" i="13"/>
  <c r="N28" i="13"/>
  <c r="O28" i="13"/>
  <c r="P28" i="13"/>
  <c r="Q28" i="13"/>
  <c r="R28" i="13"/>
  <c r="S28" i="13"/>
  <c r="T28" i="13"/>
  <c r="U28" i="13"/>
  <c r="V28" i="13"/>
  <c r="W28" i="13"/>
  <c r="X28" i="13"/>
  <c r="Y28" i="13"/>
  <c r="Z28" i="13"/>
  <c r="AA28" i="13"/>
  <c r="AB28" i="13"/>
  <c r="AC28" i="13"/>
  <c r="AD28" i="13"/>
  <c r="AE28" i="13"/>
  <c r="AF28" i="13"/>
  <c r="AG28" i="13"/>
  <c r="AH28" i="13"/>
  <c r="AI28" i="13"/>
  <c r="AJ28" i="13"/>
  <c r="AK28" i="13"/>
  <c r="AL28" i="13"/>
  <c r="L36" i="13"/>
  <c r="G54" i="13"/>
  <c r="H54" i="13"/>
  <c r="G56" i="13"/>
  <c r="H56" i="13"/>
  <c r="G58" i="13"/>
  <c r="H58" i="13"/>
  <c r="G60" i="13"/>
  <c r="H60" i="13"/>
  <c r="G62" i="13"/>
  <c r="H62" i="13"/>
  <c r="G64" i="13"/>
  <c r="H64" i="13"/>
  <c r="B1" i="24"/>
  <c r="B2" i="24"/>
  <c r="B3" i="24"/>
  <c r="B4" i="24"/>
  <c r="B5" i="24"/>
  <c r="B6" i="24"/>
  <c r="B13" i="24"/>
  <c r="B14" i="24"/>
  <c r="B15" i="24"/>
  <c r="B16" i="24"/>
  <c r="C16" i="24"/>
  <c r="G23" i="13"/>
  <c r="L66" i="13"/>
  <c r="D16" i="24"/>
  <c r="H23" i="13"/>
  <c r="L67" i="13"/>
  <c r="E16" i="24"/>
  <c r="F16" i="24"/>
  <c r="J23" i="13"/>
  <c r="L69" i="13"/>
  <c r="G16" i="24"/>
  <c r="K23" i="13"/>
  <c r="L70" i="13"/>
  <c r="H16" i="24"/>
  <c r="L23" i="13"/>
  <c r="L71" i="13"/>
  <c r="B17" i="24"/>
  <c r="AF17" i="24"/>
  <c r="AJ24" i="13"/>
  <c r="L109" i="13"/>
  <c r="D49" i="13"/>
  <c r="C49" i="13" s="1"/>
  <c r="B18" i="24"/>
  <c r="B26" i="24"/>
  <c r="B27" i="24"/>
  <c r="C53" i="24"/>
  <c r="B28" i="24"/>
  <c r="C54" i="24"/>
  <c r="G54" i="24"/>
  <c r="I54" i="24"/>
  <c r="J54" i="24"/>
  <c r="K54" i="24"/>
  <c r="M54" i="24"/>
  <c r="N54" i="24"/>
  <c r="B29" i="24"/>
  <c r="C55" i="24"/>
  <c r="E55" i="24"/>
  <c r="F55" i="24"/>
  <c r="G55" i="24"/>
  <c r="B30" i="24"/>
  <c r="B31" i="24"/>
  <c r="B38" i="24"/>
  <c r="B40" i="24"/>
  <c r="B41" i="24"/>
  <c r="B42" i="24"/>
  <c r="B43" i="24"/>
  <c r="B45" i="24"/>
  <c r="B52" i="24"/>
  <c r="B53" i="24"/>
  <c r="B54" i="24"/>
  <c r="B55" i="24"/>
  <c r="B56" i="24"/>
  <c r="B57" i="24"/>
  <c r="B64" i="24"/>
  <c r="C64" i="24"/>
  <c r="D64" i="24"/>
  <c r="E64" i="24"/>
  <c r="B65" i="24"/>
  <c r="C65" i="24"/>
  <c r="D65" i="24"/>
  <c r="E65" i="24"/>
  <c r="F65" i="24"/>
  <c r="G65" i="24"/>
  <c r="H65" i="24"/>
  <c r="I65" i="24"/>
  <c r="J65" i="24"/>
  <c r="K65" i="24"/>
  <c r="L65" i="24"/>
  <c r="M65" i="24"/>
  <c r="N65" i="24"/>
  <c r="B66" i="24"/>
  <c r="C66" i="24"/>
  <c r="D66" i="24"/>
  <c r="E66" i="24"/>
  <c r="F66" i="24"/>
  <c r="G66" i="24"/>
  <c r="H66" i="24"/>
  <c r="I66" i="24"/>
  <c r="J66" i="24"/>
  <c r="K66" i="24"/>
  <c r="L66" i="24"/>
  <c r="M66" i="24"/>
  <c r="N66" i="24"/>
  <c r="B67" i="24"/>
  <c r="C67" i="24"/>
  <c r="D67" i="24"/>
  <c r="E67" i="24"/>
  <c r="F67" i="24"/>
  <c r="G67" i="24"/>
  <c r="H67" i="24"/>
  <c r="B68" i="24"/>
  <c r="B69" i="24"/>
  <c r="C2" i="1"/>
  <c r="D2" i="1"/>
  <c r="E2" i="1"/>
  <c r="K2" i="1"/>
  <c r="L2" i="1"/>
  <c r="C3" i="1"/>
  <c r="D3" i="1"/>
  <c r="E3" i="1"/>
  <c r="L3" i="1"/>
  <c r="M3" i="1"/>
  <c r="C4" i="1"/>
  <c r="D4" i="1"/>
  <c r="E4" i="1"/>
  <c r="C5" i="1"/>
  <c r="D5" i="1"/>
  <c r="E5" i="1"/>
  <c r="C6" i="1"/>
  <c r="D6" i="1"/>
  <c r="E6" i="1"/>
  <c r="C7" i="1"/>
  <c r="D7" i="1"/>
  <c r="E7" i="1"/>
  <c r="C8" i="1"/>
  <c r="D8" i="1"/>
  <c r="E8" i="1"/>
  <c r="C9" i="1"/>
  <c r="D9" i="1"/>
  <c r="E9" i="1"/>
  <c r="C10" i="1"/>
  <c r="D10" i="1"/>
  <c r="E10" i="1"/>
  <c r="C11" i="1"/>
  <c r="D11" i="1"/>
  <c r="E11" i="1"/>
  <c r="C12" i="1"/>
  <c r="D12" i="1"/>
  <c r="E12" i="1"/>
  <c r="C13" i="1"/>
  <c r="D13" i="1"/>
  <c r="E13" i="1"/>
  <c r="C14" i="1"/>
  <c r="D14" i="1"/>
  <c r="E14" i="1"/>
  <c r="C15" i="1"/>
  <c r="D15" i="1"/>
  <c r="E15" i="1"/>
  <c r="C16" i="1"/>
  <c r="D16" i="1"/>
  <c r="E16" i="1"/>
  <c r="C17" i="1"/>
  <c r="D17" i="1"/>
  <c r="E17" i="1"/>
  <c r="C18" i="1"/>
  <c r="D18" i="1"/>
  <c r="E18" i="1"/>
  <c r="C19" i="1"/>
  <c r="D19" i="1"/>
  <c r="E19" i="1"/>
  <c r="C20" i="1"/>
  <c r="D20" i="1"/>
  <c r="E20" i="1"/>
  <c r="C21" i="1"/>
  <c r="D21" i="1"/>
  <c r="E21" i="1"/>
  <c r="C22" i="1"/>
  <c r="D22" i="1"/>
  <c r="E22" i="1"/>
  <c r="C23" i="1"/>
  <c r="D23" i="1"/>
  <c r="E23" i="1"/>
  <c r="C24" i="1"/>
  <c r="D24" i="1"/>
  <c r="E24" i="1"/>
  <c r="C25" i="1"/>
  <c r="D25" i="1"/>
  <c r="E25" i="1"/>
  <c r="C26" i="1"/>
  <c r="D26" i="1"/>
  <c r="E26" i="1"/>
  <c r="C27" i="1"/>
  <c r="D27" i="1"/>
  <c r="E27" i="1"/>
  <c r="C28" i="1"/>
  <c r="D28" i="1"/>
  <c r="E28" i="1"/>
  <c r="C29" i="1"/>
  <c r="D29" i="1"/>
  <c r="E29" i="1"/>
  <c r="C30" i="1"/>
  <c r="D30" i="1"/>
  <c r="E30" i="1"/>
  <c r="C31" i="1"/>
  <c r="D31" i="1"/>
  <c r="E31" i="1"/>
  <c r="C32" i="1"/>
  <c r="D32" i="1"/>
  <c r="E32" i="1"/>
  <c r="C33" i="1"/>
  <c r="D33" i="1"/>
  <c r="E33" i="1"/>
  <c r="C34" i="1"/>
  <c r="D34" i="1"/>
  <c r="E34" i="1"/>
  <c r="C35" i="1"/>
  <c r="D35" i="1"/>
  <c r="E35" i="1"/>
  <c r="C36" i="1"/>
  <c r="D36" i="1"/>
  <c r="E36" i="1"/>
  <c r="C37" i="1"/>
  <c r="D37" i="1"/>
  <c r="G37" i="1"/>
  <c r="D38" i="1"/>
  <c r="C40" i="1"/>
  <c r="A96" i="1"/>
  <c r="A101" i="1"/>
  <c r="A102" i="1"/>
  <c r="A103" i="1"/>
  <c r="A106" i="1"/>
  <c r="A107" i="1"/>
  <c r="A108" i="1"/>
  <c r="C125" i="1"/>
  <c r="C133" i="1"/>
  <c r="A134" i="1"/>
  <c r="C135" i="1"/>
  <c r="C136" i="1"/>
  <c r="C146" i="1"/>
  <c r="C148" i="1"/>
  <c r="C149" i="1"/>
  <c r="C151" i="1"/>
  <c r="C163" i="1"/>
  <c r="C164" i="1"/>
  <c r="C165" i="1"/>
  <c r="C167" i="1"/>
  <c r="C170" i="1"/>
  <c r="AQ15" i="4"/>
  <c r="AY15" i="4"/>
  <c r="BG15" i="4"/>
  <c r="BO15" i="4"/>
  <c r="BW15" i="4"/>
  <c r="CE16" i="4"/>
  <c r="CM16" i="4"/>
  <c r="CU16" i="4"/>
  <c r="AQ63" i="4"/>
  <c r="AY63" i="4"/>
  <c r="BG63" i="4"/>
  <c r="BO63" i="4"/>
  <c r="BW63" i="4"/>
  <c r="CE64" i="4"/>
  <c r="AV14" i="4"/>
  <c r="BD14" i="4"/>
  <c r="BL14" i="4"/>
  <c r="BT14" i="4"/>
  <c r="CB14" i="4"/>
  <c r="CJ15" i="4"/>
  <c r="CR15" i="4"/>
  <c r="CZ15" i="4"/>
  <c r="AV62" i="4"/>
  <c r="BD62" i="4"/>
  <c r="BL62" i="4"/>
  <c r="BT62" i="4"/>
  <c r="CB62" i="4"/>
  <c r="CJ63" i="4"/>
  <c r="CR63" i="4"/>
  <c r="AQ11" i="4"/>
  <c r="AY11" i="4"/>
  <c r="BG11" i="4"/>
  <c r="BO11" i="4"/>
  <c r="BW11" i="4"/>
  <c r="CE12" i="4"/>
  <c r="CM12" i="4"/>
  <c r="CU12" i="4"/>
  <c r="AQ59" i="4"/>
  <c r="AY59" i="4"/>
  <c r="BG59" i="4"/>
  <c r="BO59" i="4"/>
  <c r="BW59" i="4"/>
  <c r="CE60" i="4"/>
  <c r="DD93" i="4"/>
  <c r="DL93" i="4"/>
  <c r="DT93" i="4"/>
  <c r="EB93" i="4"/>
  <c r="DD9" i="4"/>
  <c r="DL9" i="4"/>
  <c r="DT9" i="4"/>
  <c r="DG89" i="4"/>
  <c r="DO89" i="4"/>
  <c r="DW89" i="4"/>
  <c r="EE89" i="4"/>
  <c r="DG5" i="4"/>
  <c r="DO5" i="4"/>
  <c r="DW5" i="4"/>
  <c r="AV3" i="4"/>
  <c r="BD3" i="4"/>
  <c r="BL3" i="4"/>
  <c r="BT3" i="4"/>
  <c r="CB3" i="4"/>
  <c r="CJ3" i="4"/>
  <c r="AV51" i="4"/>
  <c r="BD51" i="4"/>
  <c r="BL51" i="4"/>
  <c r="BT51" i="4"/>
  <c r="CB51" i="4"/>
  <c r="CJ51" i="4"/>
  <c r="X37" i="32"/>
  <c r="CY67" i="4"/>
  <c r="DG67" i="4"/>
  <c r="DO67" i="4"/>
  <c r="DW67" i="4"/>
  <c r="EE67" i="4"/>
  <c r="EM67" i="4"/>
  <c r="CB67" i="4"/>
  <c r="CJ68" i="4"/>
  <c r="BX67" i="4"/>
  <c r="CF68" i="4"/>
  <c r="CN68" i="4"/>
  <c r="CB63" i="4"/>
  <c r="CJ64" i="4"/>
  <c r="BX63" i="4"/>
  <c r="CF64" i="4"/>
  <c r="CN64" i="4"/>
  <c r="AR62" i="4"/>
  <c r="AZ62" i="4"/>
  <c r="BH62" i="4"/>
  <c r="BP62" i="4"/>
  <c r="BX62" i="4"/>
  <c r="CF63" i="4"/>
  <c r="BX60" i="4"/>
  <c r="CF61" i="4"/>
  <c r="CV61" i="4"/>
  <c r="DD61" i="4"/>
  <c r="DL61" i="4"/>
  <c r="DT61" i="4"/>
  <c r="EB61" i="4"/>
  <c r="EJ61" i="4"/>
  <c r="BZ59" i="4"/>
  <c r="CH60" i="4"/>
  <c r="BD49" i="4"/>
  <c r="BT49" i="4"/>
  <c r="BL49" i="4"/>
  <c r="CB49" i="4"/>
  <c r="CJ49" i="4"/>
  <c r="CR49" i="4"/>
  <c r="CZ49" i="4"/>
  <c r="AY49" i="4"/>
  <c r="BO49" i="4"/>
  <c r="BG49" i="4"/>
  <c r="BW49" i="4"/>
  <c r="CE49" i="4"/>
  <c r="CM49" i="4"/>
  <c r="CU49" i="4"/>
  <c r="CD43" i="4"/>
  <c r="CD44" i="4"/>
  <c r="CD45" i="4"/>
  <c r="C168" i="1"/>
  <c r="DG101" i="4"/>
  <c r="DO101" i="4"/>
  <c r="DW101" i="4"/>
  <c r="EE101" i="4"/>
  <c r="DG19" i="4"/>
  <c r="DO19" i="4"/>
  <c r="DW19" i="4"/>
  <c r="DD99" i="4"/>
  <c r="DL99" i="4"/>
  <c r="DT99" i="4"/>
  <c r="EB99" i="4"/>
  <c r="DD16" i="4"/>
  <c r="DL16" i="4"/>
  <c r="DT16" i="4"/>
  <c r="DG98" i="4"/>
  <c r="DO98" i="4"/>
  <c r="DW98" i="4"/>
  <c r="EE98" i="4"/>
  <c r="DG15" i="4"/>
  <c r="DO15" i="4"/>
  <c r="DW15" i="4"/>
  <c r="DE97" i="4"/>
  <c r="DM97" i="4"/>
  <c r="DU97" i="4"/>
  <c r="EC97" i="4"/>
  <c r="DE14" i="4"/>
  <c r="DM14" i="4"/>
  <c r="DU14" i="4"/>
  <c r="AV6" i="4"/>
  <c r="BD6" i="4"/>
  <c r="BL6" i="4"/>
  <c r="BT6" i="4"/>
  <c r="CB6" i="4"/>
  <c r="CJ6" i="4"/>
  <c r="AV54" i="4"/>
  <c r="BD54" i="4"/>
  <c r="BL54" i="4"/>
  <c r="BT54" i="4"/>
  <c r="CB54" i="4"/>
  <c r="CJ54" i="4"/>
  <c r="DJ4" i="4"/>
  <c r="AP52" i="4"/>
  <c r="AU4" i="4"/>
  <c r="BC4" i="4"/>
  <c r="BK4" i="4"/>
  <c r="BS4" i="4"/>
  <c r="CA4" i="4"/>
  <c r="CI4" i="4"/>
  <c r="CQ4" i="4"/>
  <c r="CY4" i="4"/>
  <c r="AU52" i="4"/>
  <c r="BC52" i="4"/>
  <c r="BK52" i="4"/>
  <c r="BS52" i="4"/>
  <c r="CA52" i="4"/>
  <c r="CI52" i="4"/>
  <c r="AQ4" i="4"/>
  <c r="AY4" i="4"/>
  <c r="BG4" i="4"/>
  <c r="BO4" i="4"/>
  <c r="BW4" i="4"/>
  <c r="CE4" i="4"/>
  <c r="CM4" i="4"/>
  <c r="CU4" i="4"/>
  <c r="AQ52" i="4"/>
  <c r="AY52" i="4"/>
  <c r="BG52" i="4"/>
  <c r="BO52" i="4"/>
  <c r="BW52" i="4"/>
  <c r="CE52" i="4"/>
  <c r="CM52" i="4"/>
  <c r="AP50" i="4"/>
  <c r="DJ2" i="4"/>
  <c r="BH49" i="4"/>
  <c r="BX49" i="4"/>
  <c r="CF49" i="4"/>
  <c r="CN49" i="4"/>
  <c r="CV49" i="4"/>
  <c r="AT5" i="4"/>
  <c r="BB5" i="4"/>
  <c r="BJ5" i="4"/>
  <c r="BR5" i="4"/>
  <c r="BZ5" i="4"/>
  <c r="CG5" i="4"/>
  <c r="CO5" i="4"/>
  <c r="CW5" i="4"/>
  <c r="DE5" i="4"/>
  <c r="DM5" i="4"/>
  <c r="DU5" i="4"/>
  <c r="AT53" i="4"/>
  <c r="BB53" i="4"/>
  <c r="BJ53" i="4"/>
  <c r="BR53" i="4"/>
  <c r="BZ53" i="4"/>
  <c r="CG53" i="4"/>
  <c r="AS49" i="4"/>
  <c r="DM1" i="4"/>
  <c r="S36" i="32"/>
  <c r="T31" i="32"/>
  <c r="CU67" i="4"/>
  <c r="DC67" i="4"/>
  <c r="DK67" i="4"/>
  <c r="DS67" i="4"/>
  <c r="EA67" i="4"/>
  <c r="EI67" i="4"/>
  <c r="CR66" i="4"/>
  <c r="AR66" i="4"/>
  <c r="AZ66" i="4"/>
  <c r="BH66" i="4"/>
  <c r="BP66" i="4"/>
  <c r="BX66" i="4"/>
  <c r="CF67" i="4"/>
  <c r="CV67" i="4"/>
  <c r="DD67" i="4"/>
  <c r="DL67" i="4"/>
  <c r="DT67" i="4"/>
  <c r="EB67" i="4"/>
  <c r="EJ67" i="4"/>
  <c r="CA65" i="4"/>
  <c r="CI66" i="4"/>
  <c r="BW65" i="4"/>
  <c r="CE66" i="4"/>
  <c r="AU63" i="4"/>
  <c r="BC63" i="4"/>
  <c r="BK63" i="4"/>
  <c r="BS63" i="4"/>
  <c r="CA63" i="4"/>
  <c r="CI64" i="4"/>
  <c r="CY64" i="4"/>
  <c r="DG64" i="4"/>
  <c r="DO64" i="4"/>
  <c r="DW64" i="4"/>
  <c r="EE64" i="4"/>
  <c r="EM64" i="4"/>
  <c r="CA61" i="4"/>
  <c r="CI62" i="4"/>
  <c r="CY62" i="4"/>
  <c r="DG62" i="4"/>
  <c r="DO62" i="4"/>
  <c r="DW62" i="4"/>
  <c r="EE62" i="4"/>
  <c r="EM62" i="4"/>
  <c r="AQ61" i="4"/>
  <c r="AY61" i="4"/>
  <c r="BG61" i="4"/>
  <c r="BO61" i="4"/>
  <c r="BW61" i="4"/>
  <c r="CE62" i="4"/>
  <c r="CB60" i="4"/>
  <c r="CJ61" i="4"/>
  <c r="AQ60" i="4"/>
  <c r="AY60" i="4"/>
  <c r="BG60" i="4"/>
  <c r="BO60" i="4"/>
  <c r="BW60" i="4"/>
  <c r="CE61" i="4"/>
  <c r="BY59" i="4"/>
  <c r="CG60" i="4"/>
  <c r="CW60" i="4"/>
  <c r="DE60" i="4"/>
  <c r="DM60" i="4"/>
  <c r="DU60" i="4"/>
  <c r="EC60" i="4"/>
  <c r="EK60" i="4"/>
  <c r="CA58" i="4"/>
  <c r="CI58" i="4"/>
  <c r="AT57" i="4"/>
  <c r="BB57" i="4"/>
  <c r="BJ57" i="4"/>
  <c r="BR57" i="4"/>
  <c r="BZ57" i="4"/>
  <c r="CH57" i="4"/>
  <c r="AX31" i="4"/>
  <c r="AX32" i="4"/>
  <c r="C127" i="1"/>
  <c r="AU5" i="4"/>
  <c r="BC5" i="4"/>
  <c r="BK5" i="4"/>
  <c r="BS5" i="4"/>
  <c r="CA5" i="4"/>
  <c r="CH5" i="4"/>
  <c r="CP5" i="4"/>
  <c r="CX5" i="4"/>
  <c r="DF89" i="4"/>
  <c r="DN89" i="4"/>
  <c r="DV89" i="4"/>
  <c r="ED89" i="4"/>
  <c r="AU53" i="4"/>
  <c r="BC53" i="4"/>
  <c r="BK53" i="4"/>
  <c r="BS53" i="4"/>
  <c r="CA53" i="4"/>
  <c r="CH53" i="4"/>
  <c r="AS3" i="4"/>
  <c r="BA3" i="4"/>
  <c r="BI3" i="4"/>
  <c r="BQ3" i="4"/>
  <c r="BY3" i="4"/>
  <c r="CG3" i="4"/>
  <c r="CO3" i="4"/>
  <c r="CW3" i="4"/>
  <c r="AS51" i="4"/>
  <c r="BA51" i="4"/>
  <c r="BI51" i="4"/>
  <c r="BQ51" i="4"/>
  <c r="BY51" i="4"/>
  <c r="CG51" i="4"/>
  <c r="AR6" i="4"/>
  <c r="AZ6" i="4"/>
  <c r="BH6" i="4"/>
  <c r="BP6" i="4"/>
  <c r="BX6" i="4"/>
  <c r="CF6" i="4"/>
  <c r="CN6" i="4"/>
  <c r="CV6" i="4"/>
  <c r="DD90" i="4"/>
  <c r="DL90" i="4"/>
  <c r="DT90" i="4"/>
  <c r="EB90" i="4"/>
  <c r="AR54" i="4"/>
  <c r="AZ54" i="4"/>
  <c r="BH54" i="4"/>
  <c r="BP54" i="4"/>
  <c r="BX54" i="4"/>
  <c r="CF54" i="4"/>
  <c r="AT67" i="4"/>
  <c r="BB67" i="4"/>
  <c r="BJ67" i="4"/>
  <c r="BR67" i="4"/>
  <c r="BZ67" i="4"/>
  <c r="CH68" i="4"/>
  <c r="CA62" i="4"/>
  <c r="CI63" i="4"/>
  <c r="BF54" i="4"/>
  <c r="BV54" i="4"/>
  <c r="CD54" i="4"/>
  <c r="CL54" i="4"/>
  <c r="CT54" i="4"/>
  <c r="DB90" i="4"/>
  <c r="CD30" i="4"/>
  <c r="CD32" i="4"/>
  <c r="C131" i="1"/>
  <c r="CD31" i="4"/>
  <c r="CF11" i="4"/>
  <c r="CN11" i="4"/>
  <c r="CV11" i="4"/>
  <c r="DD11" i="4"/>
  <c r="DL11" i="4"/>
  <c r="DT11" i="4"/>
  <c r="CF10" i="4"/>
  <c r="CN10" i="4"/>
  <c r="CV10" i="4"/>
  <c r="AT2" i="4"/>
  <c r="BB2" i="4"/>
  <c r="BJ2" i="4"/>
  <c r="BR2" i="4"/>
  <c r="BZ2" i="4"/>
  <c r="CH2" i="4"/>
  <c r="CP2" i="4"/>
  <c r="CX2" i="4"/>
  <c r="AT50" i="4"/>
  <c r="BB50" i="4"/>
  <c r="BJ50" i="4"/>
  <c r="BR50" i="4"/>
  <c r="BZ50" i="4"/>
  <c r="CH50" i="4"/>
  <c r="AP32" i="4"/>
  <c r="C126" i="1"/>
  <c r="CO66" i="4"/>
  <c r="CW66" i="4"/>
  <c r="DE66" i="4"/>
  <c r="DM66" i="4"/>
  <c r="DU66" i="4"/>
  <c r="EC66" i="4"/>
  <c r="EK66" i="4"/>
  <c r="CR68" i="4"/>
  <c r="CZ68" i="4"/>
  <c r="DH68" i="4"/>
  <c r="DP68" i="4"/>
  <c r="DX68" i="4"/>
  <c r="EF68" i="4"/>
  <c r="EN68" i="4"/>
  <c r="CW67" i="4"/>
  <c r="DE67" i="4"/>
  <c r="DM67" i="4"/>
  <c r="DU67" i="4"/>
  <c r="EC67" i="4"/>
  <c r="EK67" i="4"/>
  <c r="CO67" i="4"/>
  <c r="CX66" i="4"/>
  <c r="DF66" i="4"/>
  <c r="DN66" i="4"/>
  <c r="DV66" i="4"/>
  <c r="ED66" i="4"/>
  <c r="EL66" i="4"/>
  <c r="CP66" i="4"/>
  <c r="DB99" i="4"/>
  <c r="DB64" i="4"/>
  <c r="DJ64" i="4"/>
  <c r="DR64" i="4"/>
  <c r="DZ64" i="4"/>
  <c r="EH64" i="4"/>
  <c r="CO65" i="4"/>
  <c r="CW65" i="4"/>
  <c r="DE65" i="4"/>
  <c r="DM65" i="4"/>
  <c r="DU65" i="4"/>
  <c r="EC65" i="4"/>
  <c r="EK65" i="4"/>
  <c r="L60" i="22"/>
  <c r="L65" i="22"/>
  <c r="L83" i="22"/>
  <c r="L70" i="22"/>
  <c r="L88" i="22"/>
  <c r="L69" i="22"/>
  <c r="L87" i="22"/>
  <c r="CQ68" i="4"/>
  <c r="CY66" i="4"/>
  <c r="DG66" i="4"/>
  <c r="DO66" i="4"/>
  <c r="DW66" i="4"/>
  <c r="EE66" i="4"/>
  <c r="EM66" i="4"/>
  <c r="CQ66" i="4"/>
  <c r="CZ67" i="4"/>
  <c r="DH67" i="4"/>
  <c r="DP67" i="4"/>
  <c r="DX67" i="4"/>
  <c r="EF67" i="4"/>
  <c r="EN67" i="4"/>
  <c r="CR67" i="4"/>
  <c r="CQ64" i="4"/>
  <c r="BX64" i="4"/>
  <c r="CF65" i="4"/>
  <c r="BF64" i="4"/>
  <c r="BV64" i="4"/>
  <c r="CD65" i="4"/>
  <c r="CL65" i="4"/>
  <c r="CT65" i="4"/>
  <c r="AX64" i="4"/>
  <c r="BN64" i="4"/>
  <c r="CW64" i="4"/>
  <c r="DE64" i="4"/>
  <c r="DM64" i="4"/>
  <c r="DU64" i="4"/>
  <c r="EC64" i="4"/>
  <c r="EK64" i="4"/>
  <c r="CO64" i="4"/>
  <c r="DB98" i="4"/>
  <c r="DB63" i="4"/>
  <c r="DJ63" i="4"/>
  <c r="DR63" i="4"/>
  <c r="DZ63" i="4"/>
  <c r="EH63" i="4"/>
  <c r="CV62" i="4"/>
  <c r="DD62" i="4"/>
  <c r="DL62" i="4"/>
  <c r="DT62" i="4"/>
  <c r="EB62" i="4"/>
  <c r="EJ62" i="4"/>
  <c r="CN62" i="4"/>
  <c r="CW62" i="4"/>
  <c r="DE62" i="4"/>
  <c r="DM62" i="4"/>
  <c r="DU62" i="4"/>
  <c r="EC62" i="4"/>
  <c r="EK62" i="4"/>
  <c r="CO62" i="4"/>
  <c r="CY61" i="4"/>
  <c r="DG61" i="4"/>
  <c r="DO61" i="4"/>
  <c r="DW61" i="4"/>
  <c r="EE61" i="4"/>
  <c r="EM61" i="4"/>
  <c r="CQ61" i="4"/>
  <c r="CX61" i="4"/>
  <c r="DF61" i="4"/>
  <c r="DN61" i="4"/>
  <c r="DV61" i="4"/>
  <c r="ED61" i="4"/>
  <c r="EL61" i="4"/>
  <c r="CP61" i="4"/>
  <c r="CQ60" i="4"/>
  <c r="CY60" i="4"/>
  <c r="DG60" i="4"/>
  <c r="DO60" i="4"/>
  <c r="DW60" i="4"/>
  <c r="EE60" i="4"/>
  <c r="EM60" i="4"/>
  <c r="CU60" i="4"/>
  <c r="DC60" i="4"/>
  <c r="DK60" i="4"/>
  <c r="DS60" i="4"/>
  <c r="EA60" i="4"/>
  <c r="EI60" i="4"/>
  <c r="CM60" i="4"/>
  <c r="CO58" i="4"/>
  <c r="CW58" i="4"/>
  <c r="DE58" i="4"/>
  <c r="DM58" i="4"/>
  <c r="DU58" i="4"/>
  <c r="EC58" i="4"/>
  <c r="EK58" i="4"/>
  <c r="CG59" i="4"/>
  <c r="CV58" i="4"/>
  <c r="DD58" i="4"/>
  <c r="DL58" i="4"/>
  <c r="DT58" i="4"/>
  <c r="EB58" i="4"/>
  <c r="EJ58" i="4"/>
  <c r="CF59" i="4"/>
  <c r="CN58" i="4"/>
  <c r="CV57" i="4"/>
  <c r="DD57" i="4"/>
  <c r="DL57" i="4"/>
  <c r="DT57" i="4"/>
  <c r="EB57" i="4"/>
  <c r="EJ57" i="4"/>
  <c r="CN57" i="4"/>
  <c r="CW56" i="4"/>
  <c r="DE56" i="4"/>
  <c r="DM56" i="4"/>
  <c r="DU56" i="4"/>
  <c r="EC56" i="4"/>
  <c r="EK56" i="4"/>
  <c r="CO56" i="4"/>
  <c r="DB91" i="4"/>
  <c r="DB55" i="4"/>
  <c r="DJ55" i="4"/>
  <c r="DR55" i="4"/>
  <c r="DZ55" i="4"/>
  <c r="EH55" i="4"/>
  <c r="CX55" i="4"/>
  <c r="DF55" i="4"/>
  <c r="DN55" i="4"/>
  <c r="DV55" i="4"/>
  <c r="ED55" i="4"/>
  <c r="EL55" i="4"/>
  <c r="CP55" i="4"/>
  <c r="CN54" i="4"/>
  <c r="CV54" i="4"/>
  <c r="DD54" i="4"/>
  <c r="DL54" i="4"/>
  <c r="DT54" i="4"/>
  <c r="EB54" i="4"/>
  <c r="EJ54" i="4"/>
  <c r="CQ53" i="4"/>
  <c r="CY53" i="4"/>
  <c r="DG53" i="4"/>
  <c r="DO53" i="4"/>
  <c r="DW53" i="4"/>
  <c r="EE53" i="4"/>
  <c r="EM53" i="4"/>
  <c r="CQ51" i="4"/>
  <c r="CY51" i="4"/>
  <c r="DG51" i="4"/>
  <c r="DO51" i="4"/>
  <c r="DW51" i="4"/>
  <c r="EE51" i="4"/>
  <c r="EM51" i="4"/>
  <c r="CQ50" i="4"/>
  <c r="CY50" i="4"/>
  <c r="DG50" i="4"/>
  <c r="DO50" i="4"/>
  <c r="DW50" i="4"/>
  <c r="EE50" i="4"/>
  <c r="EM50" i="4"/>
  <c r="DG85" i="4"/>
  <c r="DO85" i="4"/>
  <c r="DW85" i="4"/>
  <c r="EE85" i="4"/>
  <c r="DG49" i="4"/>
  <c r="DO49" i="4"/>
  <c r="DW49" i="4"/>
  <c r="EE49" i="4"/>
  <c r="EM49" i="4"/>
  <c r="DH102" i="4"/>
  <c r="DP102" i="4"/>
  <c r="DX102" i="4"/>
  <c r="EF102" i="4"/>
  <c r="DH20" i="4"/>
  <c r="DP20" i="4"/>
  <c r="DX20" i="4"/>
  <c r="DF101" i="4"/>
  <c r="DN101" i="4"/>
  <c r="DV101" i="4"/>
  <c r="ED101" i="4"/>
  <c r="DF19" i="4"/>
  <c r="DN19" i="4"/>
  <c r="DV19" i="4"/>
  <c r="DC101" i="4"/>
  <c r="DK101" i="4"/>
  <c r="DS101" i="4"/>
  <c r="EA101" i="4"/>
  <c r="DC19" i="4"/>
  <c r="DK19" i="4"/>
  <c r="DS19" i="4"/>
  <c r="DF100" i="4"/>
  <c r="DN100" i="4"/>
  <c r="DV100" i="4"/>
  <c r="ED100" i="4"/>
  <c r="DF17" i="4"/>
  <c r="DN17" i="4"/>
  <c r="DV17" i="4"/>
  <c r="DF99" i="4"/>
  <c r="DN99" i="4"/>
  <c r="DV99" i="4"/>
  <c r="ED99" i="4"/>
  <c r="DF16" i="4"/>
  <c r="DN16" i="4"/>
  <c r="DV16" i="4"/>
  <c r="DC99" i="4"/>
  <c r="DK99" i="4"/>
  <c r="DS99" i="4"/>
  <c r="EA99" i="4"/>
  <c r="DC16" i="4"/>
  <c r="DK16" i="4"/>
  <c r="DS16" i="4"/>
  <c r="DE99" i="4"/>
  <c r="DM99" i="4"/>
  <c r="DU99" i="4"/>
  <c r="EC99" i="4"/>
  <c r="DE16" i="4"/>
  <c r="DM16" i="4"/>
  <c r="DU16" i="4"/>
  <c r="DC95" i="4"/>
  <c r="DK95" i="4"/>
  <c r="DS95" i="4"/>
  <c r="EA95" i="4"/>
  <c r="DC12" i="4"/>
  <c r="DK12" i="4"/>
  <c r="DS12" i="4"/>
  <c r="DE95" i="4"/>
  <c r="DM95" i="4"/>
  <c r="DU95" i="4"/>
  <c r="EC95" i="4"/>
  <c r="DE12" i="4"/>
  <c r="DM12" i="4"/>
  <c r="DU12" i="4"/>
  <c r="T38" i="32"/>
  <c r="AB9" i="32"/>
  <c r="AJ9" i="32"/>
  <c r="AR9" i="32"/>
  <c r="AZ9" i="32"/>
  <c r="BH9" i="32"/>
  <c r="BP9" i="32"/>
  <c r="BX9" i="32"/>
  <c r="CF9" i="32"/>
  <c r="CN9" i="32"/>
  <c r="CV9" i="32"/>
  <c r="AB5" i="32"/>
  <c r="AJ5" i="32"/>
  <c r="T34" i="32"/>
  <c r="CM68" i="4"/>
  <c r="CP67" i="4"/>
  <c r="CW68" i="4"/>
  <c r="DE68" i="4"/>
  <c r="DM68" i="4"/>
  <c r="DU68" i="4"/>
  <c r="EC68" i="4"/>
  <c r="EK68" i="4"/>
  <c r="CO68" i="4"/>
  <c r="CU66" i="4"/>
  <c r="DC66" i="4"/>
  <c r="DK66" i="4"/>
  <c r="DS66" i="4"/>
  <c r="EA66" i="4"/>
  <c r="EI66" i="4"/>
  <c r="CM66" i="4"/>
  <c r="CA64" i="4"/>
  <c r="CI65" i="4"/>
  <c r="BZ64" i="4"/>
  <c r="CH65" i="4"/>
  <c r="CW63" i="4"/>
  <c r="DE63" i="4"/>
  <c r="DM63" i="4"/>
  <c r="DU63" i="4"/>
  <c r="EC63" i="4"/>
  <c r="EK63" i="4"/>
  <c r="CO63" i="4"/>
  <c r="CV63" i="4"/>
  <c r="DD63" i="4"/>
  <c r="DL63" i="4"/>
  <c r="DT63" i="4"/>
  <c r="EB63" i="4"/>
  <c r="EJ63" i="4"/>
  <c r="CN63" i="4"/>
  <c r="CU61" i="4"/>
  <c r="DC61" i="4"/>
  <c r="DK61" i="4"/>
  <c r="DS61" i="4"/>
  <c r="EA61" i="4"/>
  <c r="EI61" i="4"/>
  <c r="CM61" i="4"/>
  <c r="CN61" i="4"/>
  <c r="CR60" i="4"/>
  <c r="CZ60" i="4"/>
  <c r="DH60" i="4"/>
  <c r="DP60" i="4"/>
  <c r="DX60" i="4"/>
  <c r="EF60" i="4"/>
  <c r="EN60" i="4"/>
  <c r="CX60" i="4"/>
  <c r="DF60" i="4"/>
  <c r="DN60" i="4"/>
  <c r="DV60" i="4"/>
  <c r="CP60" i="4"/>
  <c r="DB95" i="4"/>
  <c r="DB60" i="4"/>
  <c r="DJ60" i="4"/>
  <c r="DR60" i="4"/>
  <c r="DZ60" i="4"/>
  <c r="EH60" i="4"/>
  <c r="CQ57" i="4"/>
  <c r="CY57" i="4"/>
  <c r="DG57" i="4"/>
  <c r="DO57" i="4"/>
  <c r="DW57" i="4"/>
  <c r="EE57" i="4"/>
  <c r="EM57" i="4"/>
  <c r="CM57" i="4"/>
  <c r="CU57" i="4"/>
  <c r="DC57" i="4"/>
  <c r="DK57" i="4"/>
  <c r="DS57" i="4"/>
  <c r="EA57" i="4"/>
  <c r="EI57" i="4"/>
  <c r="CN56" i="4"/>
  <c r="CV56" i="4"/>
  <c r="DD56" i="4"/>
  <c r="DL56" i="4"/>
  <c r="DT56" i="4"/>
  <c r="EB56" i="4"/>
  <c r="EJ56" i="4"/>
  <c r="CW55" i="4"/>
  <c r="DE55" i="4"/>
  <c r="DM55" i="4"/>
  <c r="DU55" i="4"/>
  <c r="EC55" i="4"/>
  <c r="EK55" i="4"/>
  <c r="CO55" i="4"/>
  <c r="CX54" i="4"/>
  <c r="DF54" i="4"/>
  <c r="DN54" i="4"/>
  <c r="DV54" i="4"/>
  <c r="ED54" i="4"/>
  <c r="EL54" i="4"/>
  <c r="CP54" i="4"/>
  <c r="CM53" i="4"/>
  <c r="CU53" i="4"/>
  <c r="DC53" i="4"/>
  <c r="DK53" i="4"/>
  <c r="DS53" i="4"/>
  <c r="EA53" i="4"/>
  <c r="EI53" i="4"/>
  <c r="CW52" i="4"/>
  <c r="DE52" i="4"/>
  <c r="DM52" i="4"/>
  <c r="DU52" i="4"/>
  <c r="EC52" i="4"/>
  <c r="EK52" i="4"/>
  <c r="CO52" i="4"/>
  <c r="CV52" i="4"/>
  <c r="DD52" i="4"/>
  <c r="DL52" i="4"/>
  <c r="DT52" i="4"/>
  <c r="EB52" i="4"/>
  <c r="EJ52" i="4"/>
  <c r="CN52" i="4"/>
  <c r="CR50" i="4"/>
  <c r="CZ50" i="4"/>
  <c r="DH50" i="4"/>
  <c r="DP50" i="4"/>
  <c r="DX50" i="4"/>
  <c r="EF50" i="4"/>
  <c r="EN50" i="4"/>
  <c r="CN50" i="4"/>
  <c r="CV50" i="4"/>
  <c r="DL50" i="4"/>
  <c r="DT50" i="4"/>
  <c r="EB50" i="4"/>
  <c r="EJ50" i="4"/>
  <c r="DD85" i="4"/>
  <c r="DL85" i="4"/>
  <c r="DT85" i="4"/>
  <c r="EB85" i="4"/>
  <c r="DD49" i="4"/>
  <c r="DL49" i="4"/>
  <c r="DT49" i="4"/>
  <c r="EB49" i="4"/>
  <c r="EJ49" i="4"/>
  <c r="DG102" i="4"/>
  <c r="DO102" i="4"/>
  <c r="DW102" i="4"/>
  <c r="EE102" i="4"/>
  <c r="DG20" i="4"/>
  <c r="DO20" i="4"/>
  <c r="DW20" i="4"/>
  <c r="DH100" i="4"/>
  <c r="DP100" i="4"/>
  <c r="DX100" i="4"/>
  <c r="EF100" i="4"/>
  <c r="DH17" i="4"/>
  <c r="DP17" i="4"/>
  <c r="DX17" i="4"/>
  <c r="DF97" i="4"/>
  <c r="DN97" i="4"/>
  <c r="DV97" i="4"/>
  <c r="ED97" i="4"/>
  <c r="DF14" i="4"/>
  <c r="DN14" i="4"/>
  <c r="DV14" i="4"/>
  <c r="DD97" i="4"/>
  <c r="DL97" i="4"/>
  <c r="DT97" i="4"/>
  <c r="EB97" i="4"/>
  <c r="DD14" i="4"/>
  <c r="DL14" i="4"/>
  <c r="DT14" i="4"/>
  <c r="DH97" i="4"/>
  <c r="DP97" i="4"/>
  <c r="DX97" i="4"/>
  <c r="EF97" i="4"/>
  <c r="DH14" i="4"/>
  <c r="DP14" i="4"/>
  <c r="DX14" i="4"/>
  <c r="DE96" i="4"/>
  <c r="DM96" i="4"/>
  <c r="DU96" i="4"/>
  <c r="EC96" i="4"/>
  <c r="DE13" i="4"/>
  <c r="DM13" i="4"/>
  <c r="DU13" i="4"/>
  <c r="T35" i="32"/>
  <c r="AB6" i="32"/>
  <c r="AJ6" i="32"/>
  <c r="AR6" i="32"/>
  <c r="AZ6" i="32"/>
  <c r="BH6" i="32"/>
  <c r="BP6" i="32"/>
  <c r="BX6" i="32"/>
  <c r="CF6" i="32"/>
  <c r="CN6" i="32"/>
  <c r="CV6" i="32"/>
  <c r="CX68" i="4"/>
  <c r="DF68" i="4"/>
  <c r="DN68" i="4"/>
  <c r="DV68" i="4"/>
  <c r="ED68" i="4"/>
  <c r="EL68" i="4"/>
  <c r="CP68" i="4"/>
  <c r="CU65" i="4"/>
  <c r="DC65" i="4"/>
  <c r="DK65" i="4"/>
  <c r="DS65" i="4"/>
  <c r="EA65" i="4"/>
  <c r="EI65" i="4"/>
  <c r="CM65" i="4"/>
  <c r="CX64" i="4"/>
  <c r="DF64" i="4"/>
  <c r="DN64" i="4"/>
  <c r="DV64" i="4"/>
  <c r="ED64" i="4"/>
  <c r="EL64" i="4"/>
  <c r="CP64" i="4"/>
  <c r="CZ63" i="4"/>
  <c r="DH63" i="4"/>
  <c r="DP63" i="4"/>
  <c r="DX63" i="4"/>
  <c r="EF63" i="4"/>
  <c r="EN63" i="4"/>
  <c r="CU62" i="4"/>
  <c r="DC62" i="4"/>
  <c r="DK62" i="4"/>
  <c r="DS62" i="4"/>
  <c r="EA62" i="4"/>
  <c r="EI62" i="4"/>
  <c r="CM62" i="4"/>
  <c r="CZ61" i="4"/>
  <c r="DH61" i="4"/>
  <c r="DP61" i="4"/>
  <c r="DX61" i="4"/>
  <c r="EF61" i="4"/>
  <c r="EN61" i="4"/>
  <c r="CR61" i="4"/>
  <c r="CN60" i="4"/>
  <c r="CV60" i="4"/>
  <c r="DD60" i="4"/>
  <c r="DL60" i="4"/>
  <c r="DT60" i="4"/>
  <c r="EB60" i="4"/>
  <c r="EJ60" i="4"/>
  <c r="CQ58" i="4"/>
  <c r="CY58" i="4"/>
  <c r="DG58" i="4"/>
  <c r="DO58" i="4"/>
  <c r="DW58" i="4"/>
  <c r="EE58" i="4"/>
  <c r="EM58" i="4"/>
  <c r="DB93" i="4"/>
  <c r="DB57" i="4"/>
  <c r="DJ57" i="4"/>
  <c r="DR57" i="4"/>
  <c r="DZ57" i="4"/>
  <c r="EH57" i="4"/>
  <c r="CX57" i="4"/>
  <c r="DF57" i="4"/>
  <c r="DN57" i="4"/>
  <c r="DV57" i="4"/>
  <c r="ED57" i="4"/>
  <c r="EL57" i="4"/>
  <c r="CP57" i="4"/>
  <c r="CQ56" i="4"/>
  <c r="CY56" i="4"/>
  <c r="DG56" i="4"/>
  <c r="DO56" i="4"/>
  <c r="DW56" i="4"/>
  <c r="EE56" i="4"/>
  <c r="EM56" i="4"/>
  <c r="CM56" i="4"/>
  <c r="CU56" i="4"/>
  <c r="DC56" i="4"/>
  <c r="DK56" i="4"/>
  <c r="DS56" i="4"/>
  <c r="EA56" i="4"/>
  <c r="EI56" i="4"/>
  <c r="CN55" i="4"/>
  <c r="CV55" i="4"/>
  <c r="DD55" i="4"/>
  <c r="DL55" i="4"/>
  <c r="DT55" i="4"/>
  <c r="EB55" i="4"/>
  <c r="EJ55" i="4"/>
  <c r="CX53" i="4"/>
  <c r="DF53" i="4"/>
  <c r="DN53" i="4"/>
  <c r="DV53" i="4"/>
  <c r="ED53" i="4"/>
  <c r="EL53" i="4"/>
  <c r="CP53" i="4"/>
  <c r="DB87" i="4"/>
  <c r="DB51" i="4"/>
  <c r="DJ51" i="4"/>
  <c r="DR51" i="4"/>
  <c r="DZ51" i="4"/>
  <c r="EH51" i="4"/>
  <c r="CN51" i="4"/>
  <c r="CV51" i="4"/>
  <c r="DD51" i="4"/>
  <c r="DL51" i="4"/>
  <c r="DT51" i="4"/>
  <c r="EB51" i="4"/>
  <c r="EJ51" i="4"/>
  <c r="CX51" i="4"/>
  <c r="DF51" i="4"/>
  <c r="DN51" i="4"/>
  <c r="DV51" i="4"/>
  <c r="ED51" i="4"/>
  <c r="EL51" i="4"/>
  <c r="CP51" i="4"/>
  <c r="CX50" i="4"/>
  <c r="DF50" i="4"/>
  <c r="DN50" i="4"/>
  <c r="DV50" i="4"/>
  <c r="ED50" i="4"/>
  <c r="EL50" i="4"/>
  <c r="CP50" i="4"/>
  <c r="CU50" i="4"/>
  <c r="DC50" i="4"/>
  <c r="DK50" i="4"/>
  <c r="DS50" i="4"/>
  <c r="EA50" i="4"/>
  <c r="EI50" i="4"/>
  <c r="CM50" i="4"/>
  <c r="DC85" i="4"/>
  <c r="DK85" i="4"/>
  <c r="DS85" i="4"/>
  <c r="EA85" i="4"/>
  <c r="DC49" i="4"/>
  <c r="DK49" i="4"/>
  <c r="DS49" i="4"/>
  <c r="EA49" i="4"/>
  <c r="EI49" i="4"/>
  <c r="DC102" i="4"/>
  <c r="DK102" i="4"/>
  <c r="DS102" i="4"/>
  <c r="EA102" i="4"/>
  <c r="DC20" i="4"/>
  <c r="DK20" i="4"/>
  <c r="DS20" i="4"/>
  <c r="DD102" i="4"/>
  <c r="DL102" i="4"/>
  <c r="DT102" i="4"/>
  <c r="EB102" i="4"/>
  <c r="DD20" i="4"/>
  <c r="DL20" i="4"/>
  <c r="DT20" i="4"/>
  <c r="DE102" i="4"/>
  <c r="DM102" i="4"/>
  <c r="DU102" i="4"/>
  <c r="EC102" i="4"/>
  <c r="DE20" i="4"/>
  <c r="DM20" i="4"/>
  <c r="DU20" i="4"/>
  <c r="DE100" i="4"/>
  <c r="DM100" i="4"/>
  <c r="DU100" i="4"/>
  <c r="EC100" i="4"/>
  <c r="DE17" i="4"/>
  <c r="DM17" i="4"/>
  <c r="DU17" i="4"/>
  <c r="DD100" i="4"/>
  <c r="DL100" i="4"/>
  <c r="DT100" i="4"/>
  <c r="EB100" i="4"/>
  <c r="DD17" i="4"/>
  <c r="DL17" i="4"/>
  <c r="DT17" i="4"/>
  <c r="DH99" i="4"/>
  <c r="DP99" i="4"/>
  <c r="DX99" i="4"/>
  <c r="EF99" i="4"/>
  <c r="DH16" i="4"/>
  <c r="DP16" i="4"/>
  <c r="DX16" i="4"/>
  <c r="DG99" i="4"/>
  <c r="DO99" i="4"/>
  <c r="DW99" i="4"/>
  <c r="EE99" i="4"/>
  <c r="DG16" i="4"/>
  <c r="DO16" i="4"/>
  <c r="DW16" i="4"/>
  <c r="DH98" i="4"/>
  <c r="DP98" i="4"/>
  <c r="DX98" i="4"/>
  <c r="EF98" i="4"/>
  <c r="DH15" i="4"/>
  <c r="DP15" i="4"/>
  <c r="DX15" i="4"/>
  <c r="DC98" i="4"/>
  <c r="DK98" i="4"/>
  <c r="DS98" i="4"/>
  <c r="EA98" i="4"/>
  <c r="DC15" i="4"/>
  <c r="DK15" i="4"/>
  <c r="DS15" i="4"/>
  <c r="DB102" i="4"/>
  <c r="DB68" i="4"/>
  <c r="DJ68" i="4"/>
  <c r="DR68" i="4"/>
  <c r="DZ68" i="4"/>
  <c r="EH68" i="4"/>
  <c r="CN66" i="4"/>
  <c r="CV64" i="4"/>
  <c r="DD64" i="4"/>
  <c r="DL64" i="4"/>
  <c r="DT64" i="4"/>
  <c r="EB64" i="4"/>
  <c r="EJ64" i="4"/>
  <c r="CB64" i="4"/>
  <c r="CJ65" i="4"/>
  <c r="CQ63" i="4"/>
  <c r="CY63" i="4"/>
  <c r="DG63" i="4"/>
  <c r="DO63" i="4"/>
  <c r="DW63" i="4"/>
  <c r="EE63" i="4"/>
  <c r="EM63" i="4"/>
  <c r="CZ62" i="4"/>
  <c r="DH62" i="4"/>
  <c r="DP62" i="4"/>
  <c r="DX62" i="4"/>
  <c r="EF62" i="4"/>
  <c r="EN62" i="4"/>
  <c r="CR62" i="4"/>
  <c r="CP62" i="4"/>
  <c r="CX62" i="4"/>
  <c r="DF62" i="4"/>
  <c r="DN62" i="4"/>
  <c r="DV62" i="4"/>
  <c r="ED62" i="4"/>
  <c r="EL62" i="4"/>
  <c r="DB97" i="4"/>
  <c r="DB62" i="4"/>
  <c r="DJ62" i="4"/>
  <c r="DR62" i="4"/>
  <c r="DZ62" i="4"/>
  <c r="EH62" i="4"/>
  <c r="DB96" i="4"/>
  <c r="DB61" i="4"/>
  <c r="DJ61" i="4"/>
  <c r="DR61" i="4"/>
  <c r="DZ61" i="4"/>
  <c r="EH61" i="4"/>
  <c r="CD58" i="4"/>
  <c r="CL58" i="4"/>
  <c r="CT58" i="4"/>
  <c r="CD59" i="4"/>
  <c r="CL59" i="4"/>
  <c r="CT59" i="4"/>
  <c r="CW57" i="4"/>
  <c r="DE57" i="4"/>
  <c r="DM57" i="4"/>
  <c r="DU57" i="4"/>
  <c r="EC57" i="4"/>
  <c r="EK57" i="4"/>
  <c r="CO57" i="4"/>
  <c r="DB92" i="4"/>
  <c r="DB56" i="4"/>
  <c r="DJ56" i="4"/>
  <c r="DR56" i="4"/>
  <c r="DZ56" i="4"/>
  <c r="EH56" i="4"/>
  <c r="CP56" i="4"/>
  <c r="CX56" i="4"/>
  <c r="DF56" i="4"/>
  <c r="DN56" i="4"/>
  <c r="DV56" i="4"/>
  <c r="ED56" i="4"/>
  <c r="EL56" i="4"/>
  <c r="CQ55" i="4"/>
  <c r="CY55" i="4"/>
  <c r="DG55" i="4"/>
  <c r="DO55" i="4"/>
  <c r="DW55" i="4"/>
  <c r="EE55" i="4"/>
  <c r="EM55" i="4"/>
  <c r="CM55" i="4"/>
  <c r="CU55" i="4"/>
  <c r="DC55" i="4"/>
  <c r="DK55" i="4"/>
  <c r="DS55" i="4"/>
  <c r="EA55" i="4"/>
  <c r="EI55" i="4"/>
  <c r="CW54" i="4"/>
  <c r="DE54" i="4"/>
  <c r="DM54" i="4"/>
  <c r="DU54" i="4"/>
  <c r="EC54" i="4"/>
  <c r="EK54" i="4"/>
  <c r="CO54" i="4"/>
  <c r="CQ54" i="4"/>
  <c r="CY54" i="4"/>
  <c r="DG54" i="4"/>
  <c r="DO54" i="4"/>
  <c r="DW54" i="4"/>
  <c r="EE54" i="4"/>
  <c r="EM54" i="4"/>
  <c r="CM54" i="4"/>
  <c r="CU54" i="4"/>
  <c r="DC54" i="4"/>
  <c r="DK54" i="4"/>
  <c r="DS54" i="4"/>
  <c r="EA54" i="4"/>
  <c r="EI54" i="4"/>
  <c r="CO53" i="4"/>
  <c r="CW53" i="4"/>
  <c r="DE53" i="4"/>
  <c r="DM53" i="4"/>
  <c r="DU53" i="4"/>
  <c r="EC53" i="4"/>
  <c r="EK53" i="4"/>
  <c r="CQ52" i="4"/>
  <c r="CY52" i="4"/>
  <c r="DG52" i="4"/>
  <c r="DO52" i="4"/>
  <c r="DW52" i="4"/>
  <c r="EE52" i="4"/>
  <c r="EM52" i="4"/>
  <c r="CP52" i="4"/>
  <c r="CX52" i="4"/>
  <c r="DF52" i="4"/>
  <c r="DN52" i="4"/>
  <c r="DV52" i="4"/>
  <c r="ED52" i="4"/>
  <c r="EL52" i="4"/>
  <c r="CW51" i="4"/>
  <c r="DE51" i="4"/>
  <c r="DM51" i="4"/>
  <c r="DU51" i="4"/>
  <c r="EC51" i="4"/>
  <c r="EK51" i="4"/>
  <c r="CO51" i="4"/>
  <c r="CM51" i="4"/>
  <c r="CU51" i="4"/>
  <c r="DC51" i="4"/>
  <c r="DK51" i="4"/>
  <c r="DS51" i="4"/>
  <c r="EA51" i="4"/>
  <c r="EI51" i="4"/>
  <c r="CW50" i="4"/>
  <c r="DE50" i="4"/>
  <c r="DM50" i="4"/>
  <c r="DU50" i="4"/>
  <c r="EC50" i="4"/>
  <c r="EK50" i="4"/>
  <c r="CO50" i="4"/>
  <c r="DF85" i="4"/>
  <c r="DN85" i="4"/>
  <c r="DV85" i="4"/>
  <c r="ED85" i="4"/>
  <c r="DF49" i="4"/>
  <c r="DN49" i="4"/>
  <c r="DV49" i="4"/>
  <c r="ED49" i="4"/>
  <c r="EL49" i="4"/>
  <c r="DH85" i="4"/>
  <c r="DP85" i="4"/>
  <c r="DX85" i="4"/>
  <c r="EF85" i="4"/>
  <c r="DH49" i="4"/>
  <c r="DP49" i="4"/>
  <c r="DX49" i="4"/>
  <c r="EF49" i="4"/>
  <c r="EN49" i="4"/>
  <c r="DF102" i="4"/>
  <c r="DN102" i="4"/>
  <c r="DV102" i="4"/>
  <c r="ED102" i="4"/>
  <c r="DF20" i="4"/>
  <c r="DN20" i="4"/>
  <c r="DV20" i="4"/>
  <c r="DE101" i="4"/>
  <c r="DM101" i="4"/>
  <c r="DU101" i="4"/>
  <c r="EC101" i="4"/>
  <c r="DE19" i="4"/>
  <c r="DM19" i="4"/>
  <c r="DU19" i="4"/>
  <c r="DD96" i="4"/>
  <c r="DL96" i="4"/>
  <c r="DT96" i="4"/>
  <c r="EB96" i="4"/>
  <c r="DD13" i="4"/>
  <c r="DL13" i="4"/>
  <c r="DT13" i="4"/>
  <c r="DC96" i="4"/>
  <c r="DK96" i="4"/>
  <c r="DS96" i="4"/>
  <c r="EA96" i="4"/>
  <c r="DC13" i="4"/>
  <c r="DK13" i="4"/>
  <c r="DS13" i="4"/>
  <c r="BV30" i="4"/>
  <c r="BV31" i="4"/>
  <c r="BV32" i="4"/>
  <c r="C130" i="1"/>
  <c r="BF30" i="4"/>
  <c r="BF31" i="4"/>
  <c r="BF32" i="4"/>
  <c r="C128" i="1"/>
  <c r="DE98" i="4"/>
  <c r="DM98" i="4"/>
  <c r="DU98" i="4"/>
  <c r="EC98" i="4"/>
  <c r="DE15" i="4"/>
  <c r="DM15" i="4"/>
  <c r="DU15" i="4"/>
  <c r="CJ11" i="4"/>
  <c r="CJ10" i="4"/>
  <c r="DG93" i="4"/>
  <c r="DO93" i="4"/>
  <c r="DW93" i="4"/>
  <c r="EE93" i="4"/>
  <c r="DG9" i="4"/>
  <c r="DO9" i="4"/>
  <c r="DW9" i="4"/>
  <c r="BH23" i="32"/>
  <c r="AP66" i="4"/>
  <c r="AQ62" i="4"/>
  <c r="AY62" i="4"/>
  <c r="BG62" i="4"/>
  <c r="BO62" i="4"/>
  <c r="BW62" i="4"/>
  <c r="CE63" i="4"/>
  <c r="AX60" i="4"/>
  <c r="BN60" i="4"/>
  <c r="AS60" i="4"/>
  <c r="BA60" i="4"/>
  <c r="BI60" i="4"/>
  <c r="BQ60" i="4"/>
  <c r="BY60" i="4"/>
  <c r="CG61" i="4"/>
  <c r="AQ58" i="4"/>
  <c r="AY58" i="4"/>
  <c r="BG58" i="4"/>
  <c r="BO58" i="4"/>
  <c r="BW58" i="4"/>
  <c r="CE58" i="4"/>
  <c r="BF53" i="4"/>
  <c r="BV53" i="4"/>
  <c r="CD53" i="4"/>
  <c r="CL53" i="4"/>
  <c r="CT53" i="4"/>
  <c r="DH101" i="4"/>
  <c r="DP101" i="4"/>
  <c r="DX101" i="4"/>
  <c r="EF101" i="4"/>
  <c r="DH19" i="4"/>
  <c r="DP19" i="4"/>
  <c r="DX19" i="4"/>
  <c r="DG97" i="4"/>
  <c r="DO97" i="4"/>
  <c r="DW97" i="4"/>
  <c r="EE97" i="4"/>
  <c r="DG14" i="4"/>
  <c r="DO14" i="4"/>
  <c r="DW14" i="4"/>
  <c r="DG96" i="4"/>
  <c r="DO96" i="4"/>
  <c r="DW96" i="4"/>
  <c r="EE96" i="4"/>
  <c r="DG13" i="4"/>
  <c r="DO13" i="4"/>
  <c r="DW13" i="4"/>
  <c r="DH96" i="4"/>
  <c r="DP96" i="4"/>
  <c r="DX96" i="4"/>
  <c r="EF96" i="4"/>
  <c r="DH13" i="4"/>
  <c r="DP13" i="4"/>
  <c r="DX13" i="4"/>
  <c r="CH11" i="4"/>
  <c r="CP11" i="4"/>
  <c r="DF95" i="4"/>
  <c r="DN95" i="4"/>
  <c r="DV95" i="4"/>
  <c r="ED95" i="4"/>
  <c r="DF12" i="4"/>
  <c r="DD95" i="4"/>
  <c r="DL95" i="4"/>
  <c r="DT95" i="4"/>
  <c r="EB95" i="4"/>
  <c r="DD12" i="4"/>
  <c r="DL12" i="4"/>
  <c r="DT12" i="4"/>
  <c r="DE93" i="4"/>
  <c r="DM93" i="4"/>
  <c r="DU93" i="4"/>
  <c r="EC93" i="4"/>
  <c r="DE9" i="4"/>
  <c r="DM9" i="4"/>
  <c r="DU9" i="4"/>
  <c r="DC89" i="4"/>
  <c r="DK89" i="4"/>
  <c r="DS89" i="4"/>
  <c r="EA89" i="4"/>
  <c r="DC5" i="4"/>
  <c r="DK5" i="4"/>
  <c r="DS5" i="4"/>
  <c r="AS5" i="4"/>
  <c r="BA5" i="4"/>
  <c r="BI5" i="4"/>
  <c r="BQ5" i="4"/>
  <c r="BY5" i="4"/>
  <c r="CF5" i="4"/>
  <c r="CN5" i="4"/>
  <c r="CV5" i="4"/>
  <c r="AS53" i="4"/>
  <c r="BA53" i="4"/>
  <c r="BI53" i="4"/>
  <c r="BQ53" i="4"/>
  <c r="BY53" i="4"/>
  <c r="CF53" i="4"/>
  <c r="DF88" i="4"/>
  <c r="DN88" i="4"/>
  <c r="DV88" i="4"/>
  <c r="ED88" i="4"/>
  <c r="DF4" i="4"/>
  <c r="DN4" i="4"/>
  <c r="DV4" i="4"/>
  <c r="DC88" i="4"/>
  <c r="DK88" i="4"/>
  <c r="DS88" i="4"/>
  <c r="EA88" i="4"/>
  <c r="DC4" i="4"/>
  <c r="DK4" i="4"/>
  <c r="DS4" i="4"/>
  <c r="CL30" i="4"/>
  <c r="CL31" i="4"/>
  <c r="CL32" i="4"/>
  <c r="C132" i="1"/>
  <c r="CG10" i="4"/>
  <c r="CO10" i="4"/>
  <c r="CW10" i="4"/>
  <c r="CG11" i="4"/>
  <c r="CO11" i="4"/>
  <c r="CW11" i="4"/>
  <c r="CE11" i="4"/>
  <c r="CM11" i="4"/>
  <c r="CU11" i="4"/>
  <c r="CE10" i="4"/>
  <c r="CM10" i="4"/>
  <c r="CU10" i="4"/>
  <c r="AQ53" i="32"/>
  <c r="AY53" i="32"/>
  <c r="BG53" i="32"/>
  <c r="BO53" i="32"/>
  <c r="BW53" i="32"/>
  <c r="S34" i="32"/>
  <c r="AX65" i="4"/>
  <c r="BN65" i="4"/>
  <c r="AT62" i="4"/>
  <c r="BB62" i="4"/>
  <c r="BJ62" i="4"/>
  <c r="BR62" i="4"/>
  <c r="BZ62" i="4"/>
  <c r="CH63" i="4"/>
  <c r="AX61" i="4"/>
  <c r="BN61" i="4"/>
  <c r="AX59" i="4"/>
  <c r="BN59" i="4"/>
  <c r="AT58" i="4"/>
  <c r="BB58" i="4"/>
  <c r="BJ58" i="4"/>
  <c r="BR58" i="4"/>
  <c r="BZ58" i="4"/>
  <c r="CH58" i="4"/>
  <c r="DD101" i="4"/>
  <c r="DL101" i="4"/>
  <c r="DT101" i="4"/>
  <c r="EB101" i="4"/>
  <c r="DD19" i="4"/>
  <c r="DL19" i="4"/>
  <c r="DT19" i="4"/>
  <c r="AQ16" i="4"/>
  <c r="AY16" i="4"/>
  <c r="BG16" i="4"/>
  <c r="BO16" i="4"/>
  <c r="BW16" i="4"/>
  <c r="CE17" i="4"/>
  <c r="CM17" i="4"/>
  <c r="CU17" i="4"/>
  <c r="DD98" i="4"/>
  <c r="DL98" i="4"/>
  <c r="DT98" i="4"/>
  <c r="EB98" i="4"/>
  <c r="DD15" i="4"/>
  <c r="DL15" i="4"/>
  <c r="DT15" i="4"/>
  <c r="DH12" i="4"/>
  <c r="DP12" i="4"/>
  <c r="DX12" i="4"/>
  <c r="DF96" i="4"/>
  <c r="DN96" i="4"/>
  <c r="DV96" i="4"/>
  <c r="ED96" i="4"/>
  <c r="DF13" i="4"/>
  <c r="DN13" i="4"/>
  <c r="DV13" i="4"/>
  <c r="DG95" i="4"/>
  <c r="DO95" i="4"/>
  <c r="DW95" i="4"/>
  <c r="EE95" i="4"/>
  <c r="DG12" i="4"/>
  <c r="DO12" i="4"/>
  <c r="DW12" i="4"/>
  <c r="DG94" i="4"/>
  <c r="DO94" i="4"/>
  <c r="DW94" i="4"/>
  <c r="EE94" i="4"/>
  <c r="DG10" i="4"/>
  <c r="DO10" i="4"/>
  <c r="DW10" i="4"/>
  <c r="DE92" i="4"/>
  <c r="DM92" i="4"/>
  <c r="DU92" i="4"/>
  <c r="EC92" i="4"/>
  <c r="DE8" i="4"/>
  <c r="DM8" i="4"/>
  <c r="DU8" i="4"/>
  <c r="DF91" i="4"/>
  <c r="DN91" i="4"/>
  <c r="DV91" i="4"/>
  <c r="ED91" i="4"/>
  <c r="DF7" i="4"/>
  <c r="DN7" i="4"/>
  <c r="DV7" i="4"/>
  <c r="DG91" i="4"/>
  <c r="DO91" i="4"/>
  <c r="DW91" i="4"/>
  <c r="EE91" i="4"/>
  <c r="DG7" i="4"/>
  <c r="DO7" i="4"/>
  <c r="DW7" i="4"/>
  <c r="BI49" i="4"/>
  <c r="BY49" i="4"/>
  <c r="CG49" i="4"/>
  <c r="CO49" i="4"/>
  <c r="CW49" i="4"/>
  <c r="BA49" i="4"/>
  <c r="BQ49" i="4"/>
  <c r="DF98" i="4"/>
  <c r="DN98" i="4"/>
  <c r="DV98" i="4"/>
  <c r="ED98" i="4"/>
  <c r="DF15" i="4"/>
  <c r="DN15" i="4"/>
  <c r="DV15" i="4"/>
  <c r="DD94" i="4"/>
  <c r="DL94" i="4"/>
  <c r="DT94" i="4"/>
  <c r="EB94" i="4"/>
  <c r="DD10" i="4"/>
  <c r="DL10" i="4"/>
  <c r="DT10" i="4"/>
  <c r="DF94" i="4"/>
  <c r="DN94" i="4"/>
  <c r="DV94" i="4"/>
  <c r="ED94" i="4"/>
  <c r="DF10" i="4"/>
  <c r="DN10" i="4"/>
  <c r="DV10" i="4"/>
  <c r="CL10" i="4"/>
  <c r="CL11" i="4"/>
  <c r="DF93" i="4"/>
  <c r="DN93" i="4"/>
  <c r="DV93" i="4"/>
  <c r="ED93" i="4"/>
  <c r="DF9" i="4"/>
  <c r="DN9" i="4"/>
  <c r="DV9" i="4"/>
  <c r="S38" i="32"/>
  <c r="BX23" i="32"/>
  <c r="AR23" i="32"/>
  <c r="W13" i="32"/>
  <c r="W42" i="32"/>
  <c r="DG100" i="4"/>
  <c r="DO100" i="4"/>
  <c r="DW100" i="4"/>
  <c r="EE100" i="4"/>
  <c r="DG17" i="4"/>
  <c r="DO17" i="4"/>
  <c r="DW17" i="4"/>
  <c r="DC97" i="4"/>
  <c r="DK97" i="4"/>
  <c r="DS97" i="4"/>
  <c r="EA97" i="4"/>
  <c r="DC14" i="4"/>
  <c r="DK14" i="4"/>
  <c r="DS14" i="4"/>
  <c r="DG8" i="4"/>
  <c r="DO8" i="4"/>
  <c r="DW8" i="4"/>
  <c r="DE91" i="4"/>
  <c r="DM91" i="4"/>
  <c r="DU91" i="4"/>
  <c r="EC91" i="4"/>
  <c r="DE7" i="4"/>
  <c r="DM7" i="4"/>
  <c r="DU7" i="4"/>
  <c r="DG90" i="4"/>
  <c r="DO90" i="4"/>
  <c r="DW90" i="4"/>
  <c r="EE90" i="4"/>
  <c r="DG6" i="4"/>
  <c r="DO6" i="4"/>
  <c r="DW6" i="4"/>
  <c r="DC93" i="4"/>
  <c r="DK93" i="4"/>
  <c r="DS93" i="4"/>
  <c r="EA93" i="4"/>
  <c r="DC9" i="4"/>
  <c r="DK9" i="4"/>
  <c r="DS9" i="4"/>
  <c r="DF92" i="4"/>
  <c r="DN92" i="4"/>
  <c r="DV92" i="4"/>
  <c r="ED92" i="4"/>
  <c r="DF8" i="4"/>
  <c r="DN8" i="4"/>
  <c r="DV8" i="4"/>
  <c r="DC92" i="4"/>
  <c r="DK92" i="4"/>
  <c r="DS92" i="4"/>
  <c r="EA92" i="4"/>
  <c r="DC8" i="4"/>
  <c r="DK8" i="4"/>
  <c r="DS8" i="4"/>
  <c r="DD6" i="4"/>
  <c r="DL6" i="4"/>
  <c r="DT6" i="4"/>
  <c r="DD92" i="4"/>
  <c r="DL92" i="4"/>
  <c r="DT92" i="4"/>
  <c r="EB92" i="4"/>
  <c r="DD8" i="4"/>
  <c r="DL8" i="4"/>
  <c r="DT8" i="4"/>
  <c r="DC91" i="4"/>
  <c r="DK91" i="4"/>
  <c r="DS91" i="4"/>
  <c r="EA91" i="4"/>
  <c r="DC7" i="4"/>
  <c r="DK7" i="4"/>
  <c r="DS7" i="4"/>
  <c r="DD91" i="4"/>
  <c r="DL91" i="4"/>
  <c r="DT91" i="4"/>
  <c r="EB91" i="4"/>
  <c r="DD7" i="4"/>
  <c r="DL7" i="4"/>
  <c r="DT7" i="4"/>
  <c r="DC90" i="4"/>
  <c r="DK90" i="4"/>
  <c r="DS90" i="4"/>
  <c r="EA90" i="4"/>
  <c r="DC6" i="4"/>
  <c r="DK6" i="4"/>
  <c r="DS6" i="4"/>
  <c r="DC87" i="4"/>
  <c r="DK87" i="4"/>
  <c r="DS87" i="4"/>
  <c r="EA87" i="4"/>
  <c r="DC3" i="4"/>
  <c r="DK3" i="4"/>
  <c r="DS3" i="4"/>
  <c r="DF90" i="4"/>
  <c r="DN90" i="4"/>
  <c r="DV90" i="4"/>
  <c r="ED90" i="4"/>
  <c r="DF6" i="4"/>
  <c r="DN6" i="4"/>
  <c r="DV6" i="4"/>
  <c r="DE88" i="4"/>
  <c r="DM88" i="4"/>
  <c r="DU88" i="4"/>
  <c r="EC88" i="4"/>
  <c r="DE4" i="4"/>
  <c r="DM4" i="4"/>
  <c r="DU4" i="4"/>
  <c r="DF87" i="4"/>
  <c r="DN87" i="4"/>
  <c r="DV87" i="4"/>
  <c r="ED87" i="4"/>
  <c r="DF3" i="4"/>
  <c r="DN3" i="4"/>
  <c r="DV3" i="4"/>
  <c r="DE86" i="4"/>
  <c r="DM86" i="4"/>
  <c r="DU86" i="4"/>
  <c r="EC86" i="4"/>
  <c r="DE2" i="4"/>
  <c r="DM2" i="4"/>
  <c r="DU2" i="4"/>
  <c r="DC86" i="4"/>
  <c r="DK86" i="4"/>
  <c r="DS86" i="4"/>
  <c r="EA86" i="4"/>
  <c r="DC2" i="4"/>
  <c r="DG86" i="4"/>
  <c r="DO86" i="4"/>
  <c r="DW86" i="4"/>
  <c r="EE86" i="4"/>
  <c r="DG2" i="4"/>
  <c r="DO2" i="4"/>
  <c r="DW2" i="4"/>
  <c r="DE89" i="4"/>
  <c r="DM89" i="4"/>
  <c r="DU89" i="4"/>
  <c r="EC89" i="4"/>
  <c r="DG87" i="4"/>
  <c r="DO87" i="4"/>
  <c r="DW87" i="4"/>
  <c r="EE87" i="4"/>
  <c r="DG3" i="4"/>
  <c r="DO3" i="4"/>
  <c r="DW3" i="4"/>
  <c r="DF86" i="4"/>
  <c r="DN86" i="4"/>
  <c r="DV86" i="4"/>
  <c r="ED86" i="4"/>
  <c r="DF2" i="4"/>
  <c r="DN2" i="4"/>
  <c r="DV2" i="4"/>
  <c r="DH86" i="4"/>
  <c r="DP86" i="4"/>
  <c r="DX86" i="4"/>
  <c r="EF86" i="4"/>
  <c r="DH2" i="4"/>
  <c r="DP2" i="4"/>
  <c r="DX2" i="4"/>
  <c r="DE90" i="4"/>
  <c r="DM90" i="4"/>
  <c r="DU90" i="4"/>
  <c r="EC90" i="4"/>
  <c r="DE6" i="4"/>
  <c r="DM6" i="4"/>
  <c r="DU6" i="4"/>
  <c r="DD88" i="4"/>
  <c r="DL88" i="4"/>
  <c r="DT88" i="4"/>
  <c r="EB88" i="4"/>
  <c r="DD4" i="4"/>
  <c r="DL4" i="4"/>
  <c r="DT4" i="4"/>
  <c r="DE87" i="4"/>
  <c r="DM87" i="4"/>
  <c r="DU87" i="4"/>
  <c r="EC87" i="4"/>
  <c r="DE3" i="4"/>
  <c r="DM3" i="4"/>
  <c r="DU3" i="4"/>
  <c r="DD87" i="4"/>
  <c r="DL87" i="4"/>
  <c r="DT87" i="4"/>
  <c r="EB87" i="4"/>
  <c r="DD3" i="4"/>
  <c r="DL3" i="4"/>
  <c r="DT3" i="4"/>
  <c r="DD86" i="4"/>
  <c r="DL86" i="4"/>
  <c r="DT86" i="4"/>
  <c r="EB86" i="4"/>
  <c r="DD2" i="4"/>
  <c r="DL2" i="4"/>
  <c r="DT2" i="4"/>
  <c r="AS51" i="32"/>
  <c r="BA51" i="32"/>
  <c r="BI51" i="32"/>
  <c r="BQ51" i="32"/>
  <c r="BY51" i="32"/>
  <c r="X33" i="32"/>
  <c r="U32" i="32"/>
  <c r="L84" i="22"/>
  <c r="L102" i="22"/>
  <c r="L120" i="22"/>
  <c r="L138" i="22"/>
  <c r="L156" i="22"/>
  <c r="L174" i="22"/>
  <c r="L192" i="22"/>
  <c r="L78" i="22"/>
  <c r="AV56" i="32"/>
  <c r="BD56" i="32"/>
  <c r="BL56" i="32"/>
  <c r="BT56" i="32"/>
  <c r="CB56" i="32"/>
  <c r="AV54" i="32"/>
  <c r="BD54" i="32"/>
  <c r="BL54" i="32"/>
  <c r="BT54" i="32"/>
  <c r="CB54" i="32"/>
  <c r="AQ52" i="32"/>
  <c r="AY52" i="32"/>
  <c r="BG52" i="32"/>
  <c r="BO52" i="32"/>
  <c r="BW52" i="32"/>
  <c r="T36" i="32"/>
  <c r="X35" i="32"/>
  <c r="T32" i="32"/>
  <c r="X38" i="32"/>
  <c r="AV57" i="32"/>
  <c r="BD57" i="32"/>
  <c r="BL57" i="32"/>
  <c r="BT57" i="32"/>
  <c r="CB57" i="32"/>
  <c r="S33" i="32"/>
  <c r="S31" i="32"/>
  <c r="AQ8" i="32"/>
  <c r="AY8" i="32"/>
  <c r="BG8" i="32"/>
  <c r="BO8" i="32"/>
  <c r="BW8" i="32"/>
  <c r="CE8" i="32"/>
  <c r="CM8" i="32"/>
  <c r="CU8" i="32"/>
  <c r="DK8" i="32"/>
  <c r="DS8" i="32"/>
  <c r="AQ56" i="32"/>
  <c r="AY56" i="32"/>
  <c r="BG56" i="32"/>
  <c r="BO56" i="32"/>
  <c r="BW56" i="32"/>
  <c r="L71" i="22"/>
  <c r="L89" i="22"/>
  <c r="L107" i="22"/>
  <c r="L125" i="22"/>
  <c r="L143" i="22"/>
  <c r="L161" i="22"/>
  <c r="L179" i="22"/>
  <c r="L197" i="22"/>
  <c r="L67" i="22"/>
  <c r="L85" i="22"/>
  <c r="L103" i="22"/>
  <c r="L121" i="22"/>
  <c r="L139" i="22"/>
  <c r="L157" i="22"/>
  <c r="L175" i="22"/>
  <c r="L193" i="22"/>
  <c r="L63" i="22"/>
  <c r="L81" i="22"/>
  <c r="L99" i="22"/>
  <c r="L117" i="22"/>
  <c r="L135" i="22"/>
  <c r="L153" i="22"/>
  <c r="L171" i="22"/>
  <c r="L189" i="22"/>
  <c r="AB4" i="32"/>
  <c r="AJ4" i="32"/>
  <c r="AA3" i="32"/>
  <c r="AI3" i="32"/>
  <c r="AQ3" i="32"/>
  <c r="AY3" i="32"/>
  <c r="BG3" i="32"/>
  <c r="BO3" i="32"/>
  <c r="BW3" i="32"/>
  <c r="CE3" i="32"/>
  <c r="CM3" i="32"/>
  <c r="CU3" i="32"/>
  <c r="DK3" i="32"/>
  <c r="DS3" i="32"/>
  <c r="L68" i="22"/>
  <c r="L86" i="22"/>
  <c r="L104" i="22"/>
  <c r="L122" i="22"/>
  <c r="L140" i="22"/>
  <c r="L158" i="22"/>
  <c r="L176" i="22"/>
  <c r="L194" i="22"/>
  <c r="L64" i="22"/>
  <c r="L82" i="22"/>
  <c r="L100" i="22"/>
  <c r="L118" i="22"/>
  <c r="L136" i="22"/>
  <c r="L154" i="22"/>
  <c r="L172" i="22"/>
  <c r="L190" i="22"/>
  <c r="L61" i="22"/>
  <c r="L79" i="22"/>
  <c r="L101" i="22"/>
  <c r="L119" i="22"/>
  <c r="L137" i="22"/>
  <c r="L155" i="22"/>
  <c r="L173" i="22"/>
  <c r="L191" i="22"/>
  <c r="AR8" i="32"/>
  <c r="AZ8" i="32"/>
  <c r="BH8" i="32"/>
  <c r="BP8" i="32"/>
  <c r="BX8" i="32"/>
  <c r="CF8" i="32"/>
  <c r="CN8" i="32"/>
  <c r="CV8" i="32"/>
  <c r="AR56" i="32"/>
  <c r="AZ56" i="32"/>
  <c r="BH56" i="32"/>
  <c r="BP56" i="32"/>
  <c r="BX56" i="32"/>
  <c r="AR5" i="32"/>
  <c r="AZ5" i="32"/>
  <c r="BH5" i="32"/>
  <c r="BP5" i="32"/>
  <c r="BX5" i="32"/>
  <c r="CF5" i="32"/>
  <c r="CN5" i="32"/>
  <c r="CV5" i="32"/>
  <c r="AR53" i="32"/>
  <c r="AZ53" i="32"/>
  <c r="BH53" i="32"/>
  <c r="BP53" i="32"/>
  <c r="BX53" i="32"/>
  <c r="AR2" i="32"/>
  <c r="AZ2" i="32"/>
  <c r="BH2" i="32"/>
  <c r="BP2" i="32"/>
  <c r="BX2" i="32"/>
  <c r="CF2" i="32"/>
  <c r="CN2" i="32"/>
  <c r="CV2" i="32"/>
  <c r="AR50" i="32"/>
  <c r="AZ50" i="32"/>
  <c r="BH50" i="32"/>
  <c r="BP50" i="32"/>
  <c r="BX50" i="32"/>
  <c r="AV5" i="32"/>
  <c r="BD5" i="32"/>
  <c r="BL5" i="32"/>
  <c r="BT5" i="32"/>
  <c r="CB5" i="32"/>
  <c r="CJ5" i="32"/>
  <c r="AV53" i="32"/>
  <c r="BD53" i="32"/>
  <c r="BL53" i="32"/>
  <c r="BT53" i="32"/>
  <c r="CB53" i="32"/>
  <c r="AV4" i="32"/>
  <c r="BD4" i="32"/>
  <c r="BL4" i="32"/>
  <c r="BT4" i="32"/>
  <c r="CB4" i="32"/>
  <c r="CJ4" i="32"/>
  <c r="AV52" i="32"/>
  <c r="BD52" i="32"/>
  <c r="BL52" i="32"/>
  <c r="BT52" i="32"/>
  <c r="CB52" i="32"/>
  <c r="AQ2" i="32"/>
  <c r="AY2" i="32"/>
  <c r="BG2" i="32"/>
  <c r="BO2" i="32"/>
  <c r="BW2" i="32"/>
  <c r="CE2" i="32"/>
  <c r="CM2" i="32"/>
  <c r="CU2" i="32"/>
  <c r="AQ50" i="32"/>
  <c r="AY50" i="32"/>
  <c r="BG50" i="32"/>
  <c r="BO50" i="32"/>
  <c r="BW50" i="32"/>
  <c r="L105" i="22"/>
  <c r="L123" i="22"/>
  <c r="L141" i="22"/>
  <c r="L159" i="22"/>
  <c r="L177" i="22"/>
  <c r="L195" i="22"/>
  <c r="L106" i="22"/>
  <c r="L124" i="22"/>
  <c r="L142" i="22"/>
  <c r="L160" i="22"/>
  <c r="L178" i="22"/>
  <c r="L196" i="22"/>
  <c r="L97" i="22"/>
  <c r="L115" i="22"/>
  <c r="L133" i="22"/>
  <c r="L151" i="22"/>
  <c r="L169" i="22"/>
  <c r="L187" i="22"/>
  <c r="K71" i="22"/>
  <c r="O89" i="22"/>
  <c r="O107" i="22"/>
  <c r="O125" i="22"/>
  <c r="O143" i="22"/>
  <c r="O161" i="22"/>
  <c r="K70" i="22"/>
  <c r="O88" i="22"/>
  <c r="O106" i="22"/>
  <c r="O124" i="22"/>
  <c r="O142" i="22"/>
  <c r="O160" i="22"/>
  <c r="K69" i="22"/>
  <c r="K87" i="22"/>
  <c r="K105" i="22"/>
  <c r="K123" i="22"/>
  <c r="K141" i="22"/>
  <c r="K159" i="22"/>
  <c r="K177" i="22"/>
  <c r="K68" i="22"/>
  <c r="K86" i="22"/>
  <c r="K104" i="22"/>
  <c r="K122" i="22"/>
  <c r="K140" i="22"/>
  <c r="K158" i="22"/>
  <c r="K176" i="22"/>
  <c r="K67" i="22"/>
  <c r="K66" i="22"/>
  <c r="K65" i="22"/>
  <c r="K83" i="22"/>
  <c r="K101" i="22"/>
  <c r="K119" i="22"/>
  <c r="K137" i="22"/>
  <c r="K155" i="22"/>
  <c r="K173" i="22"/>
  <c r="K64" i="22"/>
  <c r="K82" i="22"/>
  <c r="K63" i="22"/>
  <c r="O81" i="22"/>
  <c r="O99" i="22"/>
  <c r="O117" i="22"/>
  <c r="O135" i="22"/>
  <c r="O153" i="22"/>
  <c r="K62" i="22"/>
  <c r="O80" i="22"/>
  <c r="O98" i="22"/>
  <c r="O116" i="22"/>
  <c r="O134" i="22"/>
  <c r="O152" i="22"/>
  <c r="K61" i="22"/>
  <c r="K79" i="22"/>
  <c r="K60" i="22"/>
  <c r="K78" i="22"/>
  <c r="K96" i="22"/>
  <c r="K114" i="22"/>
  <c r="K132" i="22"/>
  <c r="K150" i="22"/>
  <c r="K168" i="22"/>
  <c r="AR57" i="32"/>
  <c r="AZ57" i="32"/>
  <c r="BH57" i="32"/>
  <c r="BP57" i="32"/>
  <c r="BX57" i="32"/>
  <c r="AR55" i="32"/>
  <c r="AZ55" i="32"/>
  <c r="BH55" i="32"/>
  <c r="BP55" i="32"/>
  <c r="BX55" i="32"/>
  <c r="AR54" i="32"/>
  <c r="AZ54" i="32"/>
  <c r="BH54" i="32"/>
  <c r="BP54" i="32"/>
  <c r="BX54" i="32"/>
  <c r="T37" i="32"/>
  <c r="S10" i="32"/>
  <c r="AA10" i="32"/>
  <c r="AI10" i="32"/>
  <c r="L62" i="22"/>
  <c r="L80" i="22"/>
  <c r="L98" i="22"/>
  <c r="L116" i="22"/>
  <c r="L134" i="22"/>
  <c r="L152" i="22"/>
  <c r="L170" i="22"/>
  <c r="L188" i="22"/>
  <c r="L72" i="22"/>
  <c r="L90" i="22"/>
  <c r="L108" i="22"/>
  <c r="L126" i="22"/>
  <c r="L144" i="22"/>
  <c r="L162" i="22"/>
  <c r="L180" i="22"/>
  <c r="L198" i="22"/>
  <c r="AQ57" i="32"/>
  <c r="AY57" i="32"/>
  <c r="BG57" i="32"/>
  <c r="BO57" i="32"/>
  <c r="BW57" i="32"/>
  <c r="AQ55" i="32"/>
  <c r="AY55" i="32"/>
  <c r="BG55" i="32"/>
  <c r="BO55" i="32"/>
  <c r="BW55" i="32"/>
  <c r="X36" i="32"/>
  <c r="AE13" i="32"/>
  <c r="AM13" i="32"/>
  <c r="AU13" i="32"/>
  <c r="BC13" i="32"/>
  <c r="BK13" i="32"/>
  <c r="BS13" i="32"/>
  <c r="CA13" i="32"/>
  <c r="CI13" i="32"/>
  <c r="CQ13" i="32"/>
  <c r="CY13" i="32"/>
  <c r="O83" i="22"/>
  <c r="O101" i="22"/>
  <c r="O119" i="22"/>
  <c r="O137" i="22"/>
  <c r="O155" i="22"/>
  <c r="L96" i="22"/>
  <c r="L114" i="22"/>
  <c r="L132" i="22"/>
  <c r="L150" i="22"/>
  <c r="L168" i="22"/>
  <c r="L186" i="22"/>
  <c r="K73" i="22"/>
  <c r="K72" i="22"/>
  <c r="L73" i="22"/>
  <c r="L91" i="22"/>
  <c r="L109" i="22"/>
  <c r="L127" i="22"/>
  <c r="L145" i="22"/>
  <c r="L163" i="22"/>
  <c r="L181" i="22"/>
  <c r="L199" i="22"/>
  <c r="K100" i="22"/>
  <c r="K118" i="22"/>
  <c r="K136" i="22"/>
  <c r="K154" i="22"/>
  <c r="K172" i="22"/>
  <c r="K190" i="22"/>
  <c r="K97" i="22"/>
  <c r="K115" i="22"/>
  <c r="K133" i="22"/>
  <c r="K151" i="22"/>
  <c r="K169" i="22"/>
  <c r="V3" i="32"/>
  <c r="V13" i="32"/>
  <c r="X10" i="32"/>
  <c r="W9" i="32"/>
  <c r="S13" i="32"/>
  <c r="X12" i="32"/>
  <c r="T10" i="32"/>
  <c r="S11" i="32"/>
  <c r="U12" i="32"/>
  <c r="V11" i="32"/>
  <c r="S12" i="32"/>
  <c r="W12" i="32"/>
  <c r="U13" i="32"/>
  <c r="T12" i="32"/>
  <c r="W11" i="32"/>
  <c r="U8" i="32"/>
  <c r="AA6" i="32"/>
  <c r="AI6" i="32"/>
  <c r="S35" i="32"/>
  <c r="AR3" i="32"/>
  <c r="AZ3" i="32"/>
  <c r="BH3" i="32"/>
  <c r="BP3" i="32"/>
  <c r="BX3" i="32"/>
  <c r="CF3" i="32"/>
  <c r="CN3" i="32"/>
  <c r="CV3" i="32"/>
  <c r="AR51" i="32"/>
  <c r="AZ51" i="32"/>
  <c r="BH51" i="32"/>
  <c r="BP51" i="32"/>
  <c r="BX51" i="32"/>
  <c r="W10" i="32"/>
  <c r="U9" i="32"/>
  <c r="W6" i="32"/>
  <c r="U2" i="32"/>
  <c r="U4" i="32"/>
  <c r="U5" i="32"/>
  <c r="V2" i="32"/>
  <c r="V4" i="32"/>
  <c r="V5" i="32"/>
  <c r="W2" i="32"/>
  <c r="X2" i="32"/>
  <c r="W3" i="32"/>
  <c r="V6" i="32"/>
  <c r="V7" i="32"/>
  <c r="V8" i="32"/>
  <c r="V9" i="32"/>
  <c r="W4" i="32"/>
  <c r="U10" i="32"/>
  <c r="T11" i="32"/>
  <c r="X11" i="32"/>
  <c r="X13" i="32"/>
  <c r="T13" i="32"/>
  <c r="V12" i="32"/>
  <c r="U11" i="32"/>
  <c r="V10" i="32"/>
  <c r="W7" i="32"/>
  <c r="U6" i="32"/>
  <c r="W8" i="32"/>
  <c r="U7" i="32"/>
  <c r="W5" i="32"/>
  <c r="AX52" i="4"/>
  <c r="BN52" i="4"/>
  <c r="BF52" i="4"/>
  <c r="BV52" i="4"/>
  <c r="CD52" i="4"/>
  <c r="CL52" i="4"/>
  <c r="CT52" i="4"/>
  <c r="DF5" i="4"/>
  <c r="DN5" i="4"/>
  <c r="DV5" i="4"/>
  <c r="CU52" i="4"/>
  <c r="DC52" i="4"/>
  <c r="DK52" i="4"/>
  <c r="DS52" i="4"/>
  <c r="EA52" i="4"/>
  <c r="EI52" i="4"/>
  <c r="CO60" i="4"/>
  <c r="CQ62" i="4"/>
  <c r="CN67" i="4"/>
  <c r="DB54" i="4"/>
  <c r="DJ54" i="4"/>
  <c r="DR54" i="4"/>
  <c r="DZ54" i="4"/>
  <c r="EH54" i="4"/>
  <c r="CV68" i="4"/>
  <c r="DD68" i="4"/>
  <c r="DL68" i="4"/>
  <c r="DT68" i="4"/>
  <c r="EB68" i="4"/>
  <c r="EJ68" i="4"/>
  <c r="CU64" i="4"/>
  <c r="DC64" i="4"/>
  <c r="DK64" i="4"/>
  <c r="DS64" i="4"/>
  <c r="EA64" i="4"/>
  <c r="EI64" i="4"/>
  <c r="CM64" i="4"/>
  <c r="BF50" i="4"/>
  <c r="BV50" i="4"/>
  <c r="CD50" i="4"/>
  <c r="CL50" i="4"/>
  <c r="CT50" i="4"/>
  <c r="AX50" i="4"/>
  <c r="BN50" i="4"/>
  <c r="DG88" i="4"/>
  <c r="DO88" i="4"/>
  <c r="DW88" i="4"/>
  <c r="EE88" i="4"/>
  <c r="DG4" i="4"/>
  <c r="DO4" i="4"/>
  <c r="DW4" i="4"/>
  <c r="CR64" i="4"/>
  <c r="CZ64" i="4"/>
  <c r="DH64" i="4"/>
  <c r="DP64" i="4"/>
  <c r="DX64" i="4"/>
  <c r="EF64" i="4"/>
  <c r="EN64" i="4"/>
  <c r="CP58" i="4"/>
  <c r="CX58" i="4"/>
  <c r="DF58" i="4"/>
  <c r="DN58" i="4"/>
  <c r="DV58" i="4"/>
  <c r="ED58" i="4"/>
  <c r="EL58" i="4"/>
  <c r="CH59" i="4"/>
  <c r="DF11" i="4"/>
  <c r="DN11" i="4"/>
  <c r="DV11" i="4"/>
  <c r="CN53" i="4"/>
  <c r="CV53" i="4"/>
  <c r="DD53" i="4"/>
  <c r="DL53" i="4"/>
  <c r="DT53" i="4"/>
  <c r="EB53" i="4"/>
  <c r="EJ53" i="4"/>
  <c r="DN12" i="4"/>
  <c r="DV12" i="4"/>
  <c r="DE11" i="4"/>
  <c r="DM11" i="4"/>
  <c r="DU11" i="4"/>
  <c r="CM58" i="4"/>
  <c r="CU58" i="4"/>
  <c r="DC58" i="4"/>
  <c r="DK58" i="4"/>
  <c r="DS58" i="4"/>
  <c r="EA58" i="4"/>
  <c r="EI58" i="4"/>
  <c r="CE59" i="4"/>
  <c r="BF66" i="4"/>
  <c r="BV66" i="4"/>
  <c r="CD67" i="4"/>
  <c r="CL67" i="4"/>
  <c r="CT67" i="4"/>
  <c r="AX66" i="4"/>
  <c r="BN66" i="4"/>
  <c r="DU59" i="4"/>
  <c r="EC59" i="4"/>
  <c r="EK59" i="4"/>
  <c r="ED60" i="4"/>
  <c r="EL60" i="4"/>
  <c r="CY65" i="4"/>
  <c r="DG65" i="4"/>
  <c r="DO65" i="4"/>
  <c r="DW65" i="4"/>
  <c r="EE65" i="4"/>
  <c r="EM65" i="4"/>
  <c r="CQ65" i="4"/>
  <c r="CV59" i="4"/>
  <c r="DD59" i="4"/>
  <c r="DL59" i="4"/>
  <c r="DT59" i="4"/>
  <c r="EB59" i="4"/>
  <c r="EJ59" i="4"/>
  <c r="CN59" i="4"/>
  <c r="DE85" i="4"/>
  <c r="DM85" i="4"/>
  <c r="DU85" i="4"/>
  <c r="EC85" i="4"/>
  <c r="DE49" i="4"/>
  <c r="DM49" i="4"/>
  <c r="DU49" i="4"/>
  <c r="EC49" i="4"/>
  <c r="EK49" i="4"/>
  <c r="DC100" i="4"/>
  <c r="DK100" i="4"/>
  <c r="DS100" i="4"/>
  <c r="EA100" i="4"/>
  <c r="DC17" i="4"/>
  <c r="DK17" i="4"/>
  <c r="DS17" i="4"/>
  <c r="DE94" i="4"/>
  <c r="DM94" i="4"/>
  <c r="DU94" i="4"/>
  <c r="EC94" i="4"/>
  <c r="DE10" i="4"/>
  <c r="DM10" i="4"/>
  <c r="DU10" i="4"/>
  <c r="DD89" i="4"/>
  <c r="DL89" i="4"/>
  <c r="DT89" i="4"/>
  <c r="EB89" i="4"/>
  <c r="DD5" i="4"/>
  <c r="DL5" i="4"/>
  <c r="DT5" i="4"/>
  <c r="CO61" i="4"/>
  <c r="CW61" i="4"/>
  <c r="DE61" i="4"/>
  <c r="DM61" i="4"/>
  <c r="DU61" i="4"/>
  <c r="EC61" i="4"/>
  <c r="EK61" i="4"/>
  <c r="DC94" i="4"/>
  <c r="DK94" i="4"/>
  <c r="DS94" i="4"/>
  <c r="EA94" i="4"/>
  <c r="DC10" i="4"/>
  <c r="DK10" i="4"/>
  <c r="DS10" i="4"/>
  <c r="CX11" i="4"/>
  <c r="CQ11" i="4"/>
  <c r="CY11" i="4"/>
  <c r="DB59" i="4"/>
  <c r="DJ59" i="4"/>
  <c r="CZ65" i="4"/>
  <c r="DH65" i="4"/>
  <c r="DP65" i="4"/>
  <c r="DX65" i="4"/>
  <c r="EF65" i="4"/>
  <c r="EN65" i="4"/>
  <c r="CR65" i="4"/>
  <c r="CW59" i="4"/>
  <c r="DE59" i="4"/>
  <c r="DM59" i="4"/>
  <c r="DV59" i="4"/>
  <c r="ED59" i="4"/>
  <c r="EL59" i="4"/>
  <c r="CO59" i="4"/>
  <c r="DB100" i="4"/>
  <c r="DB65" i="4"/>
  <c r="DJ65" i="4"/>
  <c r="DR65" i="4"/>
  <c r="DZ65" i="4"/>
  <c r="EH65" i="4"/>
  <c r="CX63" i="4"/>
  <c r="DF63" i="4"/>
  <c r="DN63" i="4"/>
  <c r="DV63" i="4"/>
  <c r="ED63" i="4"/>
  <c r="EL63" i="4"/>
  <c r="CP63" i="4"/>
  <c r="DC11" i="4"/>
  <c r="DK11" i="4"/>
  <c r="DS11" i="4"/>
  <c r="DB89" i="4"/>
  <c r="DB53" i="4"/>
  <c r="DJ53" i="4"/>
  <c r="DR53" i="4"/>
  <c r="DZ53" i="4"/>
  <c r="EH53" i="4"/>
  <c r="CM63" i="4"/>
  <c r="CU63" i="4"/>
  <c r="DC63" i="4"/>
  <c r="DK63" i="4"/>
  <c r="DS63" i="4"/>
  <c r="EA63" i="4"/>
  <c r="EI63" i="4"/>
  <c r="DB94" i="4"/>
  <c r="DB58" i="4"/>
  <c r="CX65" i="4"/>
  <c r="DF65" i="4"/>
  <c r="DN65" i="4"/>
  <c r="DV65" i="4"/>
  <c r="ED65" i="4"/>
  <c r="EL65" i="4"/>
  <c r="CP65" i="4"/>
  <c r="CV65" i="4"/>
  <c r="DD65" i="4"/>
  <c r="DL65" i="4"/>
  <c r="DT65" i="4"/>
  <c r="EB65" i="4"/>
  <c r="EJ65" i="4"/>
  <c r="CN65" i="4"/>
  <c r="S39" i="32"/>
  <c r="K88" i="22"/>
  <c r="K106" i="22"/>
  <c r="K124" i="22"/>
  <c r="K142" i="22"/>
  <c r="K160" i="22"/>
  <c r="K178" i="22"/>
  <c r="K196" i="22"/>
  <c r="AU61" i="32"/>
  <c r="BC61" i="32"/>
  <c r="BK61" i="32"/>
  <c r="BS61" i="32"/>
  <c r="CA61" i="32"/>
  <c r="K81" i="22"/>
  <c r="K99" i="22"/>
  <c r="K117" i="22"/>
  <c r="K135" i="22"/>
  <c r="K153" i="22"/>
  <c r="K171" i="22"/>
  <c r="K189" i="22"/>
  <c r="O79" i="22"/>
  <c r="O97" i="22"/>
  <c r="O115" i="22"/>
  <c r="O133" i="22"/>
  <c r="O151" i="22"/>
  <c r="O87" i="22"/>
  <c r="O105" i="22"/>
  <c r="O123" i="22"/>
  <c r="O141" i="22"/>
  <c r="O159" i="22"/>
  <c r="K89" i="22"/>
  <c r="K107" i="22"/>
  <c r="K125" i="22"/>
  <c r="K143" i="22"/>
  <c r="K161" i="22"/>
  <c r="K179" i="22"/>
  <c r="K197" i="22"/>
  <c r="AQ51" i="32"/>
  <c r="AY51" i="32"/>
  <c r="BG51" i="32"/>
  <c r="BO51" i="32"/>
  <c r="BW51" i="32"/>
  <c r="O86" i="22"/>
  <c r="O104" i="22"/>
  <c r="O122" i="22"/>
  <c r="O140" i="22"/>
  <c r="O158" i="22"/>
  <c r="AR4" i="32"/>
  <c r="AZ4" i="32"/>
  <c r="BH4" i="32"/>
  <c r="BP4" i="32"/>
  <c r="BX4" i="32"/>
  <c r="CF4" i="32"/>
  <c r="CN4" i="32"/>
  <c r="CV4" i="32"/>
  <c r="AR52" i="32"/>
  <c r="AZ52" i="32"/>
  <c r="BH52" i="32"/>
  <c r="BP52" i="32"/>
  <c r="BX52" i="32"/>
  <c r="K186" i="22"/>
  <c r="K194" i="22"/>
  <c r="K80" i="22"/>
  <c r="K98" i="22"/>
  <c r="K116" i="22"/>
  <c r="K134" i="22"/>
  <c r="K152" i="22"/>
  <c r="K170" i="22"/>
  <c r="O78" i="22"/>
  <c r="O96" i="22"/>
  <c r="O114" i="22"/>
  <c r="O132" i="22"/>
  <c r="O150" i="22"/>
  <c r="O84" i="22"/>
  <c r="O102" i="22"/>
  <c r="O120" i="22"/>
  <c r="O138" i="22"/>
  <c r="O156" i="22"/>
  <c r="K84" i="22"/>
  <c r="K102" i="22"/>
  <c r="K120" i="22"/>
  <c r="K138" i="22"/>
  <c r="K156" i="22"/>
  <c r="K174" i="22"/>
  <c r="O82" i="22"/>
  <c r="O100" i="22"/>
  <c r="O118" i="22"/>
  <c r="O136" i="22"/>
  <c r="O154" i="22"/>
  <c r="O85" i="22"/>
  <c r="O103" i="22"/>
  <c r="O121" i="22"/>
  <c r="O139" i="22"/>
  <c r="O157" i="22"/>
  <c r="K85" i="22"/>
  <c r="K103" i="22"/>
  <c r="K121" i="22"/>
  <c r="K139" i="22"/>
  <c r="K157" i="22"/>
  <c r="K175" i="22"/>
  <c r="AC6" i="32"/>
  <c r="AK6" i="32"/>
  <c r="U35" i="32"/>
  <c r="AD12" i="32"/>
  <c r="AL12" i="32"/>
  <c r="V41" i="32"/>
  <c r="AB11" i="32"/>
  <c r="AJ11" i="32"/>
  <c r="T40" i="32"/>
  <c r="AD8" i="32"/>
  <c r="AL8" i="32"/>
  <c r="V37" i="32"/>
  <c r="Y2" i="32"/>
  <c r="AF2" i="32"/>
  <c r="X31" i="32"/>
  <c r="AD2" i="32"/>
  <c r="AL2" i="32"/>
  <c r="V31" i="32"/>
  <c r="AE6" i="32"/>
  <c r="AM6" i="32"/>
  <c r="W35" i="32"/>
  <c r="AE11" i="32"/>
  <c r="AM11" i="32"/>
  <c r="W40" i="32"/>
  <c r="AA12" i="32"/>
  <c r="AI12" i="32"/>
  <c r="S41" i="32"/>
  <c r="AB10" i="32"/>
  <c r="AJ10" i="32"/>
  <c r="T39" i="32"/>
  <c r="AE9" i="32"/>
  <c r="AM9" i="32"/>
  <c r="W38" i="32"/>
  <c r="K191" i="22"/>
  <c r="AQ10" i="32"/>
  <c r="AY10" i="32"/>
  <c r="BG10" i="32"/>
  <c r="BO10" i="32"/>
  <c r="BW10" i="32"/>
  <c r="AQ58" i="32"/>
  <c r="AY58" i="32"/>
  <c r="BG58" i="32"/>
  <c r="BO58" i="32"/>
  <c r="BW58" i="32"/>
  <c r="AE5" i="32"/>
  <c r="AM5" i="32"/>
  <c r="W34" i="32"/>
  <c r="AE7" i="32"/>
  <c r="AM7" i="32"/>
  <c r="W36" i="32"/>
  <c r="AB13" i="32"/>
  <c r="AJ13" i="32"/>
  <c r="T42" i="32"/>
  <c r="AC10" i="32"/>
  <c r="AK10" i="32"/>
  <c r="U39" i="32"/>
  <c r="AD7" i="32"/>
  <c r="AL7" i="32"/>
  <c r="V36" i="32"/>
  <c r="AE2" i="32"/>
  <c r="AM2" i="32"/>
  <c r="W31" i="32"/>
  <c r="AC5" i="32"/>
  <c r="AK5" i="32"/>
  <c r="U34" i="32"/>
  <c r="U38" i="32"/>
  <c r="AC9" i="32"/>
  <c r="AK9" i="32"/>
  <c r="AB12" i="32"/>
  <c r="AJ12" i="32"/>
  <c r="T41" i="32"/>
  <c r="V40" i="32"/>
  <c r="AD11" i="32"/>
  <c r="AL11" i="32"/>
  <c r="AF12" i="32"/>
  <c r="AN12" i="32"/>
  <c r="X41" i="32"/>
  <c r="AF10" i="32"/>
  <c r="AN10" i="32"/>
  <c r="X39" i="32"/>
  <c r="AC7" i="32"/>
  <c r="AK7" i="32"/>
  <c r="U36" i="32"/>
  <c r="AD10" i="32"/>
  <c r="AL10" i="32"/>
  <c r="V39" i="32"/>
  <c r="AF13" i="32"/>
  <c r="AN13" i="32"/>
  <c r="X42" i="32"/>
  <c r="AE4" i="32"/>
  <c r="AM4" i="32"/>
  <c r="W33" i="32"/>
  <c r="AD6" i="32"/>
  <c r="AL6" i="32"/>
  <c r="V35" i="32"/>
  <c r="AD5" i="32"/>
  <c r="AL5" i="32"/>
  <c r="V34" i="32"/>
  <c r="AC4" i="32"/>
  <c r="AK4" i="32"/>
  <c r="U33" i="32"/>
  <c r="AE10" i="32"/>
  <c r="AM10" i="32"/>
  <c r="W39" i="32"/>
  <c r="AQ6" i="32"/>
  <c r="AY6" i="32"/>
  <c r="BG6" i="32"/>
  <c r="BO6" i="32"/>
  <c r="BW6" i="32"/>
  <c r="CE6" i="32"/>
  <c r="CM6" i="32"/>
  <c r="CU6" i="32"/>
  <c r="DK6" i="32"/>
  <c r="DS6" i="32"/>
  <c r="AQ54" i="32"/>
  <c r="AY54" i="32"/>
  <c r="BG54" i="32"/>
  <c r="BO54" i="32"/>
  <c r="BW54" i="32"/>
  <c r="AC13" i="32"/>
  <c r="AK13" i="32"/>
  <c r="U42" i="32"/>
  <c r="AC12" i="32"/>
  <c r="AK12" i="32"/>
  <c r="U41" i="32"/>
  <c r="AA13" i="32"/>
  <c r="AI13" i="32"/>
  <c r="S42" i="32"/>
  <c r="V42" i="32"/>
  <c r="AD13" i="32"/>
  <c r="AL13" i="32"/>
  <c r="K187" i="22"/>
  <c r="K195" i="22"/>
  <c r="O90" i="22"/>
  <c r="O108" i="22"/>
  <c r="O126" i="22"/>
  <c r="O144" i="22"/>
  <c r="O162" i="22"/>
  <c r="K90" i="22"/>
  <c r="K108" i="22"/>
  <c r="K126" i="22"/>
  <c r="K144" i="22"/>
  <c r="K162" i="22"/>
  <c r="K180" i="22"/>
  <c r="AE8" i="32"/>
  <c r="AM8" i="32"/>
  <c r="W37" i="32"/>
  <c r="AC11" i="32"/>
  <c r="AK11" i="32"/>
  <c r="U40" i="32"/>
  <c r="AF11" i="32"/>
  <c r="AN11" i="32"/>
  <c r="X40" i="32"/>
  <c r="AD9" i="32"/>
  <c r="AL9" i="32"/>
  <c r="V38" i="32"/>
  <c r="X3" i="32"/>
  <c r="X32" i="32"/>
  <c r="AE3" i="32"/>
  <c r="W32" i="32"/>
  <c r="AD4" i="32"/>
  <c r="AL4" i="32"/>
  <c r="V33" i="32"/>
  <c r="AC2" i="32"/>
  <c r="AK2" i="32"/>
  <c r="U31" i="32"/>
  <c r="AC8" i="32"/>
  <c r="AK8" i="32"/>
  <c r="U37" i="32"/>
  <c r="AE12" i="32"/>
  <c r="AM12" i="32"/>
  <c r="W41" i="32"/>
  <c r="AA11" i="32"/>
  <c r="AI11" i="32"/>
  <c r="S40" i="32"/>
  <c r="AD3" i="32"/>
  <c r="AL3" i="32"/>
  <c r="V32" i="32"/>
  <c r="O91" i="22"/>
  <c r="O109" i="22"/>
  <c r="O127" i="22"/>
  <c r="O145" i="22"/>
  <c r="O163" i="22"/>
  <c r="K91" i="22"/>
  <c r="K109" i="22"/>
  <c r="K127" i="22"/>
  <c r="K145" i="22"/>
  <c r="K163" i="22"/>
  <c r="K181" i="22"/>
  <c r="DB88" i="4"/>
  <c r="DB52" i="4"/>
  <c r="DJ52" i="4"/>
  <c r="DR52" i="4"/>
  <c r="DZ52" i="4"/>
  <c r="EH52" i="4"/>
  <c r="DB86" i="4"/>
  <c r="DB50" i="4"/>
  <c r="DJ50" i="4"/>
  <c r="DR50" i="4"/>
  <c r="DZ50" i="4"/>
  <c r="EH50" i="4"/>
  <c r="DH11" i="4"/>
  <c r="DP11" i="4"/>
  <c r="DX11" i="4"/>
  <c r="DG11" i="4"/>
  <c r="DO11" i="4"/>
  <c r="DW11" i="4"/>
  <c r="DB101" i="4"/>
  <c r="DB67" i="4"/>
  <c r="DJ67" i="4"/>
  <c r="DR67" i="4"/>
  <c r="DZ67" i="4"/>
  <c r="EH67" i="4"/>
  <c r="CM59" i="4"/>
  <c r="CU59" i="4"/>
  <c r="DC59" i="4"/>
  <c r="DK59" i="4"/>
  <c r="DS59" i="4"/>
  <c r="EA59" i="4"/>
  <c r="EI59" i="4"/>
  <c r="CP59" i="4"/>
  <c r="CQ59" i="4"/>
  <c r="CX59" i="4"/>
  <c r="K188" i="22"/>
  <c r="K193" i="22"/>
  <c r="K192" i="22"/>
  <c r="K199" i="22"/>
  <c r="AV11" i="32"/>
  <c r="BD11" i="32"/>
  <c r="BL11" i="32"/>
  <c r="BT11" i="32"/>
  <c r="CB11" i="32"/>
  <c r="CJ11" i="32"/>
  <c r="CR11" i="32"/>
  <c r="CZ11" i="32"/>
  <c r="AV59" i="32"/>
  <c r="BD59" i="32"/>
  <c r="BL59" i="32"/>
  <c r="BT59" i="32"/>
  <c r="CB59" i="32"/>
  <c r="AU8" i="32"/>
  <c r="BC8" i="32"/>
  <c r="BK8" i="32"/>
  <c r="BS8" i="32"/>
  <c r="CA8" i="32"/>
  <c r="CI8" i="32"/>
  <c r="CQ8" i="32"/>
  <c r="CY8" i="32"/>
  <c r="AU56" i="32"/>
  <c r="BC56" i="32"/>
  <c r="BK56" i="32"/>
  <c r="BS56" i="32"/>
  <c r="CA56" i="32"/>
  <c r="AS12" i="32"/>
  <c r="BA12" i="32"/>
  <c r="BI12" i="32"/>
  <c r="BQ12" i="32"/>
  <c r="BY12" i="32"/>
  <c r="CG12" i="32"/>
  <c r="CO12" i="32"/>
  <c r="CW12" i="32"/>
  <c r="AS60" i="32"/>
  <c r="BA60" i="32"/>
  <c r="BI60" i="32"/>
  <c r="BQ60" i="32"/>
  <c r="BY60" i="32"/>
  <c r="AS4" i="32"/>
  <c r="BA4" i="32"/>
  <c r="BI4" i="32"/>
  <c r="BQ4" i="32"/>
  <c r="BY4" i="32"/>
  <c r="CG4" i="32"/>
  <c r="CO4" i="32"/>
  <c r="CW4" i="32"/>
  <c r="AS52" i="32"/>
  <c r="BA52" i="32"/>
  <c r="BI52" i="32"/>
  <c r="BQ52" i="32"/>
  <c r="BY52" i="32"/>
  <c r="AT6" i="32"/>
  <c r="BB6" i="32"/>
  <c r="BJ6" i="32"/>
  <c r="BR6" i="32"/>
  <c r="BZ6" i="32"/>
  <c r="CH6" i="32"/>
  <c r="CP6" i="32"/>
  <c r="CX6" i="32"/>
  <c r="AT54" i="32"/>
  <c r="BB54" i="32"/>
  <c r="BJ54" i="32"/>
  <c r="BR54" i="32"/>
  <c r="BZ54" i="32"/>
  <c r="AV13" i="32"/>
  <c r="BD13" i="32"/>
  <c r="BL13" i="32"/>
  <c r="BT13" i="32"/>
  <c r="CB13" i="32"/>
  <c r="CJ13" i="32"/>
  <c r="CR13" i="32"/>
  <c r="CZ13" i="32"/>
  <c r="AV61" i="32"/>
  <c r="BD61" i="32"/>
  <c r="BL61" i="32"/>
  <c r="BT61" i="32"/>
  <c r="CB61" i="32"/>
  <c r="AS7" i="32"/>
  <c r="BA7" i="32"/>
  <c r="BI7" i="32"/>
  <c r="BQ7" i="32"/>
  <c r="BY7" i="32"/>
  <c r="CG7" i="32"/>
  <c r="CO7" i="32"/>
  <c r="CW7" i="32"/>
  <c r="AS55" i="32"/>
  <c r="BA55" i="32"/>
  <c r="BI55" i="32"/>
  <c r="BQ55" i="32"/>
  <c r="BY55" i="32"/>
  <c r="AV12" i="32"/>
  <c r="BD12" i="32"/>
  <c r="BL12" i="32"/>
  <c r="BT12" i="32"/>
  <c r="CB12" i="32"/>
  <c r="CJ12" i="32"/>
  <c r="CR12" i="32"/>
  <c r="CZ12" i="32"/>
  <c r="AV60" i="32"/>
  <c r="BD60" i="32"/>
  <c r="BL60" i="32"/>
  <c r="BT60" i="32"/>
  <c r="CB60" i="32"/>
  <c r="AR12" i="32"/>
  <c r="AZ12" i="32"/>
  <c r="BH12" i="32"/>
  <c r="BP12" i="32"/>
  <c r="BX12" i="32"/>
  <c r="CF12" i="32"/>
  <c r="CN12" i="32"/>
  <c r="CV12" i="32"/>
  <c r="AR60" i="32"/>
  <c r="AZ60" i="32"/>
  <c r="BH60" i="32"/>
  <c r="BP60" i="32"/>
  <c r="BX60" i="32"/>
  <c r="AS5" i="32"/>
  <c r="BA5" i="32"/>
  <c r="BI5" i="32"/>
  <c r="BQ5" i="32"/>
  <c r="BY5" i="32"/>
  <c r="CG5" i="32"/>
  <c r="CO5" i="32"/>
  <c r="CW5" i="32"/>
  <c r="AS53" i="32"/>
  <c r="BA53" i="32"/>
  <c r="BI53" i="32"/>
  <c r="BQ53" i="32"/>
  <c r="BY53" i="32"/>
  <c r="AT7" i="32"/>
  <c r="BB7" i="32"/>
  <c r="BJ7" i="32"/>
  <c r="BR7" i="32"/>
  <c r="BZ7" i="32"/>
  <c r="CH7" i="32"/>
  <c r="CP7" i="32"/>
  <c r="CX7" i="32"/>
  <c r="AT55" i="32"/>
  <c r="BB55" i="32"/>
  <c r="BJ55" i="32"/>
  <c r="BR55" i="32"/>
  <c r="BZ55" i="32"/>
  <c r="AR13" i="32"/>
  <c r="AZ13" i="32"/>
  <c r="BH13" i="32"/>
  <c r="BP13" i="32"/>
  <c r="BX13" i="32"/>
  <c r="CF13" i="32"/>
  <c r="CN13" i="32"/>
  <c r="CV13" i="32"/>
  <c r="AR61" i="32"/>
  <c r="AZ61" i="32"/>
  <c r="BH61" i="32"/>
  <c r="BP61" i="32"/>
  <c r="BX61" i="32"/>
  <c r="AU5" i="32"/>
  <c r="BC5" i="32"/>
  <c r="BK5" i="32"/>
  <c r="BS5" i="32"/>
  <c r="CA5" i="32"/>
  <c r="CI5" i="32"/>
  <c r="CQ5" i="32"/>
  <c r="CY5" i="32"/>
  <c r="AU53" i="32"/>
  <c r="BC53" i="32"/>
  <c r="BK53" i="32"/>
  <c r="BS53" i="32"/>
  <c r="CA53" i="32"/>
  <c r="AR10" i="32"/>
  <c r="AZ10" i="32"/>
  <c r="BH10" i="32"/>
  <c r="BP10" i="32"/>
  <c r="BX10" i="32"/>
  <c r="CF10" i="32"/>
  <c r="CN10" i="32"/>
  <c r="CV10" i="32"/>
  <c r="AR58" i="32"/>
  <c r="AZ58" i="32"/>
  <c r="BH58" i="32"/>
  <c r="BP58" i="32"/>
  <c r="BX58" i="32"/>
  <c r="AU11" i="32"/>
  <c r="BC11" i="32"/>
  <c r="BK11" i="32"/>
  <c r="BS11" i="32"/>
  <c r="CA11" i="32"/>
  <c r="CI11" i="32"/>
  <c r="CQ11" i="32"/>
  <c r="CY11" i="32"/>
  <c r="AU59" i="32"/>
  <c r="BC59" i="32"/>
  <c r="BK59" i="32"/>
  <c r="BS59" i="32"/>
  <c r="CA59" i="32"/>
  <c r="AT2" i="32"/>
  <c r="BB2" i="32"/>
  <c r="BJ2" i="32"/>
  <c r="BR2" i="32"/>
  <c r="BZ2" i="32"/>
  <c r="CH2" i="32"/>
  <c r="CP2" i="32"/>
  <c r="CX2" i="32"/>
  <c r="AT50" i="32"/>
  <c r="BB50" i="32"/>
  <c r="BJ50" i="32"/>
  <c r="BR50" i="32"/>
  <c r="BZ50" i="32"/>
  <c r="AQ11" i="32"/>
  <c r="AY11" i="32"/>
  <c r="BG11" i="32"/>
  <c r="BO11" i="32"/>
  <c r="BW11" i="32"/>
  <c r="AQ59" i="32"/>
  <c r="AY59" i="32"/>
  <c r="BG59" i="32"/>
  <c r="BO59" i="32"/>
  <c r="BW59" i="32"/>
  <c r="AS8" i="32"/>
  <c r="BA8" i="32"/>
  <c r="BI8" i="32"/>
  <c r="BQ8" i="32"/>
  <c r="BY8" i="32"/>
  <c r="CG8" i="32"/>
  <c r="CO8" i="32"/>
  <c r="CW8" i="32"/>
  <c r="AS56" i="32"/>
  <c r="BA56" i="32"/>
  <c r="BI56" i="32"/>
  <c r="BQ56" i="32"/>
  <c r="BY56" i="32"/>
  <c r="AT4" i="32"/>
  <c r="BB4" i="32"/>
  <c r="BJ4" i="32"/>
  <c r="BR4" i="32"/>
  <c r="BZ4" i="32"/>
  <c r="CH4" i="32"/>
  <c r="CP4" i="32"/>
  <c r="CX4" i="32"/>
  <c r="AT52" i="32"/>
  <c r="BB52" i="32"/>
  <c r="BJ52" i="32"/>
  <c r="BR52" i="32"/>
  <c r="BZ52" i="32"/>
  <c r="K198" i="22"/>
  <c r="AT11" i="32"/>
  <c r="BB11" i="32"/>
  <c r="BJ11" i="32"/>
  <c r="BR11" i="32"/>
  <c r="BZ11" i="32"/>
  <c r="CH11" i="32"/>
  <c r="CP11" i="32"/>
  <c r="CX11" i="32"/>
  <c r="AT59" i="32"/>
  <c r="BB59" i="32"/>
  <c r="BJ59" i="32"/>
  <c r="BR59" i="32"/>
  <c r="BZ59" i="32"/>
  <c r="AS9" i="32"/>
  <c r="BA9" i="32"/>
  <c r="BI9" i="32"/>
  <c r="BQ9" i="32"/>
  <c r="BY9" i="32"/>
  <c r="CG9" i="32"/>
  <c r="CO9" i="32"/>
  <c r="CW9" i="32"/>
  <c r="AS57" i="32"/>
  <c r="BA57" i="32"/>
  <c r="BI57" i="32"/>
  <c r="BQ57" i="32"/>
  <c r="BY57" i="32"/>
  <c r="AT8" i="32"/>
  <c r="BB8" i="32"/>
  <c r="BJ8" i="32"/>
  <c r="BR8" i="32"/>
  <c r="BZ8" i="32"/>
  <c r="CH8" i="32"/>
  <c r="CP8" i="32"/>
  <c r="CX8" i="32"/>
  <c r="AT56" i="32"/>
  <c r="BB56" i="32"/>
  <c r="BJ56" i="32"/>
  <c r="BR56" i="32"/>
  <c r="BZ56" i="32"/>
  <c r="AT12" i="32"/>
  <c r="BB12" i="32"/>
  <c r="BJ12" i="32"/>
  <c r="BR12" i="32"/>
  <c r="BZ12" i="32"/>
  <c r="CH12" i="32"/>
  <c r="CP12" i="32"/>
  <c r="CX12" i="32"/>
  <c r="AT60" i="32"/>
  <c r="BB60" i="32"/>
  <c r="BJ60" i="32"/>
  <c r="BR60" i="32"/>
  <c r="BZ60" i="32"/>
  <c r="AT57" i="32"/>
  <c r="BB57" i="32"/>
  <c r="BJ57" i="32"/>
  <c r="BR57" i="32"/>
  <c r="BZ57" i="32"/>
  <c r="AT9" i="32"/>
  <c r="BB9" i="32"/>
  <c r="BJ9" i="32"/>
  <c r="BR9" i="32"/>
  <c r="BZ9" i="32"/>
  <c r="CH9" i="32"/>
  <c r="CP9" i="32"/>
  <c r="CX9" i="32"/>
  <c r="AS11" i="32"/>
  <c r="BA11" i="32"/>
  <c r="BI11" i="32"/>
  <c r="BQ11" i="32"/>
  <c r="BY11" i="32"/>
  <c r="CG11" i="32"/>
  <c r="CO11" i="32"/>
  <c r="CW11" i="32"/>
  <c r="AS59" i="32"/>
  <c r="BA59" i="32"/>
  <c r="BI59" i="32"/>
  <c r="BQ59" i="32"/>
  <c r="BY59" i="32"/>
  <c r="AQ13" i="32"/>
  <c r="AY13" i="32"/>
  <c r="BG13" i="32"/>
  <c r="BO13" i="32"/>
  <c r="BW13" i="32"/>
  <c r="CE13" i="32"/>
  <c r="CM13" i="32"/>
  <c r="CU13" i="32"/>
  <c r="AQ61" i="32"/>
  <c r="AY61" i="32"/>
  <c r="BG61" i="32"/>
  <c r="BO61" i="32"/>
  <c r="BW61" i="32"/>
  <c r="AS13" i="32"/>
  <c r="BA13" i="32"/>
  <c r="BI13" i="32"/>
  <c r="BQ13" i="32"/>
  <c r="BY13" i="32"/>
  <c r="CG13" i="32"/>
  <c r="CO13" i="32"/>
  <c r="CW13" i="32"/>
  <c r="AS61" i="32"/>
  <c r="BA61" i="32"/>
  <c r="BI61" i="32"/>
  <c r="BQ61" i="32"/>
  <c r="BY61" i="32"/>
  <c r="AU10" i="32"/>
  <c r="BC10" i="32"/>
  <c r="BK10" i="32"/>
  <c r="BS10" i="32"/>
  <c r="CA10" i="32"/>
  <c r="CI10" i="32"/>
  <c r="CQ10" i="32"/>
  <c r="CY10" i="32"/>
  <c r="AU58" i="32"/>
  <c r="BC58" i="32"/>
  <c r="BK58" i="32"/>
  <c r="BS58" i="32"/>
  <c r="CA58" i="32"/>
  <c r="AT5" i="32"/>
  <c r="BB5" i="32"/>
  <c r="BJ5" i="32"/>
  <c r="BR5" i="32"/>
  <c r="BZ5" i="32"/>
  <c r="CH5" i="32"/>
  <c r="CP5" i="32"/>
  <c r="CX5" i="32"/>
  <c r="AT53" i="32"/>
  <c r="BB53" i="32"/>
  <c r="BJ53" i="32"/>
  <c r="BR53" i="32"/>
  <c r="BZ53" i="32"/>
  <c r="AU4" i="32"/>
  <c r="BC4" i="32"/>
  <c r="BK4" i="32"/>
  <c r="BS4" i="32"/>
  <c r="CA4" i="32"/>
  <c r="CI4" i="32"/>
  <c r="CQ4" i="32"/>
  <c r="CY4" i="32"/>
  <c r="AU52" i="32"/>
  <c r="BC52" i="32"/>
  <c r="BK52" i="32"/>
  <c r="BS52" i="32"/>
  <c r="CA52" i="32"/>
  <c r="AT10" i="32"/>
  <c r="BB10" i="32"/>
  <c r="BJ10" i="32"/>
  <c r="BR10" i="32"/>
  <c r="BZ10" i="32"/>
  <c r="CH10" i="32"/>
  <c r="CP10" i="32"/>
  <c r="CX10" i="32"/>
  <c r="AT58" i="32"/>
  <c r="BB58" i="32"/>
  <c r="BJ58" i="32"/>
  <c r="BR58" i="32"/>
  <c r="BZ58" i="32"/>
  <c r="AV10" i="32"/>
  <c r="BD10" i="32"/>
  <c r="BL10" i="32"/>
  <c r="BT10" i="32"/>
  <c r="CB10" i="32"/>
  <c r="CJ10" i="32"/>
  <c r="CR10" i="32"/>
  <c r="CZ10" i="32"/>
  <c r="AV58" i="32"/>
  <c r="BD58" i="32"/>
  <c r="BL58" i="32"/>
  <c r="BT58" i="32"/>
  <c r="CB58" i="32"/>
  <c r="AU2" i="32"/>
  <c r="BC2" i="32"/>
  <c r="BK2" i="32"/>
  <c r="BS2" i="32"/>
  <c r="CA2" i="32"/>
  <c r="CI2" i="32"/>
  <c r="CQ2" i="32"/>
  <c r="CY2" i="32"/>
  <c r="AU50" i="32"/>
  <c r="BC50" i="32"/>
  <c r="BK50" i="32"/>
  <c r="BS50" i="32"/>
  <c r="CA50" i="32"/>
  <c r="AS10" i="32"/>
  <c r="BA10" i="32"/>
  <c r="BI10" i="32"/>
  <c r="BQ10" i="32"/>
  <c r="BY10" i="32"/>
  <c r="CG10" i="32"/>
  <c r="CO10" i="32"/>
  <c r="CW10" i="32"/>
  <c r="AS58" i="32"/>
  <c r="BA58" i="32"/>
  <c r="BI58" i="32"/>
  <c r="BQ58" i="32"/>
  <c r="BY58" i="32"/>
  <c r="AU7" i="32"/>
  <c r="BC7" i="32"/>
  <c r="BK7" i="32"/>
  <c r="BS7" i="32"/>
  <c r="CA7" i="32"/>
  <c r="CI7" i="32"/>
  <c r="CQ7" i="32"/>
  <c r="CY7" i="32"/>
  <c r="AU55" i="32"/>
  <c r="BC55" i="32"/>
  <c r="BK55" i="32"/>
  <c r="BS55" i="32"/>
  <c r="CA55" i="32"/>
  <c r="AU9" i="32"/>
  <c r="BC9" i="32"/>
  <c r="BK9" i="32"/>
  <c r="BS9" i="32"/>
  <c r="CA9" i="32"/>
  <c r="CI9" i="32"/>
  <c r="CQ9" i="32"/>
  <c r="CY9" i="32"/>
  <c r="AU57" i="32"/>
  <c r="BC57" i="32"/>
  <c r="BK57" i="32"/>
  <c r="BS57" i="32"/>
  <c r="CA57" i="32"/>
  <c r="AQ12" i="32"/>
  <c r="AY12" i="32"/>
  <c r="BG12" i="32"/>
  <c r="BO12" i="32"/>
  <c r="BW12" i="32"/>
  <c r="CE12" i="32"/>
  <c r="CM12" i="32"/>
  <c r="CU12" i="32"/>
  <c r="DK12" i="32"/>
  <c r="DS12" i="32"/>
  <c r="AQ60" i="32"/>
  <c r="AY60" i="32"/>
  <c r="BG60" i="32"/>
  <c r="BO60" i="32"/>
  <c r="BW60" i="32"/>
  <c r="AU6" i="32"/>
  <c r="BC6" i="32"/>
  <c r="BK6" i="32"/>
  <c r="BS6" i="32"/>
  <c r="CA6" i="32"/>
  <c r="CI6" i="32"/>
  <c r="CQ6" i="32"/>
  <c r="CY6" i="32"/>
  <c r="AU54" i="32"/>
  <c r="BC54" i="32"/>
  <c r="BK54" i="32"/>
  <c r="BS54" i="32"/>
  <c r="CA54" i="32"/>
  <c r="AG2" i="32"/>
  <c r="AF3" i="32"/>
  <c r="AN2" i="32"/>
  <c r="AT3" i="32"/>
  <c r="BB3" i="32"/>
  <c r="BJ3" i="32"/>
  <c r="BR3" i="32"/>
  <c r="BZ3" i="32"/>
  <c r="CH3" i="32"/>
  <c r="CP3" i="32"/>
  <c r="CX3" i="32"/>
  <c r="AT51" i="32"/>
  <c r="BB51" i="32"/>
  <c r="BJ51" i="32"/>
  <c r="BR51" i="32"/>
  <c r="BZ51" i="32"/>
  <c r="AU12" i="32"/>
  <c r="BC12" i="32"/>
  <c r="BK12" i="32"/>
  <c r="BS12" i="32"/>
  <c r="CA12" i="32"/>
  <c r="CI12" i="32"/>
  <c r="CQ12" i="32"/>
  <c r="CY12" i="32"/>
  <c r="AU60" i="32"/>
  <c r="BC60" i="32"/>
  <c r="BK60" i="32"/>
  <c r="BS60" i="32"/>
  <c r="CA60" i="32"/>
  <c r="AS2" i="32"/>
  <c r="BA2" i="32"/>
  <c r="BI2" i="32"/>
  <c r="BQ2" i="32"/>
  <c r="BY2" i="32"/>
  <c r="CG2" i="32"/>
  <c r="CO2" i="32"/>
  <c r="CW2" i="32"/>
  <c r="AS50" i="32"/>
  <c r="BA50" i="32"/>
  <c r="BI50" i="32"/>
  <c r="BQ50" i="32"/>
  <c r="BY50" i="32"/>
  <c r="AM3" i="32"/>
  <c r="AT13" i="32"/>
  <c r="BB13" i="32"/>
  <c r="BJ13" i="32"/>
  <c r="BR13" i="32"/>
  <c r="BZ13" i="32"/>
  <c r="CH13" i="32"/>
  <c r="CP13" i="32"/>
  <c r="CX13" i="32"/>
  <c r="AT61" i="32"/>
  <c r="BB61" i="32"/>
  <c r="BJ61" i="32"/>
  <c r="BR61" i="32"/>
  <c r="BZ61" i="32"/>
  <c r="AR11" i="32"/>
  <c r="AZ11" i="32"/>
  <c r="BH11" i="32"/>
  <c r="BP11" i="32"/>
  <c r="BX11" i="32"/>
  <c r="CF11" i="32"/>
  <c r="CN11" i="32"/>
  <c r="CV11" i="32"/>
  <c r="AR59" i="32"/>
  <c r="AZ59" i="32"/>
  <c r="BH59" i="32"/>
  <c r="BP59" i="32"/>
  <c r="BX59" i="32"/>
  <c r="AS6" i="32"/>
  <c r="BA6" i="32"/>
  <c r="BI6" i="32"/>
  <c r="BQ6" i="32"/>
  <c r="BY6" i="32"/>
  <c r="CG6" i="32"/>
  <c r="CO6" i="32"/>
  <c r="CW6" i="32"/>
  <c r="AS54" i="32"/>
  <c r="BA54" i="32"/>
  <c r="BI54" i="32"/>
  <c r="BQ54" i="32"/>
  <c r="BY54" i="32"/>
  <c r="CY59" i="4"/>
  <c r="DF59" i="4"/>
  <c r="AO2" i="32"/>
  <c r="AV2" i="32"/>
  <c r="AV50" i="32"/>
  <c r="AU3" i="32"/>
  <c r="AN3" i="32"/>
  <c r="AU51" i="32"/>
  <c r="DN59" i="4"/>
  <c r="DW59" i="4"/>
  <c r="EE59" i="4"/>
  <c r="EM59" i="4"/>
  <c r="DG59" i="4"/>
  <c r="DO59" i="4"/>
  <c r="DX59" i="4"/>
  <c r="EF59" i="4"/>
  <c r="EN59" i="4"/>
  <c r="BC3" i="32"/>
  <c r="AW49" i="32"/>
  <c r="BE49" i="32"/>
  <c r="BM49" i="32"/>
  <c r="BU49" i="32"/>
  <c r="CC49" i="32"/>
  <c r="BD50" i="32"/>
  <c r="BL50" i="32"/>
  <c r="BT50" i="32"/>
  <c r="CB50" i="32"/>
  <c r="BC51" i="32"/>
  <c r="AW2" i="32"/>
  <c r="AV3" i="32"/>
  <c r="BD2" i="32"/>
  <c r="AV51" i="32"/>
  <c r="BE2" i="32"/>
  <c r="BL2" i="32"/>
  <c r="BD51" i="32"/>
  <c r="BK51" i="32"/>
  <c r="BD3" i="32"/>
  <c r="BK3" i="32"/>
  <c r="BL51" i="32"/>
  <c r="BS51" i="32"/>
  <c r="BS3" i="32"/>
  <c r="BM2" i="32"/>
  <c r="BL3" i="32"/>
  <c r="BT2" i="32"/>
  <c r="CA3" i="32"/>
  <c r="BU2" i="32"/>
  <c r="BT3" i="32"/>
  <c r="CB2" i="32"/>
  <c r="BT51" i="32"/>
  <c r="CA51" i="32"/>
  <c r="CB51" i="32"/>
  <c r="CC2" i="32"/>
  <c r="CB3" i="32"/>
  <c r="CJ3" i="32"/>
  <c r="CR3" i="32"/>
  <c r="CZ3" i="32"/>
  <c r="CJ2" i="32"/>
  <c r="CI3" i="32"/>
  <c r="CQ3" i="32"/>
  <c r="CY3" i="32"/>
  <c r="CK2" i="32"/>
  <c r="CR2" i="32"/>
  <c r="CS2" i="32"/>
  <c r="CZ2" i="32"/>
  <c r="DX14" i="32"/>
  <c r="AC68" i="24"/>
  <c r="R70" i="24"/>
  <c r="AG68" i="24"/>
  <c r="V70" i="24"/>
  <c r="AF30" i="24"/>
  <c r="U32" i="24"/>
  <c r="AB30" i="24"/>
  <c r="AB56" i="24"/>
  <c r="AE17" i="24"/>
  <c r="AI24" i="13"/>
  <c r="L108" i="13"/>
  <c r="G18" i="24"/>
  <c r="K25" i="13"/>
  <c r="L117" i="13"/>
  <c r="H30" i="24"/>
  <c r="H56" i="24"/>
  <c r="AB17" i="24"/>
  <c r="AF24" i="13"/>
  <c r="D45" i="13"/>
  <c r="C45" i="13" s="1"/>
  <c r="D30" i="24"/>
  <c r="D56" i="24"/>
  <c r="AI17" i="24"/>
  <c r="AM24" i="13"/>
  <c r="D52" i="13"/>
  <c r="C52" i="13" s="1"/>
  <c r="AA17" i="24"/>
  <c r="AE24" i="13"/>
  <c r="L104" i="13"/>
  <c r="H18" i="24"/>
  <c r="L25" i="13"/>
  <c r="L118" i="13"/>
  <c r="AH17" i="24"/>
  <c r="AL24" i="13"/>
  <c r="D51" i="13"/>
  <c r="C51" i="13" s="1"/>
  <c r="AD17" i="24"/>
  <c r="AH24" i="13"/>
  <c r="D47" i="13"/>
  <c r="C47" i="13" s="1"/>
  <c r="Z17" i="24"/>
  <c r="AD24" i="13"/>
  <c r="L103" i="13"/>
  <c r="D43" i="13"/>
  <c r="C43" i="13" s="1"/>
  <c r="L30" i="24"/>
  <c r="L56" i="24"/>
  <c r="AG17" i="24"/>
  <c r="AK24" i="13"/>
  <c r="L110" i="13"/>
  <c r="AC17" i="24"/>
  <c r="AG24" i="13"/>
  <c r="L106" i="13"/>
  <c r="M68" i="24"/>
  <c r="F18" i="24"/>
  <c r="J25" i="13"/>
  <c r="L116" i="13"/>
  <c r="T17" i="24"/>
  <c r="X24" i="13"/>
  <c r="L97" i="13"/>
  <c r="O17" i="24"/>
  <c r="S24" i="13"/>
  <c r="D32" i="13"/>
  <c r="C32" i="13" s="1"/>
  <c r="H68" i="24"/>
  <c r="U17" i="24"/>
  <c r="Y24" i="13"/>
  <c r="D38" i="13"/>
  <c r="C38" i="13" s="1"/>
  <c r="X17" i="24"/>
  <c r="AB24" i="13"/>
  <c r="D41" i="13"/>
  <c r="C41" i="13" s="1"/>
  <c r="R17" i="24"/>
  <c r="V24" i="13"/>
  <c r="D35" i="13"/>
  <c r="C35" i="13" s="1"/>
  <c r="V17" i="24"/>
  <c r="Z24" i="13"/>
  <c r="D39" i="13"/>
  <c r="C39" i="13" s="1"/>
  <c r="W17" i="24"/>
  <c r="AA24" i="13"/>
  <c r="L100" i="13"/>
  <c r="P17" i="24"/>
  <c r="T24" i="13"/>
  <c r="D33" i="13"/>
  <c r="C33" i="13" s="1"/>
  <c r="Q17" i="24"/>
  <c r="U24" i="13"/>
  <c r="L94" i="13"/>
  <c r="D34" i="13"/>
  <c r="C34" i="13" s="1"/>
  <c r="E18" i="24"/>
  <c r="I25" i="13"/>
  <c r="L115" i="13"/>
  <c r="S17" i="24"/>
  <c r="W24" i="13"/>
  <c r="L96" i="13"/>
  <c r="D36" i="13"/>
  <c r="C36" i="13" s="1"/>
  <c r="AC56" i="24"/>
  <c r="R58" i="24"/>
  <c r="R32" i="24"/>
  <c r="H31" i="24"/>
  <c r="AF68" i="24"/>
  <c r="U70" i="24"/>
  <c r="AB68" i="24"/>
  <c r="Q70" i="24"/>
  <c r="AI30" i="24"/>
  <c r="AI56" i="24"/>
  <c r="AE30" i="24"/>
  <c r="AA30" i="24"/>
  <c r="P58" i="24"/>
  <c r="J237" i="22"/>
  <c r="Y30" i="24"/>
  <c r="N58" i="24"/>
  <c r="AI68" i="24"/>
  <c r="X70" i="24"/>
  <c r="AE68" i="24"/>
  <c r="T70" i="24"/>
  <c r="AA68" i="24"/>
  <c r="P70" i="24"/>
  <c r="AH30" i="24"/>
  <c r="AH56" i="24"/>
  <c r="AD30" i="24"/>
  <c r="AD56" i="24"/>
  <c r="Z30" i="24"/>
  <c r="O32" i="24"/>
  <c r="G31" i="24"/>
  <c r="AH68" i="24"/>
  <c r="W70" i="24"/>
  <c r="AD68" i="24"/>
  <c r="S70" i="24"/>
  <c r="Z68" i="24"/>
  <c r="O70" i="24"/>
  <c r="AG30" i="24"/>
  <c r="AG56" i="24"/>
  <c r="Q32" i="24"/>
  <c r="AF56" i="24"/>
  <c r="Q68" i="24"/>
  <c r="F70" i="24"/>
  <c r="S68" i="24"/>
  <c r="H70" i="24"/>
  <c r="U68" i="24"/>
  <c r="J70" i="24"/>
  <c r="O68" i="24"/>
  <c r="D70" i="24"/>
  <c r="T68" i="24"/>
  <c r="I70" i="24"/>
  <c r="C31" i="24"/>
  <c r="K68" i="24"/>
  <c r="K30" i="24"/>
  <c r="K56" i="24"/>
  <c r="G30" i="24"/>
  <c r="G56" i="24"/>
  <c r="J19" i="24"/>
  <c r="N26" i="13"/>
  <c r="L126" i="13"/>
  <c r="D31" i="24"/>
  <c r="J30" i="24"/>
  <c r="J56" i="24"/>
  <c r="F30" i="24"/>
  <c r="F56" i="24"/>
  <c r="V19" i="24"/>
  <c r="Z26" i="13"/>
  <c r="L138" i="13"/>
  <c r="C30" i="24"/>
  <c r="F68" i="24"/>
  <c r="M30" i="24"/>
  <c r="M56" i="24"/>
  <c r="I30" i="24"/>
  <c r="I56" i="24"/>
  <c r="B267" i="3"/>
  <c r="AC362" i="3"/>
  <c r="D69" i="24"/>
  <c r="L68" i="24"/>
  <c r="J68" i="24"/>
  <c r="G68" i="24"/>
  <c r="K168" i="12"/>
  <c r="F34" i="24"/>
  <c r="F69" i="24"/>
  <c r="C60" i="24"/>
  <c r="F19" i="24"/>
  <c r="J26" i="13"/>
  <c r="L122" i="13"/>
  <c r="U19" i="24"/>
  <c r="Y26" i="13"/>
  <c r="L137" i="13"/>
  <c r="C18" i="24"/>
  <c r="G25" i="13"/>
  <c r="L113" i="13"/>
  <c r="E68" i="24"/>
  <c r="I17" i="24"/>
  <c r="M24" i="13"/>
  <c r="L86" i="13"/>
  <c r="D26" i="13"/>
  <c r="C26" i="13" s="1"/>
  <c r="K126" i="12"/>
  <c r="Y68" i="24"/>
  <c r="N70" i="24"/>
  <c r="Y17" i="24"/>
  <c r="AC24" i="13"/>
  <c r="L102" i="13"/>
  <c r="D42" i="13"/>
  <c r="C42" i="13" s="1"/>
  <c r="R19" i="24"/>
  <c r="V26" i="13"/>
  <c r="L134" i="13"/>
  <c r="I68" i="24"/>
  <c r="C19" i="24"/>
  <c r="G26" i="13"/>
  <c r="L119" i="13"/>
  <c r="N19" i="24"/>
  <c r="R26" i="13"/>
  <c r="L130" i="13"/>
  <c r="Q19" i="24"/>
  <c r="U26" i="13"/>
  <c r="L133" i="13"/>
  <c r="L112" i="13"/>
  <c r="D24" i="13"/>
  <c r="C24" i="13" s="1"/>
  <c r="L84" i="13"/>
  <c r="P30" i="24"/>
  <c r="R30" i="24"/>
  <c r="T30" i="24"/>
  <c r="V30" i="24"/>
  <c r="K58" i="24"/>
  <c r="X30" i="24"/>
  <c r="O30" i="24"/>
  <c r="Q30" i="24"/>
  <c r="S30" i="24"/>
  <c r="H32" i="24"/>
  <c r="U30" i="24"/>
  <c r="W30" i="24"/>
  <c r="N30" i="24"/>
  <c r="F31" i="24"/>
  <c r="E31" i="24"/>
  <c r="F17" i="24"/>
  <c r="J24" i="13"/>
  <c r="J17" i="24"/>
  <c r="N24" i="13"/>
  <c r="L87" i="13"/>
  <c r="C17" i="24"/>
  <c r="G24" i="13"/>
  <c r="D17" i="24"/>
  <c r="H24" i="13"/>
  <c r="L81" i="13"/>
  <c r="H17" i="24"/>
  <c r="L17" i="24"/>
  <c r="P24" i="13"/>
  <c r="L89" i="13"/>
  <c r="D18" i="24"/>
  <c r="H25" i="13"/>
  <c r="L114" i="13"/>
  <c r="E17" i="24"/>
  <c r="I24" i="13"/>
  <c r="L82" i="13"/>
  <c r="M17" i="24"/>
  <c r="Q24" i="13"/>
  <c r="K17" i="24"/>
  <c r="O24" i="13"/>
  <c r="L88" i="13"/>
  <c r="B74" i="3"/>
  <c r="B194" i="3"/>
  <c r="B266" i="3"/>
  <c r="B338" i="3"/>
  <c r="B362" i="3"/>
  <c r="B386" i="3"/>
  <c r="B410" i="3"/>
  <c r="B434" i="3"/>
  <c r="B458" i="3"/>
  <c r="B482" i="3"/>
  <c r="B506" i="3"/>
  <c r="B530" i="3"/>
  <c r="B554" i="3"/>
  <c r="B578" i="3"/>
  <c r="D46" i="13"/>
  <c r="C46" i="13" s="1"/>
  <c r="D44" i="13"/>
  <c r="C44" i="13" s="1"/>
  <c r="D60" i="24"/>
  <c r="D34" i="24"/>
  <c r="E60" i="24"/>
  <c r="E34" i="24"/>
  <c r="U58" i="24"/>
  <c r="C69" i="24"/>
  <c r="C68" i="24"/>
  <c r="J201" i="22"/>
  <c r="D19" i="24"/>
  <c r="H26" i="13"/>
  <c r="L120" i="13"/>
  <c r="G19" i="24"/>
  <c r="K26" i="13"/>
  <c r="L123" i="13"/>
  <c r="K19" i="24"/>
  <c r="O26" i="13"/>
  <c r="L127" i="13"/>
  <c r="H19" i="24"/>
  <c r="L26" i="13"/>
  <c r="L124" i="13"/>
  <c r="L19" i="24"/>
  <c r="P26" i="13"/>
  <c r="L128" i="13"/>
  <c r="N17" i="24"/>
  <c r="R24" i="13"/>
  <c r="L91" i="13"/>
  <c r="M19" i="24"/>
  <c r="Q26" i="13"/>
  <c r="L129" i="13"/>
  <c r="E19" i="24"/>
  <c r="I26" i="13"/>
  <c r="L121" i="13"/>
  <c r="L144" i="3"/>
  <c r="N68" i="24"/>
  <c r="C70" i="24"/>
  <c r="G69" i="24"/>
  <c r="X19" i="24"/>
  <c r="AB26" i="13"/>
  <c r="L140" i="13"/>
  <c r="T19" i="24"/>
  <c r="X26" i="13"/>
  <c r="L136" i="13"/>
  <c r="P19" i="24"/>
  <c r="T26" i="13"/>
  <c r="L132" i="13"/>
  <c r="J219" i="22"/>
  <c r="W19" i="24"/>
  <c r="AA26" i="13"/>
  <c r="L139" i="13"/>
  <c r="S19" i="24"/>
  <c r="W26" i="13"/>
  <c r="L135" i="13"/>
  <c r="Z469" i="3"/>
  <c r="V418" i="3"/>
  <c r="V442" i="3"/>
  <c r="V466" i="3"/>
  <c r="W418" i="3"/>
  <c r="W442" i="3"/>
  <c r="W466" i="3"/>
  <c r="W419" i="3"/>
  <c r="W443" i="3"/>
  <c r="W467" i="3"/>
  <c r="V420" i="3"/>
  <c r="V444" i="3"/>
  <c r="V468" i="3"/>
  <c r="V421" i="3"/>
  <c r="V445" i="3"/>
  <c r="V469" i="3"/>
  <c r="U419" i="3"/>
  <c r="U443" i="3"/>
  <c r="U467" i="3"/>
  <c r="U418" i="3"/>
  <c r="U442" i="3"/>
  <c r="U466" i="3"/>
  <c r="Y419" i="3"/>
  <c r="Y443" i="3"/>
  <c r="Y467" i="3"/>
  <c r="Y418" i="3"/>
  <c r="Y442" i="3"/>
  <c r="Y466" i="3"/>
  <c r="W421" i="3"/>
  <c r="W445" i="3"/>
  <c r="W469" i="3"/>
  <c r="W420" i="3"/>
  <c r="W444" i="3"/>
  <c r="W468" i="3"/>
  <c r="AC388" i="3"/>
  <c r="B293" i="3"/>
  <c r="AC460" i="3"/>
  <c r="B90" i="3"/>
  <c r="B210" i="3"/>
  <c r="B206" i="3"/>
  <c r="B86" i="3"/>
  <c r="B202" i="3"/>
  <c r="B82" i="3"/>
  <c r="B198" i="3"/>
  <c r="B78" i="3"/>
  <c r="U421" i="3"/>
  <c r="U445" i="3"/>
  <c r="U469" i="3"/>
  <c r="X419" i="3"/>
  <c r="X443" i="3"/>
  <c r="X467" i="3"/>
  <c r="X418" i="3"/>
  <c r="X442" i="3"/>
  <c r="X466" i="3"/>
  <c r="AC396" i="3"/>
  <c r="B297" i="3"/>
  <c r="AC464" i="3"/>
  <c r="B144" i="3"/>
  <c r="B192" i="3"/>
  <c r="K144" i="3"/>
  <c r="K192" i="3"/>
  <c r="L107" i="13"/>
  <c r="Q58" i="24"/>
  <c r="D50" i="13"/>
  <c r="C50" i="13" s="1"/>
  <c r="D37" i="13"/>
  <c r="C37" i="13" s="1"/>
  <c r="L111" i="13"/>
  <c r="D48" i="13"/>
  <c r="C48" i="13" s="1"/>
  <c r="D57" i="24"/>
  <c r="L101" i="13"/>
  <c r="L93" i="13"/>
  <c r="O58" i="24"/>
  <c r="L99" i="13"/>
  <c r="L105" i="13"/>
  <c r="L95" i="13"/>
  <c r="V32" i="24"/>
  <c r="L92" i="13"/>
  <c r="Z56" i="24"/>
  <c r="L98" i="13"/>
  <c r="D40" i="13"/>
  <c r="C40" i="13" s="1"/>
  <c r="AA56" i="24"/>
  <c r="P32" i="24"/>
  <c r="H57" i="24"/>
  <c r="Y56" i="24"/>
  <c r="G57" i="24"/>
  <c r="T58" i="24"/>
  <c r="T32" i="24"/>
  <c r="AE56" i="24"/>
  <c r="W32" i="24"/>
  <c r="W58" i="24"/>
  <c r="V58" i="24"/>
  <c r="N32" i="24"/>
  <c r="C56" i="24"/>
  <c r="C57" i="24"/>
  <c r="B339" i="3"/>
  <c r="B363" i="3"/>
  <c r="B387" i="3"/>
  <c r="B411" i="3"/>
  <c r="B435" i="3"/>
  <c r="B459" i="3"/>
  <c r="B483" i="3"/>
  <c r="B507" i="3"/>
  <c r="B531" i="3"/>
  <c r="B555" i="3"/>
  <c r="B579" i="3"/>
  <c r="AC434" i="3"/>
  <c r="D22" i="13"/>
  <c r="C22" i="13" s="1"/>
  <c r="J58" i="24"/>
  <c r="U56" i="24"/>
  <c r="J32" i="24"/>
  <c r="M58" i="24"/>
  <c r="M32" i="24"/>
  <c r="X56" i="24"/>
  <c r="E32" i="24"/>
  <c r="E58" i="24"/>
  <c r="P56" i="24"/>
  <c r="L80" i="13"/>
  <c r="H58" i="24"/>
  <c r="D28" i="13"/>
  <c r="C28" i="13" s="1"/>
  <c r="D29" i="13"/>
  <c r="C29" i="13" s="1"/>
  <c r="D27" i="13"/>
  <c r="C27" i="13" s="1"/>
  <c r="C32" i="24"/>
  <c r="C58" i="24"/>
  <c r="E57" i="24"/>
  <c r="N56" i="24"/>
  <c r="F32" i="24"/>
  <c r="Q56" i="24"/>
  <c r="F58" i="24"/>
  <c r="I32" i="24"/>
  <c r="T56" i="24"/>
  <c r="I58" i="24"/>
  <c r="D31" i="13"/>
  <c r="C31" i="13" s="1"/>
  <c r="D30" i="13"/>
  <c r="C30" i="13" s="1"/>
  <c r="L90" i="13"/>
  <c r="L24" i="13"/>
  <c r="L85" i="13"/>
  <c r="L83" i="13"/>
  <c r="L58" i="24"/>
  <c r="L32" i="24"/>
  <c r="W56" i="24"/>
  <c r="D58" i="24"/>
  <c r="O56" i="24"/>
  <c r="D32" i="24"/>
  <c r="F57" i="24"/>
  <c r="G32" i="24"/>
  <c r="R56" i="24"/>
  <c r="G58" i="24"/>
  <c r="B270" i="3"/>
  <c r="AC365" i="3"/>
  <c r="B282" i="3"/>
  <c r="AC376" i="3"/>
  <c r="B274" i="3"/>
  <c r="AC369" i="3"/>
  <c r="B278" i="3"/>
  <c r="AC373" i="3"/>
  <c r="D25" i="13"/>
  <c r="C25" i="13" s="1"/>
  <c r="B350" i="3"/>
  <c r="B374" i="3"/>
  <c r="B398" i="3"/>
  <c r="B422" i="3"/>
  <c r="B448" i="3"/>
  <c r="B472" i="3"/>
  <c r="B496" i="3"/>
  <c r="B520" i="3"/>
  <c r="B544" i="3"/>
  <c r="B568" i="3"/>
  <c r="B592" i="3"/>
  <c r="AC445" i="3"/>
  <c r="B346" i="3"/>
  <c r="B370" i="3"/>
  <c r="B394" i="3"/>
  <c r="B418" i="3"/>
  <c r="B444" i="3"/>
  <c r="B468" i="3"/>
  <c r="B492" i="3"/>
  <c r="B516" i="3"/>
  <c r="B540" i="3"/>
  <c r="B564" i="3"/>
  <c r="B588" i="3"/>
  <c r="AC441" i="3"/>
  <c r="B354" i="3"/>
  <c r="B378" i="3"/>
  <c r="B402" i="3"/>
  <c r="B426" i="3"/>
  <c r="B452" i="3"/>
  <c r="B476" i="3"/>
  <c r="B500" i="3"/>
  <c r="B524" i="3"/>
  <c r="B548" i="3"/>
  <c r="B572" i="3"/>
  <c r="B596" i="3"/>
  <c r="AC448" i="3"/>
  <c r="B342" i="3"/>
  <c r="B366" i="3"/>
  <c r="B390" i="3"/>
  <c r="B414" i="3"/>
  <c r="B438" i="3"/>
  <c r="B462" i="3"/>
  <c r="B486" i="3"/>
  <c r="B510" i="3"/>
  <c r="B534" i="3"/>
  <c r="B558" i="3"/>
  <c r="B582" i="3"/>
  <c r="AC437" i="3"/>
  <c r="D21" i="13"/>
  <c r="C21" i="13" s="1"/>
  <c r="C20" i="24"/>
  <c r="L155" i="13"/>
  <c r="D23" i="13"/>
  <c r="C23" i="13" s="1"/>
  <c r="V56" i="24"/>
  <c r="S56" i="24"/>
  <c r="X32" i="24"/>
  <c r="S58" i="24"/>
  <c r="K32" i="24"/>
  <c r="X58" i="24"/>
  <c r="S32" i="24"/>
  <c r="B76" i="3"/>
  <c r="B196" i="3"/>
  <c r="E69" i="24"/>
  <c r="W68" i="24"/>
  <c r="L70" i="24"/>
  <c r="V68" i="24"/>
  <c r="K70" i="24"/>
  <c r="P68" i="24"/>
  <c r="E70" i="24"/>
  <c r="R68" i="24"/>
  <c r="G70" i="24"/>
  <c r="X68" i="24"/>
  <c r="M70" i="24"/>
  <c r="B168" i="12"/>
  <c r="B126" i="12"/>
  <c r="G27" i="13"/>
  <c r="B268" i="3"/>
  <c r="AC363" i="3"/>
  <c r="L152" i="13"/>
  <c r="D20" i="13"/>
  <c r="C20" i="13" s="1"/>
  <c r="B23" i="24"/>
  <c r="A3" i="22" s="1"/>
  <c r="B340" i="3"/>
  <c r="B364" i="3"/>
  <c r="B388" i="3"/>
  <c r="B412" i="3"/>
  <c r="B436" i="3"/>
  <c r="B460" i="3"/>
  <c r="B484" i="3"/>
  <c r="B508" i="3"/>
  <c r="B532" i="3"/>
  <c r="B556" i="3"/>
  <c r="B580" i="3"/>
  <c r="AC435" i="3"/>
  <c r="L441" i="2"/>
  <c r="J30" i="45"/>
  <c r="J46" i="47"/>
  <c r="J57" i="47"/>
  <c r="A2" i="26"/>
  <c r="J54" i="47"/>
  <c r="J14" i="47"/>
  <c r="A2" i="44"/>
  <c r="J60" i="47"/>
  <c r="A23" i="24"/>
  <c r="A2" i="21"/>
  <c r="J59" i="45"/>
  <c r="J29" i="47"/>
  <c r="A2" i="19"/>
  <c r="J19" i="47"/>
  <c r="J54" i="45"/>
  <c r="B50" i="24"/>
  <c r="F5" i="16" s="1"/>
  <c r="J28" i="47"/>
  <c r="J56" i="45"/>
  <c r="J60" i="45"/>
  <c r="J61" i="45"/>
  <c r="J26" i="45"/>
  <c r="B11" i="13"/>
  <c r="Z442" i="3"/>
  <c r="Z466" i="3"/>
  <c r="Z490" i="3"/>
  <c r="Z514" i="3"/>
  <c r="Z538" i="3"/>
  <c r="Z562" i="3"/>
  <c r="Z586" i="3"/>
  <c r="Z444" i="3"/>
  <c r="Z468" i="3"/>
  <c r="Z492" i="3"/>
  <c r="Z516" i="3"/>
  <c r="Z540" i="3"/>
  <c r="Z564" i="3"/>
  <c r="Z588" i="3"/>
  <c r="R57" i="26"/>
  <c r="J12" i="45"/>
  <c r="J12" i="47"/>
  <c r="J30" i="47"/>
  <c r="J59" i="47"/>
  <c r="J49" i="47"/>
  <c r="J64" i="45"/>
  <c r="J23" i="47"/>
  <c r="J18" i="47"/>
  <c r="J62" i="47"/>
  <c r="J15" i="47"/>
  <c r="J21" i="47"/>
  <c r="J13" i="47"/>
  <c r="J51" i="47"/>
  <c r="J55" i="45"/>
  <c r="J50" i="47"/>
  <c r="D24" i="24"/>
  <c r="J17" i="47"/>
  <c r="J59" i="16" l="1"/>
  <c r="A3" i="26"/>
  <c r="A3" i="17"/>
  <c r="J60" i="16"/>
  <c r="F57" i="26"/>
  <c r="A3" i="19"/>
  <c r="I57" i="26"/>
  <c r="A3" i="31"/>
  <c r="D57" i="26"/>
  <c r="B12" i="13"/>
  <c r="E57" i="26"/>
  <c r="G57" i="26"/>
  <c r="A3" i="40"/>
  <c r="J63" i="45"/>
  <c r="J63" i="47"/>
  <c r="J61" i="47"/>
  <c r="J61" i="16" s="1"/>
  <c r="J25" i="45"/>
  <c r="J56" i="47"/>
  <c r="J56" i="16" s="1"/>
  <c r="C5" i="13"/>
  <c r="J57" i="45"/>
  <c r="J57" i="16" s="1"/>
  <c r="J27" i="47"/>
  <c r="J55" i="47"/>
  <c r="J26" i="47"/>
  <c r="J26" i="16" s="1"/>
  <c r="J27" i="45"/>
  <c r="D34" i="17"/>
  <c r="A3" i="21"/>
  <c r="A3" i="44"/>
  <c r="J58" i="47"/>
  <c r="J48" i="47"/>
  <c r="J25" i="47"/>
  <c r="A2" i="40"/>
  <c r="K10" i="35"/>
  <c r="J28" i="45"/>
  <c r="J28" i="16" s="1"/>
  <c r="J67" i="47"/>
  <c r="A2" i="31"/>
  <c r="B37" i="24"/>
  <c r="J65" i="45"/>
  <c r="J58" i="45"/>
  <c r="J24" i="47"/>
  <c r="A3" i="20"/>
  <c r="J53" i="45"/>
  <c r="J22" i="47"/>
  <c r="J20" i="47"/>
  <c r="J65" i="47"/>
  <c r="J62" i="45"/>
  <c r="J62" i="16" s="1"/>
  <c r="J16" i="47"/>
  <c r="J64" i="47"/>
  <c r="J64" i="16" s="1"/>
  <c r="J52" i="47"/>
  <c r="A2" i="17"/>
  <c r="J47" i="47"/>
  <c r="A2" i="22"/>
  <c r="B11" i="24"/>
  <c r="J47" i="45"/>
  <c r="J53" i="47"/>
  <c r="J18" i="45"/>
  <c r="J24" i="45"/>
  <c r="J24" i="16" s="1"/>
  <c r="B74" i="24"/>
  <c r="J11" i="47"/>
  <c r="B36" i="24"/>
  <c r="K10" i="47"/>
  <c r="A2" i="20"/>
  <c r="K10" i="36" s="1"/>
  <c r="B62" i="24"/>
  <c r="J29" i="45"/>
  <c r="J29" i="16" s="1"/>
  <c r="J58" i="16" l="1"/>
  <c r="J63" i="16"/>
  <c r="J47" i="16"/>
  <c r="Q10" i="36"/>
  <c r="Q10" i="35"/>
  <c r="J25" i="16"/>
  <c r="J27" i="16"/>
  <c r="J65" i="16"/>
  <c r="B10" i="36"/>
  <c r="K45" i="36"/>
  <c r="B35" i="36"/>
  <c r="B10" i="47"/>
  <c r="B35" i="47"/>
  <c r="K45" i="47"/>
  <c r="R13" i="53"/>
  <c r="R14" i="53"/>
  <c r="H19" i="53"/>
  <c r="M20" i="53"/>
  <c r="F17" i="53"/>
  <c r="P23" i="53"/>
  <c r="N16" i="53"/>
  <c r="B16" i="53"/>
  <c r="R7" i="53"/>
  <c r="I22" i="41"/>
  <c r="H26" i="41"/>
  <c r="H23" i="41"/>
  <c r="H13" i="41"/>
  <c r="I23" i="41"/>
  <c r="H22" i="41"/>
  <c r="H16" i="41"/>
  <c r="I17" i="41"/>
  <c r="I27" i="41"/>
  <c r="H17" i="41"/>
  <c r="G29" i="41"/>
  <c r="E63" i="41"/>
  <c r="E48" i="41"/>
  <c r="D14" i="41"/>
  <c r="F30" i="41"/>
  <c r="E16" i="41"/>
  <c r="G14" i="41"/>
  <c r="F27" i="41"/>
  <c r="F29" i="41"/>
  <c r="D16" i="41"/>
  <c r="G19" i="41"/>
  <c r="D18" i="41"/>
  <c r="F12" i="41"/>
  <c r="E59" i="41"/>
  <c r="E27" i="41"/>
  <c r="G30" i="41"/>
  <c r="E14" i="41"/>
  <c r="M17" i="53"/>
  <c r="E6" i="53"/>
  <c r="R10" i="53"/>
  <c r="Q16" i="53"/>
  <c r="F20" i="53"/>
  <c r="Q10" i="42"/>
  <c r="N10" i="41"/>
  <c r="I14" i="41"/>
  <c r="H28" i="41"/>
  <c r="H20" i="41"/>
  <c r="I26" i="41"/>
  <c r="H21" i="41"/>
  <c r="I12" i="41"/>
  <c r="I28" i="41"/>
  <c r="H30" i="41"/>
  <c r="H12" i="41"/>
  <c r="F23" i="41"/>
  <c r="E55" i="41"/>
  <c r="G28" i="41"/>
  <c r="E23" i="21"/>
  <c r="F6" i="53"/>
  <c r="R9" i="53"/>
  <c r="N4" i="53"/>
  <c r="G17" i="53"/>
  <c r="H10" i="35"/>
  <c r="I30" i="41"/>
  <c r="H27" i="41"/>
  <c r="H19" i="41"/>
  <c r="I21" i="41"/>
  <c r="E58" i="41"/>
  <c r="D21" i="41"/>
  <c r="D23" i="41"/>
  <c r="E18" i="41"/>
  <c r="F21" i="41"/>
  <c r="F19" i="41"/>
  <c r="E24" i="41"/>
  <c r="G16" i="41"/>
  <c r="E64" i="41"/>
  <c r="F17" i="41"/>
  <c r="E26" i="41"/>
  <c r="F15" i="41"/>
  <c r="D15" i="41"/>
  <c r="G21" i="41"/>
  <c r="E47" i="41"/>
  <c r="D17" i="41"/>
  <c r="E13" i="41"/>
  <c r="E51" i="41"/>
  <c r="D25" i="41"/>
  <c r="G18" i="41"/>
  <c r="D12" i="41"/>
  <c r="H59" i="41"/>
  <c r="G61" i="41"/>
  <c r="G53" i="41"/>
  <c r="F52" i="41"/>
  <c r="G64" i="41"/>
  <c r="I62" i="41"/>
  <c r="F55" i="41"/>
  <c r="F49" i="41"/>
  <c r="N60" i="41"/>
  <c r="H47" i="41"/>
  <c r="M57" i="41"/>
  <c r="I50" i="41"/>
  <c r="G54" i="41"/>
  <c r="F48" i="41"/>
  <c r="I63" i="41"/>
  <c r="N51" i="41"/>
  <c r="G56" i="41"/>
  <c r="I65" i="41"/>
  <c r="F58" i="41"/>
  <c r="D58" i="41"/>
  <c r="Q52" i="41"/>
  <c r="P53" i="41"/>
  <c r="N56" i="41"/>
  <c r="D48" i="41"/>
  <c r="M54" i="41"/>
  <c r="D57" i="41"/>
  <c r="N49" i="41"/>
  <c r="D52" i="41"/>
  <c r="O59" i="41"/>
  <c r="M58" i="41"/>
  <c r="N61" i="41"/>
  <c r="D51" i="41"/>
  <c r="M53" i="41"/>
  <c r="D47" i="41"/>
  <c r="M60" i="41"/>
  <c r="M62" i="41"/>
  <c r="N52" i="41"/>
  <c r="M61" i="41"/>
  <c r="R57" i="41"/>
  <c r="P65" i="41"/>
  <c r="Q56" i="41"/>
  <c r="Q47" i="41"/>
  <c r="P54" i="41"/>
  <c r="Q61" i="41"/>
  <c r="R63" i="41"/>
  <c r="P59" i="41"/>
  <c r="R50" i="41"/>
  <c r="R48" i="41"/>
  <c r="P60" i="41"/>
  <c r="R51" i="41"/>
  <c r="C22" i="53"/>
  <c r="O6" i="53"/>
  <c r="N13" i="53"/>
  <c r="I24" i="41"/>
  <c r="I19" i="41"/>
  <c r="H24" i="41"/>
  <c r="H25" i="41"/>
  <c r="I16" i="41"/>
  <c r="G24" i="41"/>
  <c r="F13" i="41"/>
  <c r="G12" i="41"/>
  <c r="E56" i="41"/>
  <c r="E54" i="41"/>
  <c r="E62" i="41"/>
  <c r="E52" i="41"/>
  <c r="F18" i="41"/>
  <c r="G25" i="41"/>
  <c r="G15" i="41"/>
  <c r="G22" i="41"/>
  <c r="E23" i="41"/>
  <c r="D24" i="41"/>
  <c r="F25" i="41"/>
  <c r="F59" i="41"/>
  <c r="H61" i="41"/>
  <c r="H53" i="41"/>
  <c r="H52" i="41"/>
  <c r="I64" i="41"/>
  <c r="F62" i="41"/>
  <c r="H55" i="41"/>
  <c r="M49" i="41"/>
  <c r="F60" i="41"/>
  <c r="O47" i="41"/>
  <c r="G57" i="41"/>
  <c r="H50" i="41"/>
  <c r="I54" i="41"/>
  <c r="I48" i="41"/>
  <c r="G63" i="41"/>
  <c r="H63" i="41"/>
  <c r="F51" i="41"/>
  <c r="I51" i="41"/>
  <c r="F56" i="41"/>
  <c r="G65" i="41"/>
  <c r="H58" i="41"/>
  <c r="Q57" i="41"/>
  <c r="Q53" i="41"/>
  <c r="D65" i="41"/>
  <c r="M48" i="41"/>
  <c r="O54" i="41"/>
  <c r="N57" i="41"/>
  <c r="D55" i="41"/>
  <c r="M52" i="41"/>
  <c r="N53" i="41"/>
  <c r="N54" i="41"/>
  <c r="O58" i="41"/>
  <c r="M51" i="41"/>
  <c r="D63" i="41"/>
  <c r="N47" i="41"/>
  <c r="O60" i="41"/>
  <c r="O62" i="41"/>
  <c r="O53" i="41"/>
  <c r="O61" i="41"/>
  <c r="P58" i="41"/>
  <c r="Q65" i="41"/>
  <c r="R56" i="41"/>
  <c r="P49" i="41"/>
  <c r="R54" i="41"/>
  <c r="R61" i="41"/>
  <c r="P55" i="41"/>
  <c r="R59" i="41"/>
  <c r="Q50" i="41"/>
  <c r="P64" i="41"/>
  <c r="Q60" i="41"/>
  <c r="Q51" i="41"/>
  <c r="I25" i="41"/>
  <c r="I29" i="41"/>
  <c r="I13" i="41"/>
  <c r="I20" i="41"/>
  <c r="H18" i="41"/>
  <c r="E30" i="41"/>
  <c r="E12" i="41"/>
  <c r="D27" i="41"/>
  <c r="F28" i="41"/>
  <c r="G13" i="41"/>
  <c r="E61" i="41"/>
  <c r="E29" i="41"/>
  <c r="E53" i="41"/>
  <c r="E21" i="41"/>
  <c r="E19" i="41"/>
  <c r="F22" i="41"/>
  <c r="G20" i="41"/>
  <c r="D22" i="41"/>
  <c r="G23" i="41"/>
  <c r="D28" i="41"/>
  <c r="D20" i="41"/>
  <c r="D29" i="41"/>
  <c r="E20" i="41"/>
  <c r="M65" i="41"/>
  <c r="E25" i="41"/>
  <c r="G27" i="41"/>
  <c r="F14" i="41"/>
  <c r="E28" i="41"/>
  <c r="E60" i="41"/>
  <c r="G59" i="41"/>
  <c r="I61" i="41"/>
  <c r="F53" i="41"/>
  <c r="G52" i="41"/>
  <c r="N64" i="41"/>
  <c r="H64" i="41"/>
  <c r="H62" i="41"/>
  <c r="I55" i="41"/>
  <c r="H49" i="41"/>
  <c r="G49" i="41"/>
  <c r="H60" i="41"/>
  <c r="G60" i="41"/>
  <c r="G47" i="41"/>
  <c r="H57" i="41"/>
  <c r="F57" i="41"/>
  <c r="G50" i="41"/>
  <c r="F54" i="41"/>
  <c r="G48" i="41"/>
  <c r="F63" i="41"/>
  <c r="G51" i="41"/>
  <c r="I56" i="41"/>
  <c r="F65" i="41"/>
  <c r="G58" i="41"/>
  <c r="O64" i="41"/>
  <c r="R53" i="41"/>
  <c r="O65" i="41"/>
  <c r="N48" i="41"/>
  <c r="D50" i="41"/>
  <c r="Q62" i="41"/>
  <c r="M55" i="41"/>
  <c r="D59" i="41"/>
  <c r="N50" i="41"/>
  <c r="M59" i="41"/>
  <c r="N55" i="41"/>
  <c r="O51" i="41"/>
  <c r="M63" i="41"/>
  <c r="R62" i="41"/>
  <c r="D62" i="41"/>
  <c r="D64" i="41"/>
  <c r="N58" i="41"/>
  <c r="O52" i="41"/>
  <c r="R58" i="41"/>
  <c r="R65" i="41"/>
  <c r="P47" i="41"/>
  <c r="Q49" i="41"/>
  <c r="Q54" i="41"/>
  <c r="P63" i="41"/>
  <c r="R55" i="41"/>
  <c r="Q59" i="41"/>
  <c r="P48" i="41"/>
  <c r="Q64" i="41"/>
  <c r="R60" i="41"/>
  <c r="G15" i="53"/>
  <c r="H29" i="41"/>
  <c r="H15" i="41"/>
  <c r="I18" i="41"/>
  <c r="I15" i="41"/>
  <c r="H14" i="41"/>
  <c r="F20" i="41"/>
  <c r="E17" i="41"/>
  <c r="E65" i="41"/>
  <c r="D26" i="41"/>
  <c r="F26" i="41"/>
  <c r="G17" i="41"/>
  <c r="E22" i="41"/>
  <c r="E15" i="41"/>
  <c r="E50" i="41"/>
  <c r="E57" i="41"/>
  <c r="F24" i="41"/>
  <c r="F16" i="41"/>
  <c r="D13" i="41"/>
  <c r="G26" i="41"/>
  <c r="D30" i="41"/>
  <c r="D19" i="41"/>
  <c r="M47" i="41"/>
  <c r="E49" i="41"/>
  <c r="I59" i="41"/>
  <c r="F61" i="41"/>
  <c r="I53" i="41"/>
  <c r="I52" i="41"/>
  <c r="F64" i="41"/>
  <c r="G62" i="41"/>
  <c r="P62" i="41"/>
  <c r="G55" i="41"/>
  <c r="I49" i="41"/>
  <c r="I60" i="41"/>
  <c r="I47" i="41"/>
  <c r="F47" i="41"/>
  <c r="I57" i="41"/>
  <c r="F50" i="41"/>
  <c r="O50" i="41"/>
  <c r="H54" i="41"/>
  <c r="H48" i="41"/>
  <c r="O63" i="41"/>
  <c r="H51" i="41"/>
  <c r="H56" i="41"/>
  <c r="M56" i="41"/>
  <c r="H65" i="41"/>
  <c r="I58" i="41"/>
  <c r="D56" i="41"/>
  <c r="D49" i="41"/>
  <c r="D61" i="41"/>
  <c r="D60" i="41"/>
  <c r="O57" i="41"/>
  <c r="P57" i="41"/>
  <c r="R49" i="41"/>
  <c r="P50" i="41"/>
  <c r="M13" i="53"/>
  <c r="F18" i="53"/>
  <c r="D18" i="53"/>
  <c r="P17" i="53"/>
  <c r="H10" i="42"/>
  <c r="P12" i="53"/>
  <c r="H22" i="53"/>
  <c r="G19" i="53"/>
  <c r="C15" i="53"/>
  <c r="C17" i="53"/>
  <c r="H21" i="53"/>
  <c r="E12" i="53"/>
  <c r="E10" i="41"/>
  <c r="A1" i="42"/>
  <c r="Q6" i="53"/>
  <c r="C4" i="53"/>
  <c r="Q13" i="53"/>
  <c r="D2" i="54"/>
  <c r="F10" i="53"/>
  <c r="A1" i="19"/>
  <c r="B15" i="53"/>
  <c r="A1" i="40"/>
  <c r="A1" i="13"/>
  <c r="F16" i="53"/>
  <c r="E15" i="53"/>
  <c r="P5" i="53"/>
  <c r="N45" i="41"/>
  <c r="B20" i="53"/>
  <c r="E4" i="36"/>
  <c r="E14" i="53"/>
  <c r="A3" i="53"/>
  <c r="I21" i="53"/>
  <c r="H13" i="53"/>
  <c r="D17" i="53"/>
  <c r="A1" i="21"/>
  <c r="C12" i="53"/>
  <c r="I10" i="53"/>
  <c r="G13" i="53"/>
  <c r="J13" i="42"/>
  <c r="R17" i="53"/>
  <c r="C16" i="53"/>
  <c r="M6" i="53"/>
  <c r="F12" i="53"/>
  <c r="N24" i="53"/>
  <c r="Q12" i="53"/>
  <c r="A1" i="46"/>
  <c r="M11" i="53"/>
  <c r="K10" i="41"/>
  <c r="R19" i="53"/>
  <c r="O19" i="53"/>
  <c r="R52" i="41"/>
  <c r="O55" i="41"/>
  <c r="O49" i="41"/>
  <c r="N62" i="41"/>
  <c r="Q58" i="41"/>
  <c r="P61" i="41"/>
  <c r="Q48" i="41"/>
  <c r="D6" i="53"/>
  <c r="N9" i="53"/>
  <c r="P13" i="53"/>
  <c r="Q7" i="53"/>
  <c r="J22" i="42"/>
  <c r="J22" i="48" s="1"/>
  <c r="Q22" i="53"/>
  <c r="C6" i="53"/>
  <c r="J23" i="42"/>
  <c r="N7" i="53"/>
  <c r="N20" i="53"/>
  <c r="R8" i="53"/>
  <c r="D5" i="53"/>
  <c r="P24" i="53"/>
  <c r="E17" i="53"/>
  <c r="E10" i="53"/>
  <c r="D15" i="53"/>
  <c r="P10" i="53"/>
  <c r="E7" i="53"/>
  <c r="E18" i="53"/>
  <c r="I5" i="53"/>
  <c r="D10" i="53"/>
  <c r="E21" i="53"/>
  <c r="B5" i="53"/>
  <c r="F8" i="53"/>
  <c r="D19" i="53"/>
  <c r="B14" i="53"/>
  <c r="G22" i="53"/>
  <c r="G5" i="53"/>
  <c r="M10" i="53"/>
  <c r="N5" i="53"/>
  <c r="N15" i="53"/>
  <c r="E35" i="41"/>
  <c r="A1" i="26"/>
  <c r="F9" i="53"/>
  <c r="D9" i="53"/>
  <c r="I9" i="53"/>
  <c r="E19" i="53"/>
  <c r="N11" i="53"/>
  <c r="F11" i="53"/>
  <c r="Q8" i="53"/>
  <c r="D8" i="53"/>
  <c r="E35" i="47"/>
  <c r="I12" i="53"/>
  <c r="H10" i="41"/>
  <c r="M21" i="53"/>
  <c r="R4" i="53"/>
  <c r="G6" i="53"/>
  <c r="F14" i="53"/>
  <c r="N8" i="53"/>
  <c r="E10" i="36"/>
  <c r="A1" i="20"/>
  <c r="N22" i="53"/>
  <c r="B9" i="53"/>
  <c r="A1" i="17"/>
  <c r="A1" i="41"/>
  <c r="P20" i="53"/>
  <c r="A1" i="31"/>
  <c r="I22" i="53"/>
  <c r="O23" i="53"/>
  <c r="C11" i="53"/>
  <c r="R18" i="53"/>
  <c r="G21" i="53"/>
  <c r="D4" i="53"/>
  <c r="Q21" i="53"/>
  <c r="B10" i="53"/>
  <c r="C9" i="53"/>
  <c r="H17" i="53"/>
  <c r="H9" i="53"/>
  <c r="M15" i="53"/>
  <c r="H14" i="53"/>
  <c r="J12" i="42"/>
  <c r="J12" i="48" s="1"/>
  <c r="P52" i="41"/>
  <c r="D54" i="41"/>
  <c r="N59" i="41"/>
  <c r="D53" i="41"/>
  <c r="M64" i="41"/>
  <c r="P56" i="41"/>
  <c r="Q63" i="41"/>
  <c r="R64" i="41"/>
  <c r="I14" i="53"/>
  <c r="G16" i="53"/>
  <c r="D16" i="53"/>
  <c r="C19" i="53"/>
  <c r="M8" i="53"/>
  <c r="M23" i="53"/>
  <c r="AH29" i="4"/>
  <c r="O15" i="53"/>
  <c r="P21" i="53"/>
  <c r="Q5" i="53"/>
  <c r="J14" i="42"/>
  <c r="E16" i="53"/>
  <c r="F5" i="53"/>
  <c r="O10" i="53"/>
  <c r="H11" i="53"/>
  <c r="A1" i="45"/>
  <c r="R20" i="53"/>
  <c r="O16" i="53"/>
  <c r="Q4" i="53"/>
  <c r="H20" i="53"/>
  <c r="M18" i="53"/>
  <c r="P8" i="53"/>
  <c r="O22" i="53"/>
  <c r="E4" i="41"/>
  <c r="D14" i="53"/>
  <c r="R6" i="53"/>
  <c r="H7" i="53"/>
  <c r="Q18" i="53"/>
  <c r="F13" i="53"/>
  <c r="D12" i="53"/>
  <c r="B12" i="53"/>
  <c r="D22" i="53"/>
  <c r="A3" i="54"/>
  <c r="E4" i="48"/>
  <c r="J21" i="42"/>
  <c r="J21" i="48" s="1"/>
  <c r="A1" i="53"/>
  <c r="F22" i="53"/>
  <c r="D13" i="53"/>
  <c r="D7" i="53"/>
  <c r="O24" i="53"/>
  <c r="Q24" i="53"/>
  <c r="I7" i="53"/>
  <c r="Q19" i="53"/>
  <c r="F15" i="53"/>
  <c r="P4" i="53"/>
  <c r="I13" i="53"/>
  <c r="G12" i="53"/>
  <c r="N6" i="53"/>
  <c r="A1" i="36"/>
  <c r="M4" i="53"/>
  <c r="O7" i="53"/>
  <c r="O5" i="53"/>
  <c r="M5" i="53"/>
  <c r="R16" i="53"/>
  <c r="M19" i="53"/>
  <c r="O9" i="53"/>
  <c r="N10" i="53"/>
  <c r="P16" i="53"/>
  <c r="A1" i="48"/>
  <c r="E20" i="53"/>
  <c r="A1" i="22"/>
  <c r="G14" i="53"/>
  <c r="O56" i="41"/>
  <c r="M50" i="41"/>
  <c r="N65" i="41"/>
  <c r="N63" i="41"/>
  <c r="O48" i="41"/>
  <c r="R47" i="41"/>
  <c r="Q55" i="41"/>
  <c r="P51" i="41"/>
  <c r="E10" i="47"/>
  <c r="C14" i="53"/>
  <c r="J14" i="48"/>
  <c r="H10" i="36"/>
  <c r="H35" i="36" s="1"/>
  <c r="Q45" i="36" s="1"/>
  <c r="Q11" i="53"/>
  <c r="B11" i="53"/>
  <c r="Q14" i="53"/>
  <c r="P18" i="53"/>
  <c r="Q10" i="53"/>
  <c r="E26" i="40"/>
  <c r="I20" i="53"/>
  <c r="E35" i="36"/>
  <c r="G4" i="53"/>
  <c r="R12" i="53"/>
  <c r="B21" i="53"/>
  <c r="G18" i="53"/>
  <c r="Q20" i="53"/>
  <c r="O17" i="53"/>
  <c r="B17" i="53"/>
  <c r="G8" i="53"/>
  <c r="Q17" i="53"/>
  <c r="B6" i="53"/>
  <c r="O11" i="53"/>
  <c r="Q10" i="41"/>
  <c r="G9" i="53"/>
  <c r="P22" i="53"/>
  <c r="N14" i="53"/>
  <c r="O8" i="53"/>
  <c r="G20" i="53"/>
  <c r="E13" i="53"/>
  <c r="A1" i="35"/>
  <c r="O12" i="53"/>
  <c r="F4" i="53"/>
  <c r="B4" i="53"/>
  <c r="B7" i="53"/>
  <c r="I6" i="53"/>
  <c r="N19" i="53"/>
  <c r="A1" i="47"/>
  <c r="R21" i="53"/>
  <c r="I18" i="53"/>
  <c r="Q23" i="53"/>
  <c r="C7" i="53"/>
  <c r="G11" i="53"/>
  <c r="R23" i="53"/>
  <c r="D11" i="53"/>
  <c r="B19" i="53"/>
  <c r="P19" i="53"/>
  <c r="C8" i="53"/>
  <c r="M12" i="53"/>
  <c r="E8" i="53"/>
  <c r="G7" i="53"/>
  <c r="H8" i="53"/>
  <c r="I17" i="53"/>
  <c r="E4" i="53"/>
  <c r="E9" i="53"/>
  <c r="Q9" i="53"/>
  <c r="H15" i="53"/>
  <c r="H6" i="53"/>
  <c r="M7" i="53"/>
  <c r="H10" i="53"/>
  <c r="C5" i="53"/>
  <c r="J13" i="48"/>
  <c r="H12" i="53"/>
  <c r="R5" i="53"/>
  <c r="H16" i="53"/>
  <c r="B13" i="53"/>
  <c r="H5" i="53"/>
  <c r="M16" i="53"/>
  <c r="F7" i="53"/>
  <c r="N45" i="47"/>
  <c r="I15" i="53"/>
  <c r="D21" i="53"/>
  <c r="E4" i="35"/>
  <c r="N23" i="53"/>
  <c r="C13" i="53"/>
  <c r="E22" i="53"/>
  <c r="I16" i="53"/>
  <c r="R15" i="53"/>
  <c r="N21" i="53"/>
  <c r="G10" i="53"/>
  <c r="M14" i="53"/>
  <c r="I19" i="53"/>
  <c r="O20" i="53"/>
  <c r="C20" i="53"/>
  <c r="O14" i="53"/>
  <c r="O4" i="53"/>
  <c r="B5" i="16"/>
  <c r="B59" i="48"/>
  <c r="O13" i="53"/>
  <c r="H18" i="53"/>
  <c r="N12" i="53"/>
  <c r="P11" i="53"/>
  <c r="P7" i="53"/>
  <c r="N45" i="36"/>
  <c r="Q15" i="53"/>
  <c r="R11" i="53"/>
  <c r="D20" i="53"/>
  <c r="E5" i="53"/>
  <c r="J23" i="48"/>
  <c r="M9" i="53"/>
  <c r="M24" i="53"/>
  <c r="N17" i="53"/>
  <c r="F19" i="53"/>
  <c r="C18" i="53"/>
  <c r="P14" i="53"/>
  <c r="O21" i="53"/>
  <c r="R22" i="53"/>
  <c r="I8" i="53"/>
  <c r="E35" i="42"/>
  <c r="B18" i="53"/>
  <c r="C21" i="53"/>
  <c r="B22" i="53"/>
  <c r="F21" i="53"/>
  <c r="P9" i="53"/>
  <c r="P6" i="53"/>
  <c r="H35" i="35"/>
  <c r="M22" i="53"/>
  <c r="H4" i="53"/>
  <c r="B8" i="53"/>
  <c r="I11" i="53"/>
  <c r="O18" i="53"/>
  <c r="C10" i="53"/>
  <c r="E11" i="53"/>
  <c r="N18" i="53"/>
  <c r="P15" i="53"/>
  <c r="A1" i="44"/>
  <c r="R24" i="53"/>
  <c r="J15" i="42"/>
  <c r="J15" i="48" s="1"/>
  <c r="I4" i="53"/>
  <c r="K10" i="42"/>
  <c r="D37" i="24"/>
  <c r="D38" i="24"/>
  <c r="K45" i="35"/>
  <c r="B10" i="35"/>
  <c r="B35" i="35"/>
  <c r="I59" i="48" l="1"/>
  <c r="P24" i="48"/>
  <c r="E59" i="48"/>
  <c r="N24" i="48"/>
  <c r="Q24" i="48"/>
  <c r="O24" i="48"/>
  <c r="F59" i="48"/>
  <c r="D59" i="48"/>
  <c r="K24" i="48"/>
  <c r="B24" i="48" s="1"/>
  <c r="C59" i="48"/>
  <c r="H59" i="48"/>
  <c r="M24" i="48"/>
  <c r="R24" i="48"/>
  <c r="G59" i="48"/>
  <c r="L24" i="48"/>
  <c r="C24" i="48" s="1"/>
  <c r="B10" i="42"/>
  <c r="B35" i="42"/>
  <c r="K45" i="42"/>
  <c r="D22" i="44"/>
  <c r="M32" i="44"/>
  <c r="M1" i="44"/>
  <c r="D1" i="44"/>
  <c r="R32" i="44"/>
  <c r="H35" i="41"/>
  <c r="Q45" i="41"/>
  <c r="H10" i="46"/>
  <c r="H35" i="46" s="1"/>
  <c r="E10" i="46"/>
  <c r="N10" i="46"/>
  <c r="K10" i="46"/>
  <c r="K10" i="48" s="1"/>
  <c r="N45" i="46"/>
  <c r="E35" i="46"/>
  <c r="E35" i="48" s="1"/>
  <c r="Q45" i="46"/>
  <c r="Q10" i="46"/>
  <c r="Q10" i="48" s="1"/>
  <c r="AD1" i="17"/>
  <c r="Z33" i="17"/>
  <c r="K4" i="13"/>
  <c r="S33" i="17"/>
  <c r="K5" i="13"/>
  <c r="K6" i="13"/>
  <c r="B10" i="13"/>
  <c r="U33" i="17"/>
  <c r="K3" i="13"/>
  <c r="AA1" i="17"/>
  <c r="K7" i="13"/>
  <c r="AB33" i="17"/>
  <c r="AG1" i="17"/>
  <c r="A3" i="13"/>
  <c r="B1" i="13" s="1"/>
  <c r="C1" i="13" s="1"/>
  <c r="E4" i="16" s="1"/>
  <c r="H35" i="42"/>
  <c r="W13" i="20"/>
  <c r="W9" i="20"/>
  <c r="W22" i="20"/>
  <c r="W6" i="20"/>
  <c r="V6" i="20"/>
  <c r="E26" i="20"/>
  <c r="V1" i="20"/>
  <c r="W16" i="20"/>
  <c r="V16" i="20"/>
  <c r="M1" i="20"/>
  <c r="V10" i="20"/>
  <c r="V5" i="20"/>
  <c r="V3" i="20"/>
  <c r="W12" i="20"/>
  <c r="W20" i="20"/>
  <c r="V23" i="20"/>
  <c r="W11" i="20"/>
  <c r="V22" i="20"/>
  <c r="V8" i="20"/>
  <c r="V11" i="20"/>
  <c r="V21" i="20"/>
  <c r="W15" i="20"/>
  <c r="V4" i="20"/>
  <c r="D1" i="20"/>
  <c r="W23" i="20"/>
  <c r="W8" i="20"/>
  <c r="W3" i="20"/>
  <c r="V18" i="20"/>
  <c r="D26" i="20"/>
  <c r="V9" i="20"/>
  <c r="T1" i="20"/>
  <c r="W5" i="20"/>
  <c r="D25" i="20"/>
  <c r="M35" i="20"/>
  <c r="V17" i="20"/>
  <c r="V7" i="20"/>
  <c r="W14" i="20"/>
  <c r="W19" i="20"/>
  <c r="V13" i="20"/>
  <c r="W10" i="20"/>
  <c r="W18" i="20"/>
  <c r="V20" i="20"/>
  <c r="W21" i="20"/>
  <c r="W17" i="20"/>
  <c r="V14" i="20"/>
  <c r="W4" i="20"/>
  <c r="V15" i="20"/>
  <c r="V12" i="20"/>
  <c r="W7" i="20"/>
  <c r="A6" i="20"/>
  <c r="V19" i="20"/>
  <c r="J11" i="19"/>
  <c r="J10" i="19"/>
  <c r="D22" i="19"/>
  <c r="E35" i="35" s="1"/>
  <c r="W10" i="19"/>
  <c r="J9" i="19"/>
  <c r="W11" i="19"/>
  <c r="D1" i="19"/>
  <c r="E10" i="35" s="1"/>
  <c r="J2" i="19"/>
  <c r="J11" i="35" s="1"/>
  <c r="M32" i="19"/>
  <c r="N45" i="35" s="1"/>
  <c r="M1" i="19"/>
  <c r="Q45" i="35"/>
  <c r="D24" i="17"/>
  <c r="AA11" i="17"/>
  <c r="AA12" i="17"/>
  <c r="D1" i="17"/>
  <c r="E10" i="45" s="1"/>
  <c r="B10" i="41"/>
  <c r="B35" i="41"/>
  <c r="K45" i="41"/>
  <c r="D25" i="40"/>
  <c r="M1" i="40"/>
  <c r="D1" i="40"/>
  <c r="M35" i="40"/>
  <c r="E34" i="22"/>
  <c r="G30" i="22"/>
  <c r="B31" i="22"/>
  <c r="F27" i="22"/>
  <c r="F32" i="22"/>
  <c r="C30" i="22"/>
  <c r="B26" i="22"/>
  <c r="K23" i="22"/>
  <c r="K26" i="22"/>
  <c r="E31" i="22"/>
  <c r="C27" i="22"/>
  <c r="A25" i="22"/>
  <c r="G24" i="22"/>
  <c r="A32" i="22"/>
  <c r="A27" i="22"/>
  <c r="B24" i="22"/>
  <c r="K32" i="22"/>
  <c r="C25" i="22"/>
  <c r="G32" i="22"/>
  <c r="C29" i="22"/>
  <c r="G31" i="22"/>
  <c r="B28" i="22"/>
  <c r="G23" i="22"/>
  <c r="E26" i="22"/>
  <c r="K24" i="22"/>
  <c r="F26" i="22"/>
  <c r="A34" i="22"/>
  <c r="K31" i="22"/>
  <c r="B29" i="22"/>
  <c r="A24" i="22"/>
  <c r="B27" i="22"/>
  <c r="C35" i="22"/>
  <c r="K37" i="22"/>
  <c r="K27" i="22"/>
  <c r="F31" i="22"/>
  <c r="G29" i="22"/>
  <c r="C32" i="22"/>
  <c r="E30" i="22"/>
  <c r="F30" i="22"/>
  <c r="E23" i="22"/>
  <c r="G26" i="22"/>
  <c r="B34" i="22"/>
  <c r="A33" i="22"/>
  <c r="E28" i="22"/>
  <c r="B35" i="22"/>
  <c r="A35" i="22"/>
  <c r="A31" i="22"/>
  <c r="F35" i="22"/>
  <c r="E24" i="22"/>
  <c r="A23" i="22"/>
  <c r="C28" i="22"/>
  <c r="E29" i="22"/>
  <c r="C26" i="22"/>
  <c r="G34" i="22"/>
  <c r="E35" i="22"/>
  <c r="C34" i="22"/>
  <c r="G35" i="22"/>
  <c r="E27" i="22"/>
  <c r="A26" i="22"/>
  <c r="C31" i="22"/>
  <c r="B33" i="22"/>
  <c r="A28" i="22"/>
  <c r="F33" i="22"/>
  <c r="K36" i="22"/>
  <c r="E25" i="22"/>
  <c r="K35" i="22"/>
  <c r="B25" i="22"/>
  <c r="B32" i="22"/>
  <c r="F24" i="22"/>
  <c r="E32" i="22"/>
  <c r="F28" i="22"/>
  <c r="G33" i="22"/>
  <c r="F34" i="22"/>
  <c r="K29" i="22"/>
  <c r="F25" i="22"/>
  <c r="A29" i="22"/>
  <c r="G25" i="22"/>
  <c r="K33" i="22"/>
  <c r="G28" i="22"/>
  <c r="G27" i="22"/>
  <c r="K30" i="22"/>
  <c r="F29" i="22"/>
  <c r="C33" i="22"/>
  <c r="K28" i="22"/>
  <c r="E33" i="22"/>
  <c r="C24" i="22"/>
  <c r="K25" i="22"/>
  <c r="K34" i="22"/>
  <c r="A30" i="22"/>
  <c r="B30" i="22"/>
  <c r="J11" i="36"/>
  <c r="J14" i="36"/>
  <c r="J12" i="36"/>
  <c r="J12" i="16" s="1"/>
  <c r="J15" i="36"/>
  <c r="J13" i="36"/>
  <c r="D1" i="31"/>
  <c r="D22" i="31"/>
  <c r="M32" i="31"/>
  <c r="R32" i="31"/>
  <c r="M35" i="26"/>
  <c r="D25" i="26"/>
  <c r="D1" i="26"/>
  <c r="M1" i="26"/>
  <c r="A6" i="26"/>
  <c r="M1" i="21"/>
  <c r="M32" i="21"/>
  <c r="R32" i="21"/>
  <c r="D1" i="21"/>
  <c r="D22" i="21"/>
  <c r="N45" i="42" l="1"/>
  <c r="N45" i="48" s="1"/>
  <c r="Q45" i="42"/>
  <c r="Q45" i="48" s="1"/>
  <c r="E10" i="42"/>
  <c r="E10" i="48" s="1"/>
  <c r="E10" i="16" s="1"/>
  <c r="H35" i="48"/>
  <c r="J41" i="19"/>
  <c r="J19" i="35"/>
  <c r="J54" i="35" s="1"/>
  <c r="J54" i="16" s="1"/>
  <c r="J40" i="19"/>
  <c r="J18" i="35"/>
  <c r="J42" i="19"/>
  <c r="J20" i="35"/>
  <c r="J55" i="35" s="1"/>
  <c r="J55" i="16" s="1"/>
  <c r="H10" i="48"/>
  <c r="B10" i="48"/>
  <c r="K45" i="48"/>
  <c r="B35" i="48"/>
  <c r="C14" i="13"/>
  <c r="H7" i="13"/>
  <c r="B35" i="46"/>
  <c r="K45" i="46"/>
  <c r="B10" i="46"/>
  <c r="R32" i="26"/>
  <c r="M33" i="26"/>
  <c r="O34" i="26"/>
  <c r="Q31" i="26"/>
  <c r="M31" i="26"/>
  <c r="N32" i="26"/>
  <c r="Q33" i="26"/>
  <c r="O33" i="26"/>
  <c r="O31" i="26"/>
  <c r="Q34" i="26"/>
  <c r="N34" i="26"/>
  <c r="R33" i="26"/>
  <c r="N33" i="26"/>
  <c r="K33" i="26"/>
  <c r="R31" i="26"/>
  <c r="M32" i="26"/>
  <c r="P34" i="26"/>
  <c r="R34" i="26"/>
  <c r="N31" i="26"/>
  <c r="P33" i="26"/>
  <c r="P32" i="26"/>
  <c r="P31" i="26"/>
  <c r="Q32" i="26"/>
  <c r="O32" i="26"/>
  <c r="K31" i="26"/>
  <c r="K34" i="26"/>
  <c r="K32" i="26"/>
  <c r="M34" i="26"/>
  <c r="C13" i="13"/>
  <c r="H6" i="13"/>
  <c r="H4" i="13"/>
  <c r="H3" i="13"/>
  <c r="E3" i="13" s="1"/>
  <c r="B24" i="24"/>
  <c r="C12" i="13"/>
  <c r="H5" i="13"/>
  <c r="J53" i="35" l="1"/>
  <c r="J53" i="16" s="1"/>
  <c r="A4" i="19"/>
  <c r="A4" i="20"/>
  <c r="A4" i="26"/>
  <c r="A4" i="40"/>
  <c r="A4" i="21"/>
  <c r="A4" i="17"/>
  <c r="A4" i="44"/>
  <c r="A4" i="31"/>
  <c r="B13" i="13"/>
  <c r="C24" i="24"/>
  <c r="O15" i="40" l="1"/>
  <c r="R15" i="41"/>
  <c r="Q22" i="41"/>
  <c r="R15" i="40"/>
  <c r="I15" i="40" s="1"/>
  <c r="D17" i="54"/>
  <c r="Q12" i="20"/>
  <c r="R22" i="46"/>
  <c r="Q20" i="40"/>
  <c r="H20" i="40" s="1"/>
  <c r="N12" i="40"/>
  <c r="Q7" i="40"/>
  <c r="H7" i="40" s="1"/>
  <c r="O18" i="40"/>
  <c r="P16" i="40"/>
  <c r="E15" i="46"/>
  <c r="O6" i="20"/>
  <c r="Q43" i="21"/>
  <c r="T35" i="17"/>
  <c r="K54" i="46"/>
  <c r="L14" i="20"/>
  <c r="M6" i="40"/>
  <c r="O21" i="40"/>
  <c r="R12" i="40"/>
  <c r="I12" i="40" s="1"/>
  <c r="R20" i="40"/>
  <c r="I20" i="40" s="1"/>
  <c r="Q6" i="40"/>
  <c r="H6" i="40" s="1"/>
  <c r="Q14" i="40"/>
  <c r="H14" i="40" s="1"/>
  <c r="O30" i="41"/>
  <c r="N18" i="40"/>
  <c r="Q9" i="40"/>
  <c r="H9" i="40" s="1"/>
  <c r="O16" i="40"/>
  <c r="N24" i="41"/>
  <c r="R11" i="46"/>
  <c r="I11" i="46" s="1"/>
  <c r="F46" i="41"/>
  <c r="L14" i="31"/>
  <c r="C14" i="31" s="1"/>
  <c r="C45" i="31" s="1"/>
  <c r="N15" i="46"/>
  <c r="Q39" i="21"/>
  <c r="D4" i="54"/>
  <c r="Q56" i="46"/>
  <c r="M11" i="44"/>
  <c r="D11" i="44" s="1"/>
  <c r="L45" i="31"/>
  <c r="L16" i="20"/>
  <c r="K13" i="26"/>
  <c r="L17" i="40"/>
  <c r="R16" i="46"/>
  <c r="Q39" i="31"/>
  <c r="H12" i="54"/>
  <c r="Q11" i="19" s="1"/>
  <c r="Q50" i="46"/>
  <c r="K2" i="17"/>
  <c r="B2" i="17" s="1"/>
  <c r="V49" i="17"/>
  <c r="R10" i="44"/>
  <c r="J7" i="17"/>
  <c r="J16" i="45" s="1"/>
  <c r="O5" i="31"/>
  <c r="I36" i="35"/>
  <c r="X16" i="17"/>
  <c r="R9" i="44"/>
  <c r="N10" i="20"/>
  <c r="M4" i="40"/>
  <c r="Q27" i="41"/>
  <c r="N10" i="40"/>
  <c r="M3" i="40"/>
  <c r="Q17" i="40"/>
  <c r="H17" i="40" s="1"/>
  <c r="N16" i="41"/>
  <c r="L5" i="44"/>
  <c r="C5" i="44" s="1"/>
  <c r="C36" i="44" s="1"/>
  <c r="H18" i="54"/>
  <c r="Q17" i="19" s="1"/>
  <c r="M47" i="46"/>
  <c r="Q4" i="40"/>
  <c r="H4" i="40" s="1"/>
  <c r="Q12" i="40"/>
  <c r="H12" i="40" s="1"/>
  <c r="N16" i="40"/>
  <c r="Q30" i="41"/>
  <c r="R19" i="40"/>
  <c r="I19" i="40" s="1"/>
  <c r="D13" i="54"/>
  <c r="F14" i="46"/>
  <c r="F12" i="46"/>
  <c r="X3" i="17"/>
  <c r="L8" i="17"/>
  <c r="C8" i="17" s="1"/>
  <c r="K4" i="31"/>
  <c r="B4" i="31" s="1"/>
  <c r="B35" i="31" s="1"/>
  <c r="N18" i="20"/>
  <c r="M10" i="40"/>
  <c r="R4" i="40"/>
  <c r="I4" i="40" s="1"/>
  <c r="N6" i="40"/>
  <c r="P21" i="40"/>
  <c r="O20" i="40"/>
  <c r="R26" i="41"/>
  <c r="K5" i="21"/>
  <c r="B5" i="21" s="1"/>
  <c r="B36" i="21" s="1"/>
  <c r="H46" i="46"/>
  <c r="N8" i="20"/>
  <c r="E49" i="46"/>
  <c r="T41" i="17"/>
  <c r="L59" i="46"/>
  <c r="I48" i="46"/>
  <c r="O10" i="20"/>
  <c r="C12" i="22"/>
  <c r="G23" i="46"/>
  <c r="O13" i="46"/>
  <c r="Z53" i="17"/>
  <c r="P6" i="21"/>
  <c r="L42" i="31"/>
  <c r="C14" i="22"/>
  <c r="G24" i="48"/>
  <c r="P6" i="40"/>
  <c r="W49" i="17"/>
  <c r="J7" i="21"/>
  <c r="G59" i="46"/>
  <c r="U42" i="17"/>
  <c r="P22" i="20"/>
  <c r="L18" i="46"/>
  <c r="C18" i="46" s="1"/>
  <c r="L3" i="40"/>
  <c r="D50" i="46"/>
  <c r="M8" i="40"/>
  <c r="R5" i="40"/>
  <c r="I5" i="40" s="1"/>
  <c r="R23" i="41"/>
  <c r="M7" i="40"/>
  <c r="R11" i="40"/>
  <c r="I11" i="40" s="1"/>
  <c r="P18" i="40"/>
  <c r="AC39" i="17"/>
  <c r="H8" i="54"/>
  <c r="N4" i="40"/>
  <c r="P19" i="40"/>
  <c r="M20" i="41"/>
  <c r="N9" i="40"/>
  <c r="M12" i="19"/>
  <c r="M21" i="35" s="1"/>
  <c r="N50" i="46"/>
  <c r="AC47" i="17"/>
  <c r="P21" i="20"/>
  <c r="K19" i="46"/>
  <c r="B19" i="46" s="1"/>
  <c r="O13" i="40"/>
  <c r="R16" i="40"/>
  <c r="I16" i="40" s="1"/>
  <c r="M5" i="40"/>
  <c r="Q10" i="40"/>
  <c r="H10" i="40" s="1"/>
  <c r="Q18" i="40"/>
  <c r="H18" i="40" s="1"/>
  <c r="P18" i="41"/>
  <c r="Q5" i="40"/>
  <c r="H5" i="40" s="1"/>
  <c r="Q13" i="40"/>
  <c r="H13" i="40" s="1"/>
  <c r="N7" i="40"/>
  <c r="P29" i="41"/>
  <c r="B36" i="36"/>
  <c r="AC44" i="17"/>
  <c r="S5" i="17"/>
  <c r="J2" i="17"/>
  <c r="J11" i="45" s="1"/>
  <c r="K56" i="46"/>
  <c r="N42" i="21"/>
  <c r="K9" i="19"/>
  <c r="Q6" i="31"/>
  <c r="H6" i="31" s="1"/>
  <c r="O19" i="20"/>
  <c r="F36" i="42"/>
  <c r="F36" i="48" s="1"/>
  <c r="O12" i="44"/>
  <c r="R18" i="46"/>
  <c r="M19" i="46"/>
  <c r="W40" i="17"/>
  <c r="P20" i="40"/>
  <c r="F46" i="35"/>
  <c r="N43" i="31"/>
  <c r="I46" i="36"/>
  <c r="K5" i="17"/>
  <c r="B5" i="17" s="1"/>
  <c r="F21" i="54"/>
  <c r="O20" i="19" s="1"/>
  <c r="O29" i="35" s="1"/>
  <c r="R5" i="20"/>
  <c r="I17" i="46"/>
  <c r="C6" i="22"/>
  <c r="V20" i="17"/>
  <c r="U3" i="17"/>
  <c r="L13" i="41"/>
  <c r="R4" i="21"/>
  <c r="M12" i="40"/>
  <c r="R18" i="40"/>
  <c r="I18" i="40" s="1"/>
  <c r="O10" i="40"/>
  <c r="Q21" i="40"/>
  <c r="H21" i="40" s="1"/>
  <c r="R21" i="40"/>
  <c r="I21" i="40" s="1"/>
  <c r="O7" i="21"/>
  <c r="U39" i="17"/>
  <c r="Q8" i="40"/>
  <c r="H8" i="40" s="1"/>
  <c r="M25" i="41"/>
  <c r="P7" i="40"/>
  <c r="N5" i="40"/>
  <c r="M24" i="41"/>
  <c r="N13" i="40"/>
  <c r="Q3" i="40"/>
  <c r="H3" i="40" s="1"/>
  <c r="V21" i="17"/>
  <c r="I5" i="54"/>
  <c r="R4" i="19" s="1"/>
  <c r="R13" i="35" s="1"/>
  <c r="O40" i="31"/>
  <c r="O57" i="46"/>
  <c r="Q20" i="46"/>
  <c r="O17" i="40"/>
  <c r="P9" i="40"/>
  <c r="O8" i="40"/>
  <c r="N14" i="40"/>
  <c r="P10" i="40"/>
  <c r="W45" i="17"/>
  <c r="N35" i="21"/>
  <c r="F57" i="46"/>
  <c r="I9" i="54"/>
  <c r="R8" i="19" s="1"/>
  <c r="R17" i="35" s="1"/>
  <c r="R21" i="46"/>
  <c r="X42" i="17"/>
  <c r="Q59" i="46"/>
  <c r="K19" i="17"/>
  <c r="B19" i="17" s="1"/>
  <c r="O12" i="20"/>
  <c r="H36" i="42"/>
  <c r="H36" i="48" s="1"/>
  <c r="X38" i="17"/>
  <c r="P8" i="21"/>
  <c r="M34" i="21"/>
  <c r="F9" i="54"/>
  <c r="O13" i="31"/>
  <c r="F36" i="41"/>
  <c r="L23" i="46"/>
  <c r="C23" i="46" s="1"/>
  <c r="K18" i="46"/>
  <c r="B18" i="46" s="1"/>
  <c r="C49" i="46"/>
  <c r="K3" i="21"/>
  <c r="B3" i="21" s="1"/>
  <c r="B34" i="21" s="1"/>
  <c r="P57" i="46"/>
  <c r="J11" i="44"/>
  <c r="P4" i="31"/>
  <c r="G4" i="31" s="1"/>
  <c r="D46" i="42"/>
  <c r="D46" i="48" s="1"/>
  <c r="P17" i="46"/>
  <c r="P8" i="31"/>
  <c r="G8" i="31" s="1"/>
  <c r="W37" i="17"/>
  <c r="W12" i="17"/>
  <c r="J13" i="17"/>
  <c r="J22" i="45" s="1"/>
  <c r="G17" i="46"/>
  <c r="AC48" i="17"/>
  <c r="D36" i="47"/>
  <c r="R46" i="31"/>
  <c r="L9" i="31"/>
  <c r="C9" i="31" s="1"/>
  <c r="C40" i="31" s="1"/>
  <c r="N46" i="21"/>
  <c r="D55" i="46"/>
  <c r="P20" i="46"/>
  <c r="Q11" i="44"/>
  <c r="X10" i="17"/>
  <c r="C48" i="46"/>
  <c r="L47" i="46"/>
  <c r="D36" i="46"/>
  <c r="J9" i="44"/>
  <c r="R54" i="46"/>
  <c r="M3" i="19"/>
  <c r="M12" i="35" s="1"/>
  <c r="A14" i="22"/>
  <c r="G5" i="54"/>
  <c r="B50" i="46"/>
  <c r="O13" i="26"/>
  <c r="B57" i="46"/>
  <c r="X39" i="17"/>
  <c r="U47" i="17"/>
  <c r="N24" i="46"/>
  <c r="M28" i="41"/>
  <c r="P47" i="21"/>
  <c r="H36" i="46"/>
  <c r="AE47" i="17"/>
  <c r="V7" i="17"/>
  <c r="E22" i="46"/>
  <c r="B1" i="22"/>
  <c r="N45" i="21"/>
  <c r="D10" i="54"/>
  <c r="I14" i="46"/>
  <c r="N11" i="20"/>
  <c r="L10" i="21"/>
  <c r="C10" i="21" s="1"/>
  <c r="C41" i="21" s="1"/>
  <c r="O8" i="19"/>
  <c r="O17" i="35" s="1"/>
  <c r="L11" i="26"/>
  <c r="Q5" i="20"/>
  <c r="M14" i="21"/>
  <c r="L17" i="20"/>
  <c r="X20" i="17"/>
  <c r="K20" i="19"/>
  <c r="N10" i="44"/>
  <c r="L18" i="17"/>
  <c r="C18" i="17" s="1"/>
  <c r="C23" i="22"/>
  <c r="L5" i="20"/>
  <c r="L8" i="44"/>
  <c r="C8" i="44" s="1"/>
  <c r="C39" i="44" s="1"/>
  <c r="Q42" i="31"/>
  <c r="G46" i="46"/>
  <c r="N12" i="20"/>
  <c r="K24" i="46"/>
  <c r="B24" i="46" s="1"/>
  <c r="M50" i="46"/>
  <c r="M9" i="21"/>
  <c r="D9" i="21" s="1"/>
  <c r="Q22" i="46"/>
  <c r="H24" i="48"/>
  <c r="Q9" i="44"/>
  <c r="P15" i="20"/>
  <c r="C5" i="22"/>
  <c r="X6" i="17"/>
  <c r="P35" i="31"/>
  <c r="U36" i="17"/>
  <c r="P22" i="46"/>
  <c r="I52" i="46"/>
  <c r="Q15" i="46"/>
  <c r="F46" i="36"/>
  <c r="O5" i="21"/>
  <c r="N11" i="45"/>
  <c r="K9" i="20"/>
  <c r="B47" i="46"/>
  <c r="F19" i="54"/>
  <c r="K14" i="21"/>
  <c r="B14" i="21" s="1"/>
  <c r="B45" i="21" s="1"/>
  <c r="Q36" i="21"/>
  <c r="M44" i="31"/>
  <c r="K49" i="46"/>
  <c r="O11" i="46"/>
  <c r="F11" i="46" s="1"/>
  <c r="Q3" i="44"/>
  <c r="P15" i="31"/>
  <c r="G15" i="31" s="1"/>
  <c r="H46" i="42"/>
  <c r="H46" i="48" s="1"/>
  <c r="L19" i="19"/>
  <c r="L28" i="35" s="1"/>
  <c r="H49" i="46"/>
  <c r="Q1" i="19"/>
  <c r="N10" i="35" s="1"/>
  <c r="L54" i="46"/>
  <c r="M33" i="21"/>
  <c r="M9" i="20"/>
  <c r="R14" i="20"/>
  <c r="M13" i="44"/>
  <c r="L21" i="26"/>
  <c r="F56" i="46"/>
  <c r="L15" i="40"/>
  <c r="H15" i="54"/>
  <c r="Q14" i="19" s="1"/>
  <c r="R6" i="44"/>
  <c r="K16" i="46"/>
  <c r="B16" i="46" s="1"/>
  <c r="H13" i="54"/>
  <c r="Q12" i="19" s="1"/>
  <c r="X36" i="17"/>
  <c r="Q43" i="31"/>
  <c r="Q49" i="46"/>
  <c r="O14" i="20"/>
  <c r="P37" i="31"/>
  <c r="I24" i="46"/>
  <c r="X49" i="17"/>
  <c r="N18" i="46"/>
  <c r="M34" i="31"/>
  <c r="L9" i="44"/>
  <c r="C9" i="44" s="1"/>
  <c r="C40" i="44" s="1"/>
  <c r="I49" i="46"/>
  <c r="M8" i="44"/>
  <c r="D8" i="44" s="1"/>
  <c r="P11" i="20"/>
  <c r="L13" i="26"/>
  <c r="W21" i="17"/>
  <c r="N11" i="36"/>
  <c r="P51" i="46"/>
  <c r="G36" i="41"/>
  <c r="H56" i="46"/>
  <c r="L6" i="26"/>
  <c r="AB51" i="17"/>
  <c r="M17" i="46"/>
  <c r="Q7" i="19"/>
  <c r="N59" i="46"/>
  <c r="W43" i="17"/>
  <c r="P12" i="20"/>
  <c r="AD51" i="17"/>
  <c r="N19" i="20"/>
  <c r="AC41" i="17"/>
  <c r="L7" i="31"/>
  <c r="C7" i="31" s="1"/>
  <c r="C38" i="31" s="1"/>
  <c r="T18" i="17"/>
  <c r="P5" i="21"/>
  <c r="I16" i="46"/>
  <c r="R38" i="31"/>
  <c r="B12" i="22"/>
  <c r="R59" i="46"/>
  <c r="M9" i="31"/>
  <c r="D9" i="31" s="1"/>
  <c r="K4" i="17"/>
  <c r="B4" i="17" s="1"/>
  <c r="O8" i="44"/>
  <c r="F53" i="46"/>
  <c r="S20" i="17"/>
  <c r="O34" i="31"/>
  <c r="M11" i="35"/>
  <c r="N40" i="21"/>
  <c r="R13" i="40"/>
  <c r="I13" i="40" s="1"/>
  <c r="Q55" i="46"/>
  <c r="H21" i="46"/>
  <c r="D12" i="46"/>
  <c r="P4" i="19"/>
  <c r="P13" i="35" s="1"/>
  <c r="Z49" i="17"/>
  <c r="C15" i="22"/>
  <c r="X19" i="17"/>
  <c r="AC38" i="17"/>
  <c r="O44" i="31"/>
  <c r="O50" i="46"/>
  <c r="K21" i="41"/>
  <c r="O38" i="21"/>
  <c r="H16" i="46"/>
  <c r="Q40" i="31"/>
  <c r="M49" i="46"/>
  <c r="K7" i="31"/>
  <c r="B7" i="31" s="1"/>
  <c r="B38" i="31" s="1"/>
  <c r="R17" i="40"/>
  <c r="I17" i="40" s="1"/>
  <c r="F20" i="46"/>
  <c r="K6" i="21"/>
  <c r="B6" i="21" s="1"/>
  <c r="B37" i="21" s="1"/>
  <c r="N53" i="46"/>
  <c r="E19" i="46"/>
  <c r="U7" i="17"/>
  <c r="O3" i="21"/>
  <c r="K10" i="19"/>
  <c r="H19" i="46"/>
  <c r="K8" i="20"/>
  <c r="N19" i="46"/>
  <c r="M9" i="19"/>
  <c r="M18" i="35" s="1"/>
  <c r="L4" i="40"/>
  <c r="G46" i="42"/>
  <c r="G46" i="48" s="1"/>
  <c r="D16" i="46"/>
  <c r="R39" i="21"/>
  <c r="R52" i="42" s="1"/>
  <c r="R52" i="48" s="1"/>
  <c r="N43" i="44"/>
  <c r="F5" i="54"/>
  <c r="O4" i="19" s="1"/>
  <c r="O13" i="35" s="1"/>
  <c r="V12" i="17"/>
  <c r="Z43" i="17"/>
  <c r="N13" i="26"/>
  <c r="B10" i="22"/>
  <c r="K5" i="19"/>
  <c r="M6" i="21"/>
  <c r="D6" i="21" s="1"/>
  <c r="P5" i="26"/>
  <c r="N11" i="42"/>
  <c r="P45" i="21"/>
  <c r="L14" i="46"/>
  <c r="C14" i="46" s="1"/>
  <c r="N11" i="21"/>
  <c r="Q17" i="20"/>
  <c r="Q16" i="20"/>
  <c r="P23" i="20"/>
  <c r="E20" i="46"/>
  <c r="E36" i="46"/>
  <c r="C58" i="46"/>
  <c r="K18" i="26"/>
  <c r="N55" i="46"/>
  <c r="P38" i="31"/>
  <c r="N8" i="26"/>
  <c r="M55" i="46"/>
  <c r="C51" i="46"/>
  <c r="L16" i="40"/>
  <c r="L38" i="31"/>
  <c r="R17" i="20"/>
  <c r="O18" i="19"/>
  <c r="O27" i="35" s="1"/>
  <c r="J14" i="17"/>
  <c r="J23" i="45" s="1"/>
  <c r="H16" i="54"/>
  <c r="Q15" i="19" s="1"/>
  <c r="R8" i="44"/>
  <c r="R10" i="26"/>
  <c r="N10" i="31"/>
  <c r="E10" i="31" s="1"/>
  <c r="V8" i="17"/>
  <c r="P18" i="20"/>
  <c r="F17" i="54"/>
  <c r="R47" i="31"/>
  <c r="N7" i="20"/>
  <c r="K11" i="17"/>
  <c r="B11" i="17" s="1"/>
  <c r="G36" i="42"/>
  <c r="G36" i="48" s="1"/>
  <c r="S14" i="17"/>
  <c r="H10" i="54"/>
  <c r="Q9" i="19" s="1"/>
  <c r="M21" i="46"/>
  <c r="K18" i="20"/>
  <c r="R11" i="45"/>
  <c r="S36" i="17"/>
  <c r="I22" i="46"/>
  <c r="L17" i="46"/>
  <c r="C17" i="46" s="1"/>
  <c r="G15" i="54"/>
  <c r="O14" i="46"/>
  <c r="AA51" i="17"/>
  <c r="L3" i="44"/>
  <c r="C3" i="44" s="1"/>
  <c r="C34" i="44" s="1"/>
  <c r="L6" i="44"/>
  <c r="C6" i="44" s="1"/>
  <c r="C37" i="44" s="1"/>
  <c r="L12" i="26"/>
  <c r="Q49" i="42"/>
  <c r="Q49" i="48" s="1"/>
  <c r="K2" i="26"/>
  <c r="U8" i="17"/>
  <c r="Q20" i="20"/>
  <c r="T17" i="17"/>
  <c r="Q7" i="26"/>
  <c r="K17" i="26"/>
  <c r="K26" i="47" s="1"/>
  <c r="G36" i="36"/>
  <c r="K36" i="31"/>
  <c r="G46" i="45"/>
  <c r="O46" i="21"/>
  <c r="N14" i="31"/>
  <c r="E14" i="31" s="1"/>
  <c r="E18" i="46"/>
  <c r="K15" i="19"/>
  <c r="U49" i="17"/>
  <c r="T48" i="17"/>
  <c r="R46" i="46"/>
  <c r="K21" i="20"/>
  <c r="D20" i="46"/>
  <c r="Q14" i="20"/>
  <c r="I57" i="46"/>
  <c r="K21" i="46"/>
  <c r="B21" i="46" s="1"/>
  <c r="E17" i="54"/>
  <c r="AE40" i="17"/>
  <c r="R41" i="21"/>
  <c r="R54" i="42" s="1"/>
  <c r="R54" i="48" s="1"/>
  <c r="O12" i="40"/>
  <c r="U12" i="17"/>
  <c r="K17" i="17"/>
  <c r="B17" i="17" s="1"/>
  <c r="R3" i="31"/>
  <c r="I3" i="31" s="1"/>
  <c r="I36" i="46"/>
  <c r="W16" i="17"/>
  <c r="S42" i="17"/>
  <c r="L12" i="41"/>
  <c r="K12" i="40"/>
  <c r="AD41" i="17"/>
  <c r="M5" i="20"/>
  <c r="D15" i="46"/>
  <c r="K46" i="45"/>
  <c r="K60" i="46"/>
  <c r="L10" i="19"/>
  <c r="J10" i="21"/>
  <c r="N6" i="20"/>
  <c r="I15" i="46"/>
  <c r="K14" i="46"/>
  <c r="B14" i="46" s="1"/>
  <c r="V50" i="17"/>
  <c r="L5" i="31"/>
  <c r="C5" i="31" s="1"/>
  <c r="C36" i="31" s="1"/>
  <c r="S18" i="17"/>
  <c r="L7" i="21"/>
  <c r="C7" i="21" s="1"/>
  <c r="C38" i="21" s="1"/>
  <c r="L4" i="44"/>
  <c r="C4" i="44" s="1"/>
  <c r="C35" i="44" s="1"/>
  <c r="H46" i="47"/>
  <c r="P41" i="21"/>
  <c r="M6" i="20"/>
  <c r="P11" i="45"/>
  <c r="K17" i="46"/>
  <c r="B17" i="46" s="1"/>
  <c r="Q34" i="31"/>
  <c r="I36" i="42"/>
  <c r="I36" i="48" s="1"/>
  <c r="P60" i="46"/>
  <c r="K53" i="46"/>
  <c r="A5" i="31"/>
  <c r="M15" i="46"/>
  <c r="N12" i="31"/>
  <c r="E12" i="31" s="1"/>
  <c r="M7" i="44"/>
  <c r="D7" i="44" s="1"/>
  <c r="L13" i="44"/>
  <c r="C13" i="44" s="1"/>
  <c r="C44" i="44" s="1"/>
  <c r="R12" i="46"/>
  <c r="F23" i="46"/>
  <c r="H18" i="46"/>
  <c r="R13" i="46"/>
  <c r="C19" i="22"/>
  <c r="M47" i="44" s="1"/>
  <c r="L16" i="26"/>
  <c r="L22" i="47"/>
  <c r="N44" i="44"/>
  <c r="K18" i="17"/>
  <c r="B18" i="17" s="1"/>
  <c r="D17" i="46"/>
  <c r="F47" i="46"/>
  <c r="O16" i="20"/>
  <c r="H54" i="46"/>
  <c r="K50" i="46"/>
  <c r="F24" i="46"/>
  <c r="K15" i="46"/>
  <c r="B15" i="46" s="1"/>
  <c r="G19" i="46"/>
  <c r="L18" i="26"/>
  <c r="G14" i="54"/>
  <c r="G54" i="46"/>
  <c r="F6" i="54"/>
  <c r="N10" i="21"/>
  <c r="O12" i="21"/>
  <c r="Q3" i="21"/>
  <c r="E17" i="46"/>
  <c r="D58" i="46"/>
  <c r="A8" i="22"/>
  <c r="K42" i="31"/>
  <c r="R14" i="31"/>
  <c r="I14" i="31" s="1"/>
  <c r="AE36" i="17"/>
  <c r="H46" i="36"/>
  <c r="K20" i="20"/>
  <c r="O40" i="21"/>
  <c r="R57" i="46"/>
  <c r="Q8" i="26"/>
  <c r="Q13" i="21"/>
  <c r="E33" i="16"/>
  <c r="B17" i="22"/>
  <c r="K22" i="46"/>
  <c r="B22" i="46" s="1"/>
  <c r="Q4" i="20"/>
  <c r="R33" i="31"/>
  <c r="O16" i="19"/>
  <c r="O25" i="35" s="1"/>
  <c r="F16" i="54"/>
  <c r="O15" i="19" s="1"/>
  <c r="O24" i="35" s="1"/>
  <c r="O36" i="31"/>
  <c r="O44" i="21"/>
  <c r="O57" i="42" s="1"/>
  <c r="O57" i="48" s="1"/>
  <c r="Q24" i="46"/>
  <c r="F13" i="54"/>
  <c r="O12" i="19" s="1"/>
  <c r="O21" i="35" s="1"/>
  <c r="X48" i="17"/>
  <c r="V42" i="17"/>
  <c r="O3" i="31"/>
  <c r="AD39" i="17"/>
  <c r="K13" i="20"/>
  <c r="W44" i="17"/>
  <c r="P11" i="42"/>
  <c r="N14" i="21"/>
  <c r="O45" i="21"/>
  <c r="P14" i="19"/>
  <c r="P23" i="35" s="1"/>
  <c r="K12" i="20"/>
  <c r="Q23" i="20"/>
  <c r="L14" i="44"/>
  <c r="C14" i="44" s="1"/>
  <c r="C45" i="44" s="1"/>
  <c r="N16" i="20"/>
  <c r="S13" i="17"/>
  <c r="K9" i="21"/>
  <c r="B9" i="21" s="1"/>
  <c r="B40" i="21" s="1"/>
  <c r="V39" i="17"/>
  <c r="R39" i="31"/>
  <c r="X35" i="17"/>
  <c r="K13" i="17"/>
  <c r="B13" i="17" s="1"/>
  <c r="M45" i="31"/>
  <c r="P49" i="46"/>
  <c r="D59" i="46"/>
  <c r="R49" i="46"/>
  <c r="H36" i="45"/>
  <c r="X47" i="17"/>
  <c r="R15" i="17" s="1"/>
  <c r="E59" i="46"/>
  <c r="O34" i="21"/>
  <c r="G20" i="54"/>
  <c r="P19" i="19" s="1"/>
  <c r="P28" i="35" s="1"/>
  <c r="K22" i="36"/>
  <c r="H57" i="46"/>
  <c r="O46" i="31"/>
  <c r="O58" i="42"/>
  <c r="O58" i="48" s="1"/>
  <c r="L16" i="46"/>
  <c r="C16" i="46" s="1"/>
  <c r="W53" i="17"/>
  <c r="F59" i="46"/>
  <c r="E55" i="46"/>
  <c r="R15" i="46"/>
  <c r="G57" i="46"/>
  <c r="C54" i="46"/>
  <c r="F46" i="42"/>
  <c r="F46" i="48" s="1"/>
  <c r="L20" i="47"/>
  <c r="H14" i="54"/>
  <c r="Q13" i="19" s="1"/>
  <c r="M47" i="31"/>
  <c r="D46" i="47"/>
  <c r="L10" i="26"/>
  <c r="L19" i="47" s="1"/>
  <c r="R9" i="40"/>
  <c r="I9" i="40" s="1"/>
  <c r="X46" i="17"/>
  <c r="X5" i="17"/>
  <c r="P36" i="21"/>
  <c r="Q60" i="46"/>
  <c r="AC36" i="17"/>
  <c r="M7" i="21"/>
  <c r="D7" i="21" s="1"/>
  <c r="O22" i="46"/>
  <c r="L7" i="26"/>
  <c r="Q15" i="40"/>
  <c r="H15" i="40" s="1"/>
  <c r="T37" i="17"/>
  <c r="N36" i="44"/>
  <c r="K2" i="19"/>
  <c r="G36" i="35"/>
  <c r="K20" i="46"/>
  <c r="B20" i="46" s="1"/>
  <c r="L8" i="21"/>
  <c r="C8" i="21" s="1"/>
  <c r="C39" i="21" s="1"/>
  <c r="N37" i="31"/>
  <c r="M42" i="21"/>
  <c r="N12" i="46"/>
  <c r="L19" i="17"/>
  <c r="C19" i="17" s="1"/>
  <c r="N17" i="20"/>
  <c r="T52" i="17"/>
  <c r="Q18" i="20"/>
  <c r="F49" i="46"/>
  <c r="N8" i="21"/>
  <c r="I10" i="54"/>
  <c r="R9" i="19" s="1"/>
  <c r="R18" i="35" s="1"/>
  <c r="M11" i="31"/>
  <c r="D11" i="31" s="1"/>
  <c r="L3" i="26"/>
  <c r="L15" i="19"/>
  <c r="M23" i="46"/>
  <c r="M10" i="20"/>
  <c r="V15" i="17"/>
  <c r="P11" i="36"/>
  <c r="Q36" i="31"/>
  <c r="L45" i="21"/>
  <c r="A18" i="22"/>
  <c r="K46" i="21" s="1"/>
  <c r="Q16" i="46"/>
  <c r="AB41" i="17"/>
  <c r="M23" i="20"/>
  <c r="I47" i="46"/>
  <c r="K19" i="40"/>
  <c r="L21" i="41"/>
  <c r="G36" i="45"/>
  <c r="AA45" i="17"/>
  <c r="F51" i="46"/>
  <c r="K6" i="17"/>
  <c r="B6" i="17" s="1"/>
  <c r="R20" i="46"/>
  <c r="O16" i="46"/>
  <c r="K21" i="19"/>
  <c r="O45" i="31"/>
  <c r="M46" i="46"/>
  <c r="P11" i="47"/>
  <c r="I36" i="36"/>
  <c r="L12" i="40"/>
  <c r="L6" i="19"/>
  <c r="L3" i="19"/>
  <c r="H9" i="54"/>
  <c r="Q8" i="19" s="1"/>
  <c r="E16" i="46"/>
  <c r="R6" i="20"/>
  <c r="O42" i="31"/>
  <c r="G18" i="54"/>
  <c r="P17" i="19" s="1"/>
  <c r="P26" i="35" s="1"/>
  <c r="P10" i="31"/>
  <c r="G10" i="31" s="1"/>
  <c r="F20" i="54"/>
  <c r="O19" i="19" s="1"/>
  <c r="O28" i="35" s="1"/>
  <c r="L15" i="26"/>
  <c r="L24" i="47" s="1"/>
  <c r="P14" i="46"/>
  <c r="Q3" i="31"/>
  <c r="H3" i="31" s="1"/>
  <c r="T36" i="17"/>
  <c r="Q1" i="20"/>
  <c r="N10" i="36" s="1"/>
  <c r="K59" i="46"/>
  <c r="Q8" i="21"/>
  <c r="K14" i="31"/>
  <c r="B14" i="31" s="1"/>
  <c r="B45" i="31" s="1"/>
  <c r="L9" i="21"/>
  <c r="C9" i="21" s="1"/>
  <c r="C40" i="21" s="1"/>
  <c r="F13" i="46"/>
  <c r="N8" i="44"/>
  <c r="L38" i="21"/>
  <c r="L20" i="26"/>
  <c r="L4" i="20"/>
  <c r="M12" i="20"/>
  <c r="K38" i="31"/>
  <c r="M36" i="31"/>
  <c r="P13" i="19"/>
  <c r="P22" i="35" s="1"/>
  <c r="R3" i="26"/>
  <c r="Q21" i="20"/>
  <c r="O5" i="19"/>
  <c r="O14" i="35" s="1"/>
  <c r="N19" i="42"/>
  <c r="N19" i="48" s="1"/>
  <c r="E21" i="54"/>
  <c r="N20" i="19" s="1"/>
  <c r="N29" i="35" s="1"/>
  <c r="E13" i="54"/>
  <c r="J2" i="44"/>
  <c r="H36" i="41"/>
  <c r="M15" i="31"/>
  <c r="D15" i="31" s="1"/>
  <c r="AD52" i="17"/>
  <c r="Q41" i="21"/>
  <c r="Q19" i="26"/>
  <c r="K7" i="44"/>
  <c r="B7" i="44" s="1"/>
  <c r="B38" i="44" s="1"/>
  <c r="O15" i="20"/>
  <c r="AB47" i="17"/>
  <c r="N16" i="19"/>
  <c r="N25" i="35" s="1"/>
  <c r="L6" i="20"/>
  <c r="O9" i="31"/>
  <c r="W19" i="17"/>
  <c r="Z41" i="17"/>
  <c r="N13" i="46"/>
  <c r="M41" i="31"/>
  <c r="P39" i="31"/>
  <c r="W3" i="17"/>
  <c r="Q6" i="44"/>
  <c r="F22" i="54"/>
  <c r="O21" i="19" s="1"/>
  <c r="O30" i="35" s="1"/>
  <c r="K16" i="26"/>
  <c r="K25" i="47" s="1"/>
  <c r="R9" i="20"/>
  <c r="L6" i="21"/>
  <c r="C6" i="21" s="1"/>
  <c r="C37" i="21" s="1"/>
  <c r="N34" i="21"/>
  <c r="O13" i="20"/>
  <c r="K12" i="44"/>
  <c r="B12" i="44" s="1"/>
  <c r="B43" i="44" s="1"/>
  <c r="M13" i="21"/>
  <c r="N3" i="26"/>
  <c r="K22" i="20"/>
  <c r="P7" i="26"/>
  <c r="O49" i="46"/>
  <c r="P19" i="46"/>
  <c r="G16" i="46"/>
  <c r="C59" i="46"/>
  <c r="Q46" i="46"/>
  <c r="N14" i="44"/>
  <c r="X9" i="17"/>
  <c r="N5" i="20"/>
  <c r="Z46" i="17"/>
  <c r="Q5" i="21"/>
  <c r="Q42" i="21"/>
  <c r="Q55" i="42" s="1"/>
  <c r="Q55" i="48" s="1"/>
  <c r="K3" i="20"/>
  <c r="E5" i="54"/>
  <c r="K10" i="17"/>
  <c r="B10" i="17" s="1"/>
  <c r="K7" i="21"/>
  <c r="B7" i="21" s="1"/>
  <c r="B38" i="21" s="1"/>
  <c r="E56" i="46"/>
  <c r="G55" i="46"/>
  <c r="O15" i="31"/>
  <c r="M43" i="31"/>
  <c r="M4" i="31"/>
  <c r="D4" i="31" s="1"/>
  <c r="Q21" i="26"/>
  <c r="G18" i="46"/>
  <c r="L56" i="46"/>
  <c r="Q9" i="21"/>
  <c r="B36" i="41"/>
  <c r="X7" i="17"/>
  <c r="Z38" i="17"/>
  <c r="L50" i="46"/>
  <c r="S49" i="17"/>
  <c r="S48" i="17"/>
  <c r="O43" i="21"/>
  <c r="T38" i="17"/>
  <c r="O11" i="20"/>
  <c r="R47" i="46"/>
  <c r="F58" i="46"/>
  <c r="H17" i="46"/>
  <c r="Q15" i="26"/>
  <c r="I7" i="54"/>
  <c r="M11" i="36"/>
  <c r="G53" i="46"/>
  <c r="W38" i="17"/>
  <c r="R19" i="26"/>
  <c r="R19" i="47"/>
  <c r="N9" i="31"/>
  <c r="E9" i="31" s="1"/>
  <c r="N22" i="46"/>
  <c r="B9" i="22"/>
  <c r="E36" i="47"/>
  <c r="R45" i="31"/>
  <c r="P60" i="42"/>
  <c r="P60" i="48" s="1"/>
  <c r="O47" i="21"/>
  <c r="K2" i="20"/>
  <c r="AD50" i="17"/>
  <c r="K36" i="44"/>
  <c r="S52" i="17"/>
  <c r="K7" i="19"/>
  <c r="R14" i="26"/>
  <c r="U48" i="17"/>
  <c r="AA41" i="17"/>
  <c r="L21" i="19"/>
  <c r="O35" i="31"/>
  <c r="E13" i="46"/>
  <c r="P21" i="46"/>
  <c r="B11" i="22"/>
  <c r="M3" i="44"/>
  <c r="D3" i="44" s="1"/>
  <c r="K13" i="19"/>
  <c r="N5" i="31"/>
  <c r="E5" i="31" s="1"/>
  <c r="H14" i="46"/>
  <c r="O13" i="44"/>
  <c r="N3" i="21"/>
  <c r="O5" i="26"/>
  <c r="AA43" i="17"/>
  <c r="R13" i="31"/>
  <c r="I13" i="31" s="1"/>
  <c r="G36" i="47"/>
  <c r="M6" i="44"/>
  <c r="D6" i="44" s="1"/>
  <c r="N38" i="21"/>
  <c r="K4" i="20"/>
  <c r="B53" i="46"/>
  <c r="Q15" i="20"/>
  <c r="K7" i="40"/>
  <c r="K5" i="31"/>
  <c r="B5" i="31" s="1"/>
  <c r="B36" i="31" s="1"/>
  <c r="Q11" i="42"/>
  <c r="O11" i="26"/>
  <c r="S11" i="17"/>
  <c r="V45" i="17"/>
  <c r="Q6" i="21"/>
  <c r="V44" i="17"/>
  <c r="N40" i="31"/>
  <c r="P36" i="31"/>
  <c r="P9" i="21"/>
  <c r="K4" i="26"/>
  <c r="R41" i="31"/>
  <c r="D46" i="35"/>
  <c r="G10" i="54"/>
  <c r="Q35" i="21"/>
  <c r="Q48" i="42" s="1"/>
  <c r="Q48" i="48" s="1"/>
  <c r="L40" i="31"/>
  <c r="T53" i="17"/>
  <c r="D5" i="54"/>
  <c r="R15" i="20"/>
  <c r="N58" i="46"/>
  <c r="E24" i="48"/>
  <c r="O37" i="21"/>
  <c r="AD38" i="17"/>
  <c r="G46" i="41"/>
  <c r="M6" i="31"/>
  <c r="D6" i="31" s="1"/>
  <c r="O10" i="31"/>
  <c r="M14" i="41"/>
  <c r="Q15" i="42"/>
  <c r="Q15" i="48" s="1"/>
  <c r="Q9" i="20"/>
  <c r="T45" i="17"/>
  <c r="K5" i="26"/>
  <c r="F55" i="46"/>
  <c r="S50" i="17"/>
  <c r="AD36" i="17"/>
  <c r="L35" i="31"/>
  <c r="A5" i="19"/>
  <c r="I50" i="46"/>
  <c r="AA38" i="17"/>
  <c r="R5" i="31"/>
  <c r="I5" i="31" s="1"/>
  <c r="K12" i="36"/>
  <c r="N4" i="19"/>
  <c r="N13" i="35" s="1"/>
  <c r="F22" i="46"/>
  <c r="R12" i="21"/>
  <c r="M22" i="42"/>
  <c r="M22" i="48" s="1"/>
  <c r="V48" i="17"/>
  <c r="R17" i="26"/>
  <c r="M10" i="21"/>
  <c r="D10" i="21" s="1"/>
  <c r="D22" i="54"/>
  <c r="O37" i="31"/>
  <c r="J5" i="17"/>
  <c r="J14" i="45" s="1"/>
  <c r="J14" i="16" s="1"/>
  <c r="I15" i="54"/>
  <c r="L23" i="20"/>
  <c r="U9" i="17"/>
  <c r="M37" i="31"/>
  <c r="G22" i="46"/>
  <c r="P6" i="20"/>
  <c r="P12" i="44"/>
  <c r="Q13" i="44"/>
  <c r="R34" i="31"/>
  <c r="N47" i="21"/>
  <c r="Q14" i="44"/>
  <c r="N54" i="46"/>
  <c r="W52" i="17"/>
  <c r="K11" i="20"/>
  <c r="Q17" i="46"/>
  <c r="R11" i="35"/>
  <c r="O6" i="31"/>
  <c r="T19" i="17"/>
  <c r="AC45" i="17"/>
  <c r="P13" i="17" s="1"/>
  <c r="P22" i="45" s="1"/>
  <c r="S3" i="17"/>
  <c r="E46" i="45"/>
  <c r="O18" i="26"/>
  <c r="O27" i="47" s="1"/>
  <c r="R7" i="21"/>
  <c r="N39" i="21"/>
  <c r="L40" i="44"/>
  <c r="P13" i="21"/>
  <c r="N7" i="44"/>
  <c r="L14" i="21"/>
  <c r="C14" i="21" s="1"/>
  <c r="C45" i="21" s="1"/>
  <c r="O42" i="21"/>
  <c r="P12" i="21"/>
  <c r="Q14" i="46"/>
  <c r="O39" i="31"/>
  <c r="AB48" i="17"/>
  <c r="N38" i="31"/>
  <c r="N33" i="31"/>
  <c r="G9" i="54"/>
  <c r="E57" i="46"/>
  <c r="V35" i="17"/>
  <c r="Q33" i="31"/>
  <c r="B55" i="46"/>
  <c r="R14" i="21"/>
  <c r="N20" i="46"/>
  <c r="R13" i="20"/>
  <c r="R4" i="26"/>
  <c r="Z51" i="17"/>
  <c r="J34" i="17"/>
  <c r="J46" i="45" s="1"/>
  <c r="J46" i="16" s="1"/>
  <c r="E36" i="35"/>
  <c r="AE42" i="17"/>
  <c r="R10" i="17" s="1"/>
  <c r="R19" i="45" s="1"/>
  <c r="E14" i="54"/>
  <c r="M9" i="44"/>
  <c r="D9" i="44" s="1"/>
  <c r="L29" i="47"/>
  <c r="P40" i="21"/>
  <c r="P53" i="42" s="1"/>
  <c r="P53" i="48" s="1"/>
  <c r="P34" i="31"/>
  <c r="O21" i="46"/>
  <c r="T21" i="17"/>
  <c r="E46" i="41"/>
  <c r="P11" i="41"/>
  <c r="N47" i="44"/>
  <c r="P13" i="44"/>
  <c r="K43" i="31"/>
  <c r="B58" i="46"/>
  <c r="M43" i="44"/>
  <c r="L37" i="44"/>
  <c r="M38" i="31"/>
  <c r="O55" i="46"/>
  <c r="L12" i="44"/>
  <c r="C12" i="44" s="1"/>
  <c r="C43" i="44" s="1"/>
  <c r="Q18" i="41"/>
  <c r="K13" i="36"/>
  <c r="C50" i="46"/>
  <c r="F48" i="46"/>
  <c r="E36" i="36"/>
  <c r="L5" i="21"/>
  <c r="C5" i="21" s="1"/>
  <c r="C36" i="21" s="1"/>
  <c r="K8" i="21"/>
  <c r="B8" i="21" s="1"/>
  <c r="B39" i="21" s="1"/>
  <c r="Q11" i="21"/>
  <c r="AB37" i="17"/>
  <c r="I13" i="46"/>
  <c r="Q15" i="31"/>
  <c r="H15" i="31" s="1"/>
  <c r="B6" i="22"/>
  <c r="L34" i="44" s="1"/>
  <c r="AA53" i="17"/>
  <c r="N14" i="20"/>
  <c r="O9" i="21"/>
  <c r="Q5" i="17"/>
  <c r="Q12" i="31"/>
  <c r="H12" i="31" s="1"/>
  <c r="K11" i="44"/>
  <c r="B11" i="44" s="1"/>
  <c r="B42" i="44" s="1"/>
  <c r="L29" i="41"/>
  <c r="L20" i="20"/>
  <c r="B56" i="46"/>
  <c r="AD35" i="17"/>
  <c r="M51" i="46"/>
  <c r="T12" i="17"/>
  <c r="L25" i="47"/>
  <c r="O24" i="41"/>
  <c r="C55" i="46"/>
  <c r="I53" i="46"/>
  <c r="P11" i="44"/>
  <c r="A5" i="22"/>
  <c r="K46" i="44"/>
  <c r="W36" i="17"/>
  <c r="L15" i="31"/>
  <c r="C15" i="31" s="1"/>
  <c r="C46" i="31" s="1"/>
  <c r="V13" i="17"/>
  <c r="AB53" i="17"/>
  <c r="D18" i="46"/>
  <c r="O4" i="44"/>
  <c r="AA35" i="17"/>
  <c r="N3" i="17" s="1"/>
  <c r="N12" i="45" s="1"/>
  <c r="M47" i="21"/>
  <c r="P49" i="42"/>
  <c r="P49" i="48" s="1"/>
  <c r="O16" i="41"/>
  <c r="L8" i="31"/>
  <c r="C8" i="31" s="1"/>
  <c r="C39" i="31" s="1"/>
  <c r="AA52" i="17"/>
  <c r="X8" i="17"/>
  <c r="N37" i="21"/>
  <c r="R19" i="20"/>
  <c r="Q12" i="46"/>
  <c r="M16" i="42"/>
  <c r="M16" i="48" s="1"/>
  <c r="S6" i="17"/>
  <c r="N23" i="46"/>
  <c r="P47" i="46"/>
  <c r="O59" i="42"/>
  <c r="O59" i="48" s="1"/>
  <c r="N4" i="26"/>
  <c r="J11" i="17"/>
  <c r="J20" i="45" s="1"/>
  <c r="L14" i="26"/>
  <c r="P48" i="46"/>
  <c r="P20" i="20"/>
  <c r="V6" i="17"/>
  <c r="I18" i="46"/>
  <c r="F52" i="46"/>
  <c r="S41" i="17"/>
  <c r="M21" i="19"/>
  <c r="M30" i="35" s="1"/>
  <c r="N49" i="46"/>
  <c r="M42" i="31"/>
  <c r="R14" i="19"/>
  <c r="R23" i="35" s="1"/>
  <c r="N7" i="21"/>
  <c r="O4" i="21"/>
  <c r="K41" i="31"/>
  <c r="K15" i="40"/>
  <c r="X11" i="17"/>
  <c r="F17" i="46"/>
  <c r="AD37" i="17"/>
  <c r="O54" i="46"/>
  <c r="L20" i="40"/>
  <c r="R10" i="31"/>
  <c r="I10" i="31" s="1"/>
  <c r="N36" i="31"/>
  <c r="R14" i="44"/>
  <c r="P10" i="20"/>
  <c r="C56" i="46"/>
  <c r="Q11" i="31"/>
  <c r="H11" i="31" s="1"/>
  <c r="Q54" i="42"/>
  <c r="Q54" i="48" s="1"/>
  <c r="L36" i="31"/>
  <c r="E52" i="46"/>
  <c r="U40" i="17"/>
  <c r="I55" i="46"/>
  <c r="P9" i="31"/>
  <c r="G9" i="31" s="1"/>
  <c r="W5" i="17"/>
  <c r="D14" i="46"/>
  <c r="AB45" i="17"/>
  <c r="L16" i="41"/>
  <c r="D19" i="46"/>
  <c r="A6" i="22"/>
  <c r="Q12" i="21"/>
  <c r="O12" i="31"/>
  <c r="P46" i="21"/>
  <c r="P59" i="42" s="1"/>
  <c r="P59" i="48" s="1"/>
  <c r="O47" i="46"/>
  <c r="I20" i="46"/>
  <c r="M18" i="46"/>
  <c r="H36" i="47"/>
  <c r="I13" i="54"/>
  <c r="R12" i="19" s="1"/>
  <c r="R21" i="35" s="1"/>
  <c r="G15" i="46"/>
  <c r="G5" i="22"/>
  <c r="Q33" i="21" s="1"/>
  <c r="F36" i="35"/>
  <c r="Q52" i="46"/>
  <c r="K8" i="40"/>
  <c r="Q38" i="31"/>
  <c r="L30" i="41"/>
  <c r="T13" i="17"/>
  <c r="K28" i="45"/>
  <c r="B28" i="45" s="1"/>
  <c r="T6" i="17"/>
  <c r="D12" i="54"/>
  <c r="Q10" i="26"/>
  <c r="F12" i="54"/>
  <c r="K15" i="41"/>
  <c r="N13" i="19"/>
  <c r="N22" i="35" s="1"/>
  <c r="O48" i="46"/>
  <c r="K12" i="19"/>
  <c r="K52" i="46"/>
  <c r="U4" i="17"/>
  <c r="K44" i="31"/>
  <c r="E51" i="46"/>
  <c r="R10" i="21"/>
  <c r="N46" i="31"/>
  <c r="C7" i="22"/>
  <c r="M35" i="21" s="1"/>
  <c r="O11" i="44"/>
  <c r="G24" i="46"/>
  <c r="K34" i="21"/>
  <c r="P43" i="31"/>
  <c r="O55" i="42"/>
  <c r="O55" i="48" s="1"/>
  <c r="Q3" i="20"/>
  <c r="K13" i="45"/>
  <c r="B13" i="45" s="1"/>
  <c r="B36" i="42"/>
  <c r="B36" i="48" s="1"/>
  <c r="D13" i="46"/>
  <c r="P7" i="31"/>
  <c r="G7" i="31" s="1"/>
  <c r="Q28" i="47"/>
  <c r="O18" i="41"/>
  <c r="A12" i="22"/>
  <c r="L34" i="21"/>
  <c r="P3" i="21"/>
  <c r="N4" i="20"/>
  <c r="O33" i="31"/>
  <c r="K17" i="41"/>
  <c r="K12" i="31"/>
  <c r="B12" i="31" s="1"/>
  <c r="B43" i="31" s="1"/>
  <c r="I56" i="46"/>
  <c r="L21" i="47"/>
  <c r="B46" i="45"/>
  <c r="S35" i="17"/>
  <c r="K13" i="31"/>
  <c r="B13" i="31" s="1"/>
  <c r="B44" i="31" s="1"/>
  <c r="K14" i="26"/>
  <c r="B14" i="22"/>
  <c r="O4" i="31"/>
  <c r="K15" i="20"/>
  <c r="V16" i="17"/>
  <c r="K12" i="17"/>
  <c r="B12" i="17" s="1"/>
  <c r="C58" i="42"/>
  <c r="C58" i="48" s="1"/>
  <c r="W6" i="17"/>
  <c r="K21" i="40"/>
  <c r="N11" i="35"/>
  <c r="N19" i="26"/>
  <c r="M54" i="46"/>
  <c r="AB39" i="17"/>
  <c r="D8" i="54"/>
  <c r="W17" i="17"/>
  <c r="K45" i="31"/>
  <c r="K40" i="21"/>
  <c r="F5" i="22"/>
  <c r="F7" i="54"/>
  <c r="R13" i="21"/>
  <c r="I46" i="45"/>
  <c r="L7" i="17"/>
  <c r="C7" i="17" s="1"/>
  <c r="P8" i="44"/>
  <c r="M13" i="31"/>
  <c r="D13" i="31" s="1"/>
  <c r="A5" i="21"/>
  <c r="P42" i="31"/>
  <c r="B46" i="46"/>
  <c r="L58" i="46"/>
  <c r="L6" i="40"/>
  <c r="R59" i="42"/>
  <c r="R59" i="48" s="1"/>
  <c r="AE49" i="17"/>
  <c r="E46" i="36"/>
  <c r="L11" i="20"/>
  <c r="T39" i="17"/>
  <c r="K19" i="26"/>
  <c r="M6" i="26"/>
  <c r="D16" i="54"/>
  <c r="M15" i="19" s="1"/>
  <c r="M24" i="35" s="1"/>
  <c r="W41" i="17"/>
  <c r="Q9" i="17" s="1"/>
  <c r="Q48" i="46"/>
  <c r="F8" i="54"/>
  <c r="O7" i="19" s="1"/>
  <c r="O16" i="35" s="1"/>
  <c r="L11" i="19"/>
  <c r="L20" i="35" s="1"/>
  <c r="O7" i="20"/>
  <c r="H11" i="54"/>
  <c r="Q10" i="19" s="1"/>
  <c r="S4" i="17"/>
  <c r="N22" i="47"/>
  <c r="J2" i="21"/>
  <c r="Q22" i="20"/>
  <c r="G47" i="46"/>
  <c r="P3" i="31"/>
  <c r="G3" i="31" s="1"/>
  <c r="K7" i="17"/>
  <c r="B7" i="17" s="1"/>
  <c r="L14" i="40"/>
  <c r="N6" i="26"/>
  <c r="R4" i="44"/>
  <c r="K22" i="41"/>
  <c r="P47" i="31"/>
  <c r="A19" i="22"/>
  <c r="K47" i="21" s="1"/>
  <c r="F54" i="46"/>
  <c r="L28" i="45"/>
  <c r="C28" i="45" s="1"/>
  <c r="K8" i="19"/>
  <c r="C10" i="22"/>
  <c r="M38" i="21" s="1"/>
  <c r="A15" i="22"/>
  <c r="K43" i="21" s="1"/>
  <c r="K3" i="44"/>
  <c r="B3" i="44" s="1"/>
  <c r="B34" i="44" s="1"/>
  <c r="W51" i="17"/>
  <c r="Q19" i="17" s="1"/>
  <c r="C53" i="46"/>
  <c r="F36" i="45"/>
  <c r="L17" i="17"/>
  <c r="C17" i="17" s="1"/>
  <c r="O17" i="26"/>
  <c r="R14" i="46"/>
  <c r="D51" i="46"/>
  <c r="C16" i="22"/>
  <c r="M44" i="44" s="1"/>
  <c r="AB52" i="17"/>
  <c r="D6" i="54"/>
  <c r="M5" i="19" s="1"/>
  <c r="M14" i="35" s="1"/>
  <c r="R5" i="21"/>
  <c r="I5" i="21" s="1"/>
  <c r="M22" i="20"/>
  <c r="W20" i="17"/>
  <c r="I46" i="46"/>
  <c r="S47" i="17"/>
  <c r="O14" i="44"/>
  <c r="S40" i="17"/>
  <c r="AB38" i="17"/>
  <c r="P45" i="31"/>
  <c r="S38" i="17"/>
  <c r="M6" i="17" s="1"/>
  <c r="M15" i="45" s="1"/>
  <c r="O3" i="20"/>
  <c r="K11" i="47"/>
  <c r="F19" i="46"/>
  <c r="R4" i="31"/>
  <c r="I4" i="31" s="1"/>
  <c r="R8" i="31"/>
  <c r="I8" i="31" s="1"/>
  <c r="R50" i="46"/>
  <c r="N11" i="44"/>
  <c r="Q17" i="41"/>
  <c r="J39" i="17"/>
  <c r="J51" i="45" s="1"/>
  <c r="J51" i="16" s="1"/>
  <c r="X18" i="17"/>
  <c r="K13" i="44"/>
  <c r="B13" i="44" s="1"/>
  <c r="B44" i="44" s="1"/>
  <c r="L20" i="17"/>
  <c r="C20" i="17" s="1"/>
  <c r="I19" i="54"/>
  <c r="R18" i="19" s="1"/>
  <c r="R27" i="35" s="1"/>
  <c r="H13" i="46"/>
  <c r="J8" i="17"/>
  <c r="J17" i="45" s="1"/>
  <c r="K5" i="44"/>
  <c r="B5" i="44" s="1"/>
  <c r="B36" i="44" s="1"/>
  <c r="N41" i="31"/>
  <c r="T15" i="17"/>
  <c r="K17" i="20"/>
  <c r="H6" i="54"/>
  <c r="Q5" i="19" s="1"/>
  <c r="N9" i="20"/>
  <c r="K13" i="40"/>
  <c r="G36" i="46"/>
  <c r="K48" i="46"/>
  <c r="P9" i="26"/>
  <c r="N8" i="31"/>
  <c r="E8" i="31" s="1"/>
  <c r="I4" i="54"/>
  <c r="R3" i="19" s="1"/>
  <c r="R12" i="35" s="1"/>
  <c r="O53" i="42"/>
  <c r="O53" i="48" s="1"/>
  <c r="M8" i="20"/>
  <c r="R15" i="26"/>
  <c r="R24" i="47" s="1"/>
  <c r="P44" i="21"/>
  <c r="P57" i="42" s="1"/>
  <c r="P57" i="48" s="1"/>
  <c r="M7" i="20"/>
  <c r="R42" i="31"/>
  <c r="P21" i="42"/>
  <c r="P21" i="48" s="1"/>
  <c r="H20" i="54"/>
  <c r="Q19" i="19" s="1"/>
  <c r="N5" i="26"/>
  <c r="U15" i="17"/>
  <c r="Z52" i="17"/>
  <c r="K33" i="31"/>
  <c r="O6" i="21"/>
  <c r="D36" i="35"/>
  <c r="Q13" i="26"/>
  <c r="P8" i="19"/>
  <c r="P17" i="35" s="1"/>
  <c r="G13" i="54"/>
  <c r="D7" i="54"/>
  <c r="M20" i="17"/>
  <c r="M29" i="45" s="1"/>
  <c r="G46" i="36"/>
  <c r="Q17" i="47"/>
  <c r="H47" i="46"/>
  <c r="Q5" i="31"/>
  <c r="H5" i="31" s="1"/>
  <c r="L15" i="46"/>
  <c r="C15" i="46" s="1"/>
  <c r="L39" i="21"/>
  <c r="N34" i="44"/>
  <c r="AA50" i="17"/>
  <c r="K13" i="47"/>
  <c r="Q20" i="17"/>
  <c r="K20" i="36"/>
  <c r="C52" i="46"/>
  <c r="L13" i="46"/>
  <c r="C13" i="46" s="1"/>
  <c r="R3" i="20"/>
  <c r="Q24" i="47"/>
  <c r="L10" i="31"/>
  <c r="C10" i="31" s="1"/>
  <c r="C41" i="31" s="1"/>
  <c r="R13" i="44"/>
  <c r="R22" i="42" s="1"/>
  <c r="R22" i="48" s="1"/>
  <c r="O56" i="42"/>
  <c r="O56" i="48" s="1"/>
  <c r="L10" i="17"/>
  <c r="C10" i="17" s="1"/>
  <c r="T3" i="17"/>
  <c r="P35" i="21"/>
  <c r="M7" i="19"/>
  <c r="M16" i="35" s="1"/>
  <c r="K2" i="44"/>
  <c r="B2" i="44" s="1"/>
  <c r="B33" i="44" s="1"/>
  <c r="E11" i="54"/>
  <c r="N10" i="19" s="1"/>
  <c r="N19" i="35" s="1"/>
  <c r="D48" i="46"/>
  <c r="O56" i="46"/>
  <c r="P59" i="46"/>
  <c r="R44" i="21"/>
  <c r="R7" i="44"/>
  <c r="N41" i="21"/>
  <c r="F14" i="54"/>
  <c r="L15" i="47"/>
  <c r="V9" i="17"/>
  <c r="P3" i="26"/>
  <c r="N15" i="31"/>
  <c r="E15" i="31" s="1"/>
  <c r="M8" i="21"/>
  <c r="D8" i="21" s="1"/>
  <c r="D17" i="42" s="1"/>
  <c r="D17" i="48" s="1"/>
  <c r="I19" i="46"/>
  <c r="Q45" i="31"/>
  <c r="P18" i="26"/>
  <c r="P27" i="47" s="1"/>
  <c r="G4" i="54"/>
  <c r="P3" i="19" s="1"/>
  <c r="P12" i="35" s="1"/>
  <c r="B15" i="22"/>
  <c r="L43" i="44" s="1"/>
  <c r="Q13" i="20"/>
  <c r="L7" i="40"/>
  <c r="P10" i="44"/>
  <c r="G8" i="54"/>
  <c r="L18" i="40"/>
  <c r="O34" i="44"/>
  <c r="E14" i="46"/>
  <c r="K30" i="41"/>
  <c r="L10" i="40"/>
  <c r="I11" i="54"/>
  <c r="R10" i="19" s="1"/>
  <c r="R19" i="35" s="1"/>
  <c r="K33" i="44"/>
  <c r="K12" i="46"/>
  <c r="B12" i="46" s="1"/>
  <c r="P39" i="21"/>
  <c r="P52" i="42" s="1"/>
  <c r="P52" i="48" s="1"/>
  <c r="E4" i="54"/>
  <c r="P7" i="17"/>
  <c r="P16" i="45" s="1"/>
  <c r="N13" i="31"/>
  <c r="E13" i="31" s="1"/>
  <c r="Z47" i="17"/>
  <c r="M10" i="26"/>
  <c r="M38" i="44"/>
  <c r="N23" i="20"/>
  <c r="K15" i="31"/>
  <c r="B15" i="31" s="1"/>
  <c r="B46" i="31" s="1"/>
  <c r="B7" i="22"/>
  <c r="L35" i="21" s="1"/>
  <c r="R57" i="42"/>
  <c r="R57" i="48" s="1"/>
  <c r="O9" i="20"/>
  <c r="R19" i="46"/>
  <c r="M40" i="21"/>
  <c r="K14" i="47"/>
  <c r="L15" i="41"/>
  <c r="B51" i="46"/>
  <c r="I12" i="46"/>
  <c r="L44" i="31"/>
  <c r="N17" i="46"/>
  <c r="S9" i="17"/>
  <c r="L5" i="17"/>
  <c r="C5" i="17" s="1"/>
  <c r="R13" i="26"/>
  <c r="O15" i="41"/>
  <c r="B49" i="46"/>
  <c r="R16" i="41"/>
  <c r="R17" i="17"/>
  <c r="O52" i="46"/>
  <c r="P43" i="21"/>
  <c r="U45" i="17"/>
  <c r="B49" i="42"/>
  <c r="B49" i="48" s="1"/>
  <c r="Q8" i="20"/>
  <c r="A10" i="22"/>
  <c r="M19" i="26"/>
  <c r="M28" i="47" s="1"/>
  <c r="R12" i="47"/>
  <c r="R24" i="46"/>
  <c r="O24" i="46"/>
  <c r="O17" i="46"/>
  <c r="AD47" i="17"/>
  <c r="U18" i="17"/>
  <c r="A5" i="20"/>
  <c r="K17" i="36"/>
  <c r="B14" i="13"/>
  <c r="P7" i="44"/>
  <c r="G48" i="46"/>
  <c r="K17" i="40"/>
  <c r="S16" i="17"/>
  <c r="S10" i="17"/>
  <c r="E53" i="46"/>
  <c r="B36" i="35"/>
  <c r="R6" i="31"/>
  <c r="I6" i="31" s="1"/>
  <c r="M11" i="26"/>
  <c r="N35" i="31"/>
  <c r="K24" i="41"/>
  <c r="K18" i="19"/>
  <c r="AD48" i="17"/>
  <c r="AC53" i="17"/>
  <c r="D23" i="46"/>
  <c r="N21" i="26"/>
  <c r="Z48" i="17"/>
  <c r="M11" i="46"/>
  <c r="D11" i="46" s="1"/>
  <c r="Q10" i="47"/>
  <c r="H10" i="47" s="1"/>
  <c r="K3" i="17"/>
  <c r="B3" i="17" s="1"/>
  <c r="AA44" i="17"/>
  <c r="M3" i="21"/>
  <c r="D3" i="21" s="1"/>
  <c r="N11" i="46"/>
  <c r="E11" i="46" s="1"/>
  <c r="S44" i="17"/>
  <c r="P56" i="42"/>
  <c r="P56" i="48" s="1"/>
  <c r="M14" i="31"/>
  <c r="D14" i="31" s="1"/>
  <c r="Q40" i="21"/>
  <c r="I46" i="35"/>
  <c r="H4" i="54"/>
  <c r="Q3" i="19" s="1"/>
  <c r="O8" i="21"/>
  <c r="J40" i="17"/>
  <c r="J52" i="45" s="1"/>
  <c r="J52" i="16" s="1"/>
  <c r="Q11" i="45"/>
  <c r="Q17" i="26"/>
  <c r="Q4" i="44"/>
  <c r="W10" i="17"/>
  <c r="K10" i="31"/>
  <c r="B10" i="31" s="1"/>
  <c r="B41" i="31" s="1"/>
  <c r="S43" i="17"/>
  <c r="P14" i="44"/>
  <c r="H58" i="46"/>
  <c r="V14" i="17"/>
  <c r="L27" i="47"/>
  <c r="O10" i="44"/>
  <c r="K40" i="44"/>
  <c r="P5" i="44"/>
  <c r="R8" i="26"/>
  <c r="AA36" i="17"/>
  <c r="J10" i="40"/>
  <c r="J19" i="41" s="1"/>
  <c r="K42" i="21"/>
  <c r="C17" i="22"/>
  <c r="L14" i="19"/>
  <c r="M14" i="44"/>
  <c r="M23" i="42" s="1"/>
  <c r="M23" i="48" s="1"/>
  <c r="Q10" i="45"/>
  <c r="N3" i="20"/>
  <c r="AB40" i="17"/>
  <c r="P4" i="20"/>
  <c r="P15" i="26"/>
  <c r="M39" i="31"/>
  <c r="U10" i="17"/>
  <c r="K55" i="46"/>
  <c r="B18" i="22"/>
  <c r="L46" i="44" s="1"/>
  <c r="U17" i="17"/>
  <c r="Q46" i="31"/>
  <c r="O51" i="46"/>
  <c r="P7" i="19"/>
  <c r="P16" i="35" s="1"/>
  <c r="R1" i="17"/>
  <c r="Q37" i="21"/>
  <c r="Q50" i="42" s="1"/>
  <c r="Q50" i="48" s="1"/>
  <c r="R5" i="26"/>
  <c r="R14" i="47" s="1"/>
  <c r="O35" i="21"/>
  <c r="O48" i="42" s="1"/>
  <c r="O48" i="48" s="1"/>
  <c r="N46" i="44"/>
  <c r="N59" i="42" s="1"/>
  <c r="N59" i="48" s="1"/>
  <c r="H15" i="46"/>
  <c r="AA47" i="17"/>
  <c r="U38" i="17"/>
  <c r="O6" i="17" s="1"/>
  <c r="O15" i="45" s="1"/>
  <c r="AB46" i="17"/>
  <c r="L11" i="44"/>
  <c r="C11" i="44" s="1"/>
  <c r="C42" i="44" s="1"/>
  <c r="O6" i="44"/>
  <c r="Q7" i="31"/>
  <c r="H7" i="31" s="1"/>
  <c r="L13" i="40"/>
  <c r="Q1" i="26"/>
  <c r="N10" i="47" s="1"/>
  <c r="N35" i="44"/>
  <c r="N48" i="42" s="1"/>
  <c r="N48" i="48" s="1"/>
  <c r="P33" i="21"/>
  <c r="K17" i="19"/>
  <c r="R33" i="44"/>
  <c r="AC1" i="17"/>
  <c r="AC49" i="17"/>
  <c r="L21" i="40"/>
  <c r="Q44" i="21"/>
  <c r="Q57" i="42" s="1"/>
  <c r="Q57" i="48" s="1"/>
  <c r="M12" i="26"/>
  <c r="R21" i="26"/>
  <c r="V38" i="17"/>
  <c r="P6" i="17" s="1"/>
  <c r="P15" i="45" s="1"/>
  <c r="H53" i="46"/>
  <c r="AB43" i="17"/>
  <c r="O11" i="45"/>
  <c r="K6" i="40"/>
  <c r="D19" i="54"/>
  <c r="M18" i="19" s="1"/>
  <c r="M27" i="35" s="1"/>
  <c r="AC43" i="17"/>
  <c r="P54" i="46"/>
  <c r="R16" i="20"/>
  <c r="K4" i="21"/>
  <c r="B4" i="21" s="1"/>
  <c r="B35" i="21" s="1"/>
  <c r="T40" i="17"/>
  <c r="Z50" i="17"/>
  <c r="Q11" i="46"/>
  <c r="H11" i="46" s="1"/>
  <c r="I33" i="16"/>
  <c r="C52" i="42"/>
  <c r="C52" i="48" s="1"/>
  <c r="Q11" i="47"/>
  <c r="X14" i="17"/>
  <c r="L55" i="46"/>
  <c r="L23" i="41"/>
  <c r="N25" i="41"/>
  <c r="P38" i="21"/>
  <c r="M9" i="26"/>
  <c r="E6" i="54"/>
  <c r="N5" i="19" s="1"/>
  <c r="N14" i="35" s="1"/>
  <c r="L9" i="17"/>
  <c r="C9" i="17" s="1"/>
  <c r="D36" i="36"/>
  <c r="P12" i="41"/>
  <c r="C18" i="22"/>
  <c r="C9" i="22"/>
  <c r="L16" i="47"/>
  <c r="M16" i="41"/>
  <c r="E46" i="46"/>
  <c r="M24" i="46"/>
  <c r="P13" i="31"/>
  <c r="G13" i="31" s="1"/>
  <c r="I23" i="46"/>
  <c r="L26" i="36"/>
  <c r="P3" i="20"/>
  <c r="Q20" i="41"/>
  <c r="K6" i="19"/>
  <c r="J10" i="17"/>
  <c r="J19" i="45" s="1"/>
  <c r="M14" i="20"/>
  <c r="O38" i="31"/>
  <c r="S7" i="17"/>
  <c r="N34" i="31"/>
  <c r="Q25" i="41"/>
  <c r="K10" i="40"/>
  <c r="K3" i="19"/>
  <c r="AB42" i="17"/>
  <c r="O10" i="17" s="1"/>
  <c r="O19" i="45" s="1"/>
  <c r="O23" i="46"/>
  <c r="V18" i="17"/>
  <c r="L4" i="17"/>
  <c r="C4" i="17" s="1"/>
  <c r="M35" i="31"/>
  <c r="N56" i="46"/>
  <c r="S53" i="17"/>
  <c r="L52" i="46"/>
  <c r="P14" i="26"/>
  <c r="N11" i="47"/>
  <c r="Q18" i="42"/>
  <c r="Q18" i="48" s="1"/>
  <c r="P23" i="46"/>
  <c r="H59" i="46"/>
  <c r="Q30" i="47"/>
  <c r="Q58" i="46"/>
  <c r="T5" i="17"/>
  <c r="N28" i="47"/>
  <c r="P51" i="42"/>
  <c r="P51" i="48" s="1"/>
  <c r="O13" i="17"/>
  <c r="O22" i="45" s="1"/>
  <c r="M15" i="20"/>
  <c r="C53" i="42"/>
  <c r="C53" i="48" s="1"/>
  <c r="T11" i="17"/>
  <c r="M37" i="21"/>
  <c r="O20" i="46"/>
  <c r="K57" i="46"/>
  <c r="T16" i="17"/>
  <c r="K14" i="19"/>
  <c r="L8" i="26"/>
  <c r="U37" i="17"/>
  <c r="G19" i="54"/>
  <c r="O18" i="20"/>
  <c r="J11" i="40"/>
  <c r="J20" i="41" s="1"/>
  <c r="Q14" i="26"/>
  <c r="O17" i="20"/>
  <c r="A17" i="22"/>
  <c r="K45" i="21" s="1"/>
  <c r="N14" i="46"/>
  <c r="A5" i="26"/>
  <c r="K6" i="31"/>
  <c r="B6" i="31" s="1"/>
  <c r="B37" i="31" s="1"/>
  <c r="P24" i="46"/>
  <c r="K10" i="45"/>
  <c r="E36" i="42"/>
  <c r="E36" i="48" s="1"/>
  <c r="L23" i="35"/>
  <c r="B59" i="46"/>
  <c r="N5" i="44"/>
  <c r="U46" i="17"/>
  <c r="O14" i="17" s="1"/>
  <c r="O23" i="45" s="1"/>
  <c r="P50" i="46"/>
  <c r="Q11" i="41"/>
  <c r="O19" i="46"/>
  <c r="K47" i="31"/>
  <c r="G6" i="54"/>
  <c r="AE50" i="17"/>
  <c r="R11" i="44"/>
  <c r="Q1" i="31"/>
  <c r="G51" i="46"/>
  <c r="L42" i="21"/>
  <c r="R18" i="26"/>
  <c r="E35" i="45"/>
  <c r="E35" i="16" s="1"/>
  <c r="N6" i="17"/>
  <c r="N15" i="45" s="1"/>
  <c r="O15" i="46"/>
  <c r="P56" i="46"/>
  <c r="N21" i="17"/>
  <c r="N30" i="45" s="1"/>
  <c r="O22" i="20"/>
  <c r="P14" i="21"/>
  <c r="G14" i="21" s="1"/>
  <c r="H46" i="41"/>
  <c r="W48" i="17"/>
  <c r="Q16" i="17" s="1"/>
  <c r="D46" i="41"/>
  <c r="H19" i="54"/>
  <c r="W47" i="17"/>
  <c r="Q15" i="17" s="1"/>
  <c r="P48" i="42"/>
  <c r="P48" i="48" s="1"/>
  <c r="P46" i="31"/>
  <c r="K28" i="41"/>
  <c r="R3" i="44"/>
  <c r="O12" i="26"/>
  <c r="H5" i="54"/>
  <c r="G50" i="46"/>
  <c r="H51" i="46"/>
  <c r="M40" i="31"/>
  <c r="M5" i="26"/>
  <c r="N60" i="42"/>
  <c r="N60" i="48" s="1"/>
  <c r="N19" i="41"/>
  <c r="M11" i="20"/>
  <c r="Q14" i="31"/>
  <c r="H14" i="31" s="1"/>
  <c r="F18" i="46"/>
  <c r="O8" i="31"/>
  <c r="N46" i="46"/>
  <c r="R35" i="31"/>
  <c r="R51" i="46"/>
  <c r="T8" i="17"/>
  <c r="K20" i="17"/>
  <c r="B20" i="17" s="1"/>
  <c r="O5" i="20"/>
  <c r="W7" i="17"/>
  <c r="W11" i="17"/>
  <c r="D46" i="45"/>
  <c r="V40" i="17"/>
  <c r="U35" i="17"/>
  <c r="K39" i="31"/>
  <c r="K12" i="21"/>
  <c r="B12" i="21" s="1"/>
  <c r="B43" i="21" s="1"/>
  <c r="L42" i="44"/>
  <c r="P17" i="42"/>
  <c r="P17" i="48" s="1"/>
  <c r="F10" i="54"/>
  <c r="L20" i="41"/>
  <c r="R17" i="46"/>
  <c r="Q10" i="31"/>
  <c r="H10" i="31" s="1"/>
  <c r="K34" i="31"/>
  <c r="R43" i="21"/>
  <c r="M19" i="20"/>
  <c r="K21" i="17"/>
  <c r="B21" i="17" s="1"/>
  <c r="AD45" i="17"/>
  <c r="Q13" i="17" s="1"/>
  <c r="M11" i="21"/>
  <c r="D11" i="21" s="1"/>
  <c r="K9" i="31"/>
  <c r="B9" i="31" s="1"/>
  <c r="B40" i="31" s="1"/>
  <c r="D47" i="46"/>
  <c r="N21" i="20"/>
  <c r="K22" i="47"/>
  <c r="S51" i="17"/>
  <c r="P41" i="31"/>
  <c r="L40" i="21"/>
  <c r="L53" i="42" s="1"/>
  <c r="L53" i="48" s="1"/>
  <c r="C8" i="22"/>
  <c r="M36" i="21" s="1"/>
  <c r="W4" i="17"/>
  <c r="W15" i="17"/>
  <c r="T10" i="17"/>
  <c r="X50" i="17"/>
  <c r="P11" i="26"/>
  <c r="L12" i="19"/>
  <c r="L3" i="31"/>
  <c r="C3" i="31" s="1"/>
  <c r="C34" i="31" s="1"/>
  <c r="K46" i="46"/>
  <c r="M7" i="26"/>
  <c r="R3" i="21"/>
  <c r="I3" i="21" s="1"/>
  <c r="K23" i="20"/>
  <c r="R4" i="20"/>
  <c r="H48" i="46"/>
  <c r="Q11" i="26"/>
  <c r="D24" i="48"/>
  <c r="B48" i="46"/>
  <c r="L34" i="31"/>
  <c r="L30" i="47"/>
  <c r="O10" i="26"/>
  <c r="O19" i="47" s="1"/>
  <c r="J37" i="17"/>
  <c r="J49" i="45" s="1"/>
  <c r="J49" i="16" s="1"/>
  <c r="Q15" i="41"/>
  <c r="N45" i="31"/>
  <c r="I21" i="46"/>
  <c r="L4" i="31"/>
  <c r="C4" i="31" s="1"/>
  <c r="C35" i="31" s="1"/>
  <c r="D5" i="22"/>
  <c r="M15" i="26"/>
  <c r="AB36" i="17"/>
  <c r="N12" i="19"/>
  <c r="N21" i="35" s="1"/>
  <c r="K14" i="35"/>
  <c r="Q6" i="20"/>
  <c r="Q20" i="26"/>
  <c r="H20" i="26" s="1"/>
  <c r="H29" i="47" s="1"/>
  <c r="M18" i="47"/>
  <c r="O21" i="41"/>
  <c r="M19" i="47"/>
  <c r="L7" i="44"/>
  <c r="C7" i="44" s="1"/>
  <c r="C38" i="44" s="1"/>
  <c r="C51" i="42" s="1"/>
  <c r="C51" i="48" s="1"/>
  <c r="K38" i="21"/>
  <c r="K2" i="21"/>
  <c r="B2" i="21" s="1"/>
  <c r="B33" i="21" s="1"/>
  <c r="C11" i="22"/>
  <c r="D20" i="42"/>
  <c r="Q13" i="31"/>
  <c r="H13" i="31" s="1"/>
  <c r="L7" i="19"/>
  <c r="L16" i="35" s="1"/>
  <c r="B36" i="46"/>
  <c r="M11" i="45"/>
  <c r="N47" i="31"/>
  <c r="F15" i="54"/>
  <c r="P18" i="19"/>
  <c r="P27" i="35" s="1"/>
  <c r="L12" i="46"/>
  <c r="C12" i="46" s="1"/>
  <c r="M4" i="26"/>
  <c r="M13" i="26"/>
  <c r="K21" i="45"/>
  <c r="B21" i="45" s="1"/>
  <c r="T51" i="17"/>
  <c r="O16" i="17"/>
  <c r="O25" i="45" s="1"/>
  <c r="N43" i="21"/>
  <c r="N56" i="42" s="1"/>
  <c r="N56" i="48" s="1"/>
  <c r="L12" i="17"/>
  <c r="C12" i="17" s="1"/>
  <c r="S46" i="17"/>
  <c r="H46" i="45"/>
  <c r="Q22" i="47"/>
  <c r="L3" i="17"/>
  <c r="C3" i="17" s="1"/>
  <c r="I36" i="47"/>
  <c r="S45" i="17"/>
  <c r="I16" i="54"/>
  <c r="N12" i="47"/>
  <c r="Q3" i="26"/>
  <c r="H3" i="26" s="1"/>
  <c r="H12" i="47" s="1"/>
  <c r="B54" i="46"/>
  <c r="L12" i="20"/>
  <c r="R11" i="41"/>
  <c r="N13" i="20"/>
  <c r="P15" i="46"/>
  <c r="K36" i="21"/>
  <c r="C47" i="46"/>
  <c r="D49" i="46"/>
  <c r="P5" i="19"/>
  <c r="P14" i="35" s="1"/>
  <c r="Q47" i="46"/>
  <c r="E36" i="41"/>
  <c r="AE39" i="17"/>
  <c r="M16" i="17"/>
  <c r="M25" i="45" s="1"/>
  <c r="J2" i="40"/>
  <c r="J11" i="41" s="1"/>
  <c r="Q7" i="44"/>
  <c r="A16" i="22"/>
  <c r="K44" i="21" s="1"/>
  <c r="R12" i="20"/>
  <c r="I8" i="54"/>
  <c r="R7" i="19" s="1"/>
  <c r="R16" i="35" s="1"/>
  <c r="S37" i="17"/>
  <c r="R9" i="26"/>
  <c r="P14" i="20"/>
  <c r="Q18" i="19"/>
  <c r="Q18" i="46"/>
  <c r="I20" i="54"/>
  <c r="R19" i="19" s="1"/>
  <c r="R28" i="35" s="1"/>
  <c r="X51" i="17"/>
  <c r="E46" i="42"/>
  <c r="E46" i="48" s="1"/>
  <c r="O47" i="31"/>
  <c r="R11" i="21"/>
  <c r="I11" i="21" s="1"/>
  <c r="Q4" i="19"/>
  <c r="O6" i="19"/>
  <c r="O15" i="35" s="1"/>
  <c r="O51" i="42"/>
  <c r="O51" i="48" s="1"/>
  <c r="P54" i="42"/>
  <c r="P54" i="48" s="1"/>
  <c r="Q12" i="26"/>
  <c r="H12" i="26" s="1"/>
  <c r="H21" i="47" s="1"/>
  <c r="N3" i="19"/>
  <c r="N12" i="35" s="1"/>
  <c r="L16" i="17"/>
  <c r="C16" i="17" s="1"/>
  <c r="Z1" i="17"/>
  <c r="K9" i="44"/>
  <c r="B9" i="44" s="1"/>
  <c r="B40" i="44" s="1"/>
  <c r="B53" i="42" s="1"/>
  <c r="B53" i="48" s="1"/>
  <c r="N13" i="17"/>
  <c r="N22" i="45" s="1"/>
  <c r="O53" i="46"/>
  <c r="Q54" i="46"/>
  <c r="L19" i="20"/>
  <c r="L28" i="36" s="1"/>
  <c r="O22" i="47"/>
  <c r="Q11" i="35"/>
  <c r="R13" i="47"/>
  <c r="P6" i="31"/>
  <c r="G6" i="31" s="1"/>
  <c r="J13" i="40"/>
  <c r="J22" i="41" s="1"/>
  <c r="K25" i="41"/>
  <c r="L11" i="31"/>
  <c r="C11" i="31" s="1"/>
  <c r="C42" i="31" s="1"/>
  <c r="R56" i="46"/>
  <c r="Q4" i="31"/>
  <c r="H4" i="31" s="1"/>
  <c r="P12" i="46"/>
  <c r="A9" i="22"/>
  <c r="K37" i="44" s="1"/>
  <c r="O9" i="19"/>
  <c r="O18" i="35" s="1"/>
  <c r="AE48" i="17"/>
  <c r="L39" i="31"/>
  <c r="O11" i="42"/>
  <c r="G33" i="16"/>
  <c r="M3" i="26"/>
  <c r="G52" i="46"/>
  <c r="V10" i="17"/>
  <c r="E12" i="54"/>
  <c r="N11" i="19" s="1"/>
  <c r="N20" i="35" s="1"/>
  <c r="AE43" i="17"/>
  <c r="S21" i="17"/>
  <c r="J10" i="44"/>
  <c r="J19" i="42" s="1"/>
  <c r="J19" i="48" s="1"/>
  <c r="R23" i="46"/>
  <c r="L9" i="20"/>
  <c r="I12" i="54"/>
  <c r="R11" i="19" s="1"/>
  <c r="R20" i="35" s="1"/>
  <c r="L24" i="46"/>
  <c r="C24" i="46" s="1"/>
  <c r="H17" i="54"/>
  <c r="Q16" i="19" s="1"/>
  <c r="U5" i="17"/>
  <c r="U44" i="17"/>
  <c r="P34" i="44"/>
  <c r="M12" i="47"/>
  <c r="G16" i="54"/>
  <c r="P15" i="19" s="1"/>
  <c r="P24" i="35" s="1"/>
  <c r="P20" i="41"/>
  <c r="Q37" i="31"/>
  <c r="V17" i="17"/>
  <c r="X37" i="17"/>
  <c r="K15" i="45"/>
  <c r="B15" i="45" s="1"/>
  <c r="A13" i="22"/>
  <c r="G7" i="54"/>
  <c r="P6" i="19" s="1"/>
  <c r="P15" i="35" s="1"/>
  <c r="K3" i="40"/>
  <c r="K29" i="41"/>
  <c r="N9" i="26"/>
  <c r="M21" i="41"/>
  <c r="D11" i="54"/>
  <c r="N20" i="26"/>
  <c r="M21" i="26"/>
  <c r="U51" i="17"/>
  <c r="O19" i="17" s="1"/>
  <c r="O28" i="45" s="1"/>
  <c r="J36" i="17"/>
  <c r="J48" i="45" s="1"/>
  <c r="J48" i="16" s="1"/>
  <c r="P13" i="26"/>
  <c r="D53" i="46"/>
  <c r="K3" i="26"/>
  <c r="Q4" i="26"/>
  <c r="H4" i="26" s="1"/>
  <c r="H13" i="47" s="1"/>
  <c r="R40" i="31"/>
  <c r="B52" i="46"/>
  <c r="AC37" i="17"/>
  <c r="T46" i="17"/>
  <c r="P9" i="20"/>
  <c r="P13" i="46"/>
  <c r="M13" i="46"/>
  <c r="AB35" i="17"/>
  <c r="R56" i="42"/>
  <c r="R56" i="48" s="1"/>
  <c r="N17" i="26"/>
  <c r="I14" i="54"/>
  <c r="R13" i="19" s="1"/>
  <c r="R22" i="35" s="1"/>
  <c r="N11" i="26"/>
  <c r="M46" i="21"/>
  <c r="K26" i="45"/>
  <c r="B26" i="45" s="1"/>
  <c r="D46" i="36"/>
  <c r="AD42" i="17"/>
  <c r="M16" i="46"/>
  <c r="O16" i="26"/>
  <c r="O25" i="47" s="1"/>
  <c r="O14" i="19"/>
  <c r="O23" i="35" s="1"/>
  <c r="P12" i="26"/>
  <c r="O5" i="44"/>
  <c r="M27" i="41"/>
  <c r="L13" i="31"/>
  <c r="C13" i="31" s="1"/>
  <c r="C44" i="31" s="1"/>
  <c r="J14" i="40"/>
  <c r="J23" i="41" s="1"/>
  <c r="W9" i="17"/>
  <c r="M16" i="26"/>
  <c r="R22" i="20"/>
  <c r="V46" i="17"/>
  <c r="M5" i="21"/>
  <c r="D5" i="21" s="1"/>
  <c r="L57" i="46"/>
  <c r="P22" i="47"/>
  <c r="U11" i="17"/>
  <c r="AA46" i="17"/>
  <c r="N33" i="21"/>
  <c r="P18" i="46"/>
  <c r="K2" i="31"/>
  <c r="B2" i="31" s="1"/>
  <c r="B33" i="31" s="1"/>
  <c r="D10" i="13"/>
  <c r="C10" i="13" s="1"/>
  <c r="O27" i="41"/>
  <c r="K19" i="19"/>
  <c r="S12" i="17"/>
  <c r="AE37" i="17"/>
  <c r="N38" i="44"/>
  <c r="H22" i="46"/>
  <c r="Q53" i="42"/>
  <c r="Q53" i="48" s="1"/>
  <c r="M39" i="21"/>
  <c r="I46" i="42"/>
  <c r="I46" i="48" s="1"/>
  <c r="M24" i="47"/>
  <c r="B8" i="22"/>
  <c r="M8" i="26"/>
  <c r="M17" i="47" s="1"/>
  <c r="N9" i="44"/>
  <c r="O11" i="35"/>
  <c r="R43" i="31"/>
  <c r="I58" i="46"/>
  <c r="P46" i="46"/>
  <c r="U16" i="17"/>
  <c r="M25" i="47"/>
  <c r="U41" i="17"/>
  <c r="M43" i="21"/>
  <c r="L53" i="46"/>
  <c r="M3" i="31"/>
  <c r="D3" i="31" s="1"/>
  <c r="O8" i="20"/>
  <c r="N9" i="17"/>
  <c r="N18" i="45" s="1"/>
  <c r="Q7" i="21"/>
  <c r="H7" i="21" s="1"/>
  <c r="K16" i="40"/>
  <c r="L8" i="20"/>
  <c r="D57" i="46"/>
  <c r="L5" i="19"/>
  <c r="L14" i="35" s="1"/>
  <c r="M16" i="20"/>
  <c r="K30" i="36"/>
  <c r="P16" i="46"/>
  <c r="I54" i="46"/>
  <c r="L13" i="19"/>
  <c r="D15" i="54"/>
  <c r="M14" i="19" s="1"/>
  <c r="M23" i="35" s="1"/>
  <c r="AE44" i="17"/>
  <c r="G21" i="54"/>
  <c r="P20" i="19" s="1"/>
  <c r="P29" i="35" s="1"/>
  <c r="M7" i="31"/>
  <c r="D7" i="31" s="1"/>
  <c r="K49" i="42"/>
  <c r="K49" i="48" s="1"/>
  <c r="K16" i="19"/>
  <c r="B46" i="42"/>
  <c r="B46" i="48" s="1"/>
  <c r="R58" i="46"/>
  <c r="P42" i="21"/>
  <c r="P55" i="42" s="1"/>
  <c r="P55" i="48" s="1"/>
  <c r="N21" i="46"/>
  <c r="N39" i="31"/>
  <c r="I24" i="48"/>
  <c r="M12" i="31"/>
  <c r="D12" i="31" s="1"/>
  <c r="K11" i="40"/>
  <c r="K19" i="20"/>
  <c r="O20" i="41"/>
  <c r="L10" i="44"/>
  <c r="C10" i="44" s="1"/>
  <c r="C41" i="44" s="1"/>
  <c r="W46" i="17"/>
  <c r="R26" i="47"/>
  <c r="B36" i="45"/>
  <c r="R11" i="47"/>
  <c r="R48" i="46"/>
  <c r="G49" i="46"/>
  <c r="L16" i="19"/>
  <c r="L25" i="35" s="1"/>
  <c r="F11" i="54"/>
  <c r="N27" i="41"/>
  <c r="Q10" i="44"/>
  <c r="K20" i="40"/>
  <c r="M4" i="20"/>
  <c r="P58" i="46"/>
  <c r="M40" i="44"/>
  <c r="M53" i="42" s="1"/>
  <c r="M53" i="48" s="1"/>
  <c r="J8" i="44"/>
  <c r="K14" i="20"/>
  <c r="K27" i="41"/>
  <c r="Q11" i="20"/>
  <c r="P11" i="46"/>
  <c r="G11" i="46" s="1"/>
  <c r="Q44" i="31"/>
  <c r="E16" i="54"/>
  <c r="AD43" i="17"/>
  <c r="Q11" i="17" s="1"/>
  <c r="Q19" i="20"/>
  <c r="N14" i="47"/>
  <c r="K22" i="45"/>
  <c r="B22" i="45" s="1"/>
  <c r="N51" i="46"/>
  <c r="M19" i="17"/>
  <c r="M28" i="45" s="1"/>
  <c r="F21" i="46"/>
  <c r="K46" i="31"/>
  <c r="P24" i="41"/>
  <c r="M48" i="46"/>
  <c r="M18" i="26"/>
  <c r="M27" i="47" s="1"/>
  <c r="N3" i="31"/>
  <c r="E3" i="31" s="1"/>
  <c r="O12" i="41"/>
  <c r="R7" i="17"/>
  <c r="R16" i="45" s="1"/>
  <c r="W39" i="17"/>
  <c r="Q7" i="17" s="1"/>
  <c r="Q18" i="26"/>
  <c r="H18" i="26" s="1"/>
  <c r="H27" i="47" s="1"/>
  <c r="B19" i="22"/>
  <c r="L47" i="44" s="1"/>
  <c r="O8" i="17"/>
  <c r="O17" i="45" s="1"/>
  <c r="P22" i="41"/>
  <c r="N45" i="45"/>
  <c r="N45" i="16" s="1"/>
  <c r="R13" i="42"/>
  <c r="R13" i="48" s="1"/>
  <c r="J8" i="21"/>
  <c r="L22" i="35"/>
  <c r="F33" i="16"/>
  <c r="N3" i="44"/>
  <c r="X4" i="17"/>
  <c r="I18" i="54"/>
  <c r="P30" i="41"/>
  <c r="K45" i="44"/>
  <c r="I36" i="41"/>
  <c r="R60" i="46"/>
  <c r="E50" i="46"/>
  <c r="L46" i="31"/>
  <c r="T7" i="17"/>
  <c r="L18" i="19"/>
  <c r="O13" i="41"/>
  <c r="M30" i="41"/>
  <c r="R27" i="47"/>
  <c r="K41" i="21"/>
  <c r="P23" i="47"/>
  <c r="H7" i="54"/>
  <c r="U53" i="17"/>
  <c r="P5" i="31"/>
  <c r="G5" i="31" s="1"/>
  <c r="O39" i="21"/>
  <c r="L29" i="36"/>
  <c r="M14" i="47"/>
  <c r="O11" i="47"/>
  <c r="R36" i="21"/>
  <c r="R17" i="41"/>
  <c r="R33" i="21"/>
  <c r="P33" i="44"/>
  <c r="N37" i="44"/>
  <c r="L13" i="21"/>
  <c r="C13" i="21" s="1"/>
  <c r="C44" i="21" s="1"/>
  <c r="C57" i="42" s="1"/>
  <c r="C57" i="48" s="1"/>
  <c r="M8" i="31"/>
  <c r="D8" i="31" s="1"/>
  <c r="E24" i="46"/>
  <c r="D36" i="41"/>
  <c r="R27" i="41"/>
  <c r="P19" i="41"/>
  <c r="L25" i="36"/>
  <c r="O20" i="20"/>
  <c r="Q8" i="31"/>
  <c r="H8" i="31" s="1"/>
  <c r="Q1" i="21"/>
  <c r="M18" i="20"/>
  <c r="K19" i="35"/>
  <c r="M12" i="42"/>
  <c r="M12" i="48" s="1"/>
  <c r="AA42" i="17"/>
  <c r="AC46" i="17"/>
  <c r="O60" i="46"/>
  <c r="S19" i="17"/>
  <c r="M21" i="17"/>
  <c r="M30" i="45" s="1"/>
  <c r="L17" i="26"/>
  <c r="E8" i="54"/>
  <c r="Q13" i="41"/>
  <c r="K12" i="26"/>
  <c r="P4" i="26"/>
  <c r="P13" i="47" s="1"/>
  <c r="L19" i="41"/>
  <c r="P25" i="41"/>
  <c r="N4" i="31"/>
  <c r="E4" i="31" s="1"/>
  <c r="K23" i="47"/>
  <c r="AA39" i="17"/>
  <c r="N7" i="17" s="1"/>
  <c r="N16" i="45" s="1"/>
  <c r="Q23" i="47"/>
  <c r="L12" i="45"/>
  <c r="C12" i="45" s="1"/>
  <c r="O11" i="36"/>
  <c r="T14" i="17"/>
  <c r="V37" i="17"/>
  <c r="X45" i="17"/>
  <c r="K9" i="40"/>
  <c r="M13" i="20"/>
  <c r="O9" i="26"/>
  <c r="P16" i="20"/>
  <c r="X44" i="17"/>
  <c r="W13" i="17"/>
  <c r="Q34" i="21"/>
  <c r="O7" i="26"/>
  <c r="O16" i="47" s="1"/>
  <c r="R18" i="47"/>
  <c r="V3" i="17"/>
  <c r="P12" i="47"/>
  <c r="D33" i="16"/>
  <c r="K21" i="26"/>
  <c r="U14" i="17"/>
  <c r="R24" i="41"/>
  <c r="N30" i="47"/>
  <c r="L39" i="44"/>
  <c r="D52" i="46"/>
  <c r="L6" i="31"/>
  <c r="C6" i="31" s="1"/>
  <c r="C37" i="31" s="1"/>
  <c r="M14" i="26"/>
  <c r="M23" i="47" s="1"/>
  <c r="N9" i="21"/>
  <c r="E9" i="21" s="1"/>
  <c r="M20" i="47"/>
  <c r="M13" i="41"/>
  <c r="AD49" i="17"/>
  <c r="N45" i="44"/>
  <c r="R35" i="21"/>
  <c r="P44" i="31"/>
  <c r="L26" i="41"/>
  <c r="Q13" i="46"/>
  <c r="E22" i="54"/>
  <c r="N21" i="19" s="1"/>
  <c r="N30" i="35" s="1"/>
  <c r="L21" i="17"/>
  <c r="C21" i="17" s="1"/>
  <c r="H55" i="46"/>
  <c r="K17" i="35"/>
  <c r="N16" i="42"/>
  <c r="N16" i="48" s="1"/>
  <c r="L22" i="41"/>
  <c r="R21" i="20"/>
  <c r="D36" i="45"/>
  <c r="K18" i="41"/>
  <c r="R30" i="41"/>
  <c r="E36" i="45"/>
  <c r="K42" i="44"/>
  <c r="P11" i="35"/>
  <c r="K30" i="45"/>
  <c r="B30" i="45" s="1"/>
  <c r="AE38" i="17"/>
  <c r="D11" i="13"/>
  <c r="C11" i="13" s="1"/>
  <c r="N26" i="41"/>
  <c r="X21" i="17"/>
  <c r="K28" i="35"/>
  <c r="U50" i="17"/>
  <c r="K12" i="47"/>
  <c r="N12" i="41"/>
  <c r="Q26" i="47"/>
  <c r="M17" i="42"/>
  <c r="M17" i="48" s="1"/>
  <c r="P4" i="44"/>
  <c r="Q12" i="47"/>
  <c r="L14" i="45"/>
  <c r="C14" i="45" s="1"/>
  <c r="N28" i="41"/>
  <c r="N39" i="44"/>
  <c r="N52" i="42" s="1"/>
  <c r="N52" i="48" s="1"/>
  <c r="N15" i="20"/>
  <c r="K4" i="40"/>
  <c r="P23" i="41"/>
  <c r="K15" i="26"/>
  <c r="K24" i="47" s="1"/>
  <c r="AA48" i="17"/>
  <c r="D36" i="42"/>
  <c r="D36" i="48" s="1"/>
  <c r="P16" i="26"/>
  <c r="R12" i="44"/>
  <c r="H52" i="46"/>
  <c r="M9" i="17"/>
  <c r="M18" i="45" s="1"/>
  <c r="N20" i="41"/>
  <c r="AA37" i="17"/>
  <c r="N5" i="17" s="1"/>
  <c r="N14" i="45" s="1"/>
  <c r="M11" i="17"/>
  <c r="M20" i="45" s="1"/>
  <c r="P55" i="46"/>
  <c r="K16" i="20"/>
  <c r="E7" i="54"/>
  <c r="V53" i="17"/>
  <c r="P21" i="17" s="1"/>
  <c r="P30" i="45" s="1"/>
  <c r="P11" i="31"/>
  <c r="G11" i="31" s="1"/>
  <c r="K18" i="36"/>
  <c r="M4" i="44"/>
  <c r="D4" i="44" s="1"/>
  <c r="Q12" i="44"/>
  <c r="P12" i="17"/>
  <c r="P21" i="45" s="1"/>
  <c r="K37" i="31"/>
  <c r="Q14" i="21"/>
  <c r="H14" i="21" s="1"/>
  <c r="Q47" i="31"/>
  <c r="L17" i="36"/>
  <c r="H20" i="46"/>
  <c r="N16" i="46"/>
  <c r="M45" i="21"/>
  <c r="V51" i="17"/>
  <c r="L11" i="40"/>
  <c r="K11" i="19"/>
  <c r="K20" i="35" s="1"/>
  <c r="X13" i="17"/>
  <c r="L3" i="20"/>
  <c r="L12" i="36" s="1"/>
  <c r="N52" i="46"/>
  <c r="L21" i="20"/>
  <c r="K13" i="41"/>
  <c r="K13" i="21"/>
  <c r="B13" i="21" s="1"/>
  <c r="B44" i="21" s="1"/>
  <c r="I46" i="47"/>
  <c r="T20" i="17"/>
  <c r="Q1" i="40"/>
  <c r="M56" i="46"/>
  <c r="L6" i="17"/>
  <c r="C6" i="17" s="1"/>
  <c r="O20" i="26"/>
  <c r="T44" i="17"/>
  <c r="N12" i="17" s="1"/>
  <c r="N21" i="45" s="1"/>
  <c r="K28" i="36"/>
  <c r="X12" i="17"/>
  <c r="P21" i="26"/>
  <c r="P30" i="47" s="1"/>
  <c r="O15" i="17"/>
  <c r="O24" i="45" s="1"/>
  <c r="O3" i="44"/>
  <c r="O12" i="42" s="1"/>
  <c r="O12" i="48" s="1"/>
  <c r="R42" i="21"/>
  <c r="R55" i="42" s="1"/>
  <c r="R55" i="48" s="1"/>
  <c r="L29" i="45"/>
  <c r="C29" i="45" s="1"/>
  <c r="R9" i="31"/>
  <c r="I9" i="31" s="1"/>
  <c r="M20" i="46"/>
  <c r="S15" i="17"/>
  <c r="O10" i="19"/>
  <c r="O19" i="35" s="1"/>
  <c r="M29" i="41"/>
  <c r="Z44" i="17"/>
  <c r="T50" i="17"/>
  <c r="N18" i="17" s="1"/>
  <c r="N27" i="45" s="1"/>
  <c r="I6" i="54"/>
  <c r="P16" i="41"/>
  <c r="E12" i="46"/>
  <c r="P17" i="20"/>
  <c r="K23" i="36"/>
  <c r="P12" i="19"/>
  <c r="P21" i="35" s="1"/>
  <c r="Q53" i="46"/>
  <c r="H46" i="35"/>
  <c r="P13" i="41"/>
  <c r="P27" i="41"/>
  <c r="AE51" i="17"/>
  <c r="N58" i="42"/>
  <c r="N58" i="48" s="1"/>
  <c r="R48" i="42"/>
  <c r="R48" i="48" s="1"/>
  <c r="K2" i="40"/>
  <c r="K8" i="17"/>
  <c r="B8" i="17" s="1"/>
  <c r="N13" i="21"/>
  <c r="E13" i="21" s="1"/>
  <c r="P8" i="26"/>
  <c r="P17" i="47" s="1"/>
  <c r="O21" i="47"/>
  <c r="L14" i="17"/>
  <c r="C14" i="17" s="1"/>
  <c r="L25" i="41"/>
  <c r="X40" i="17"/>
  <c r="O7" i="31"/>
  <c r="K11" i="36"/>
  <c r="M15" i="42"/>
  <c r="M15" i="48" s="1"/>
  <c r="P19" i="20"/>
  <c r="K8" i="31"/>
  <c r="B8" i="31" s="1"/>
  <c r="B39" i="31" s="1"/>
  <c r="V47" i="17"/>
  <c r="K21" i="35"/>
  <c r="K14" i="44"/>
  <c r="B14" i="44" s="1"/>
  <c r="B45" i="44" s="1"/>
  <c r="H12" i="46"/>
  <c r="K14" i="45"/>
  <c r="B14" i="45" s="1"/>
  <c r="D21" i="54"/>
  <c r="M20" i="19" s="1"/>
  <c r="M29" i="35" s="1"/>
  <c r="R17" i="19"/>
  <c r="R26" i="35" s="1"/>
  <c r="E19" i="54"/>
  <c r="N18" i="19" s="1"/>
  <c r="N27" i="35" s="1"/>
  <c r="Q16" i="26"/>
  <c r="H16" i="26" s="1"/>
  <c r="H25" i="47" s="1"/>
  <c r="R17" i="47"/>
  <c r="P7" i="20"/>
  <c r="Q26" i="41"/>
  <c r="P7" i="21"/>
  <c r="G7" i="21" s="1"/>
  <c r="F16" i="46"/>
  <c r="AB44" i="17"/>
  <c r="G21" i="46"/>
  <c r="V41" i="17"/>
  <c r="P9" i="17" s="1"/>
  <c r="P18" i="45" s="1"/>
  <c r="O19" i="41"/>
  <c r="O29" i="47"/>
  <c r="L16" i="45"/>
  <c r="C16" i="45" s="1"/>
  <c r="N20" i="17"/>
  <c r="N29" i="45" s="1"/>
  <c r="K19" i="41"/>
  <c r="P37" i="21"/>
  <c r="Q6" i="19"/>
  <c r="L38" i="44"/>
  <c r="L51" i="42" s="1"/>
  <c r="L51" i="48" s="1"/>
  <c r="P52" i="46"/>
  <c r="N44" i="21"/>
  <c r="N57" i="42" s="1"/>
  <c r="N57" i="48" s="1"/>
  <c r="O11" i="41"/>
  <c r="K11" i="41"/>
  <c r="D22" i="46"/>
  <c r="W8" i="17"/>
  <c r="L21" i="45"/>
  <c r="C21" i="45" s="1"/>
  <c r="R6" i="21"/>
  <c r="I6" i="21" s="1"/>
  <c r="I59" i="46"/>
  <c r="P14" i="47"/>
  <c r="H36" i="35"/>
  <c r="K25" i="35"/>
  <c r="N17" i="41"/>
  <c r="O26" i="47"/>
  <c r="K44" i="44"/>
  <c r="P15" i="17"/>
  <c r="P24" i="45" s="1"/>
  <c r="AA40" i="17"/>
  <c r="L30" i="35"/>
  <c r="N16" i="26"/>
  <c r="I46" i="41"/>
  <c r="P17" i="26"/>
  <c r="P26" i="47" s="1"/>
  <c r="K11" i="31"/>
  <c r="B11" i="31" s="1"/>
  <c r="B42" i="31" s="1"/>
  <c r="P17" i="17"/>
  <c r="P26" i="45" s="1"/>
  <c r="N14" i="41"/>
  <c r="R7" i="31"/>
  <c r="I7" i="31" s="1"/>
  <c r="N20" i="20"/>
  <c r="M45" i="44"/>
  <c r="O21" i="42"/>
  <c r="O21" i="48" s="1"/>
  <c r="P6" i="26"/>
  <c r="P50" i="42"/>
  <c r="P50" i="48" s="1"/>
  <c r="K58" i="46"/>
  <c r="L12" i="47"/>
  <c r="T49" i="17"/>
  <c r="R19" i="17"/>
  <c r="L21" i="46"/>
  <c r="C21" i="46" s="1"/>
  <c r="R44" i="31"/>
  <c r="N12" i="44"/>
  <c r="N7" i="19"/>
  <c r="N16" i="35" s="1"/>
  <c r="F36" i="46"/>
  <c r="Q23" i="41"/>
  <c r="F46" i="47"/>
  <c r="R52" i="46"/>
  <c r="N21" i="41"/>
  <c r="R46" i="42"/>
  <c r="R46" i="48" s="1"/>
  <c r="R11" i="31"/>
  <c r="I11" i="31" s="1"/>
  <c r="O14" i="21"/>
  <c r="K16" i="41"/>
  <c r="K29" i="36"/>
  <c r="C57" i="46"/>
  <c r="U19" i="17"/>
  <c r="N17" i="42"/>
  <c r="N17" i="48" s="1"/>
  <c r="P9" i="44"/>
  <c r="P18" i="42" s="1"/>
  <c r="P18" i="48" s="1"/>
  <c r="H36" i="36"/>
  <c r="R20" i="20"/>
  <c r="Q33" i="44"/>
  <c r="K7" i="20"/>
  <c r="N18" i="41"/>
  <c r="O11" i="21"/>
  <c r="L17" i="42"/>
  <c r="AE52" i="17"/>
  <c r="C49" i="42"/>
  <c r="C49" i="48" s="1"/>
  <c r="E9" i="54"/>
  <c r="N8" i="19" s="1"/>
  <c r="N17" i="35" s="1"/>
  <c r="L23" i="47"/>
  <c r="N36" i="21"/>
  <c r="R28" i="47"/>
  <c r="O13" i="19"/>
  <c r="O22" i="35" s="1"/>
  <c r="O60" i="42"/>
  <c r="O60" i="48" s="1"/>
  <c r="O12" i="17"/>
  <c r="O21" i="45" s="1"/>
  <c r="N17" i="47"/>
  <c r="N15" i="26"/>
  <c r="N24" i="47" s="1"/>
  <c r="AD40" i="17"/>
  <c r="Q8" i="17" s="1"/>
  <c r="L18" i="41"/>
  <c r="R18" i="20"/>
  <c r="K21" i="42"/>
  <c r="R20" i="41"/>
  <c r="B47" i="42"/>
  <c r="B47" i="48" s="1"/>
  <c r="N41" i="44"/>
  <c r="N54" i="42" s="1"/>
  <c r="N54" i="48" s="1"/>
  <c r="R4" i="17"/>
  <c r="R13" i="45" s="1"/>
  <c r="V52" i="17"/>
  <c r="O43" i="31"/>
  <c r="K14" i="42"/>
  <c r="P17" i="41"/>
  <c r="M11" i="42"/>
  <c r="Z45" i="17"/>
  <c r="M13" i="17" s="1"/>
  <c r="M22" i="45" s="1"/>
  <c r="AC51" i="17"/>
  <c r="AE41" i="17"/>
  <c r="P19" i="26"/>
  <c r="P28" i="47" s="1"/>
  <c r="W14" i="17"/>
  <c r="N7" i="31"/>
  <c r="E7" i="31" s="1"/>
  <c r="P25" i="47"/>
  <c r="K29" i="35"/>
  <c r="Q20" i="42"/>
  <c r="Q20" i="48" s="1"/>
  <c r="N6" i="44"/>
  <c r="K6" i="44"/>
  <c r="B6" i="44" s="1"/>
  <c r="B37" i="44" s="1"/>
  <c r="B13" i="22"/>
  <c r="M18" i="41"/>
  <c r="Q41" i="31"/>
  <c r="N15" i="41"/>
  <c r="R38" i="21"/>
  <c r="R51" i="42" s="1"/>
  <c r="R51" i="48" s="1"/>
  <c r="W18" i="17"/>
  <c r="O10" i="21"/>
  <c r="O19" i="42" s="1"/>
  <c r="O19" i="48" s="1"/>
  <c r="U43" i="17"/>
  <c r="O11" i="17" s="1"/>
  <c r="O20" i="45" s="1"/>
  <c r="O20" i="42"/>
  <c r="O20" i="48" s="1"/>
  <c r="L9" i="26"/>
  <c r="L18" i="47" s="1"/>
  <c r="M18" i="17"/>
  <c r="M27" i="45" s="1"/>
  <c r="P22" i="42"/>
  <c r="P22" i="48" s="1"/>
  <c r="R11" i="42"/>
  <c r="R12" i="17"/>
  <c r="R21" i="45" s="1"/>
  <c r="L23" i="36"/>
  <c r="D9" i="54"/>
  <c r="O59" i="46"/>
  <c r="N25" i="47"/>
  <c r="Q19" i="47"/>
  <c r="N11" i="41"/>
  <c r="K5" i="40"/>
  <c r="K30" i="47"/>
  <c r="S39" i="17"/>
  <c r="L14" i="42"/>
  <c r="B58" i="42"/>
  <c r="B58" i="48" s="1"/>
  <c r="R23" i="42"/>
  <c r="R23" i="48" s="1"/>
  <c r="N30" i="41"/>
  <c r="L23" i="45"/>
  <c r="C23" i="45" s="1"/>
  <c r="M39" i="44"/>
  <c r="M52" i="42" s="1"/>
  <c r="M52" i="48" s="1"/>
  <c r="K37" i="21"/>
  <c r="L55" i="42"/>
  <c r="L55" i="48" s="1"/>
  <c r="M14" i="46"/>
  <c r="M15" i="47"/>
  <c r="O26" i="41"/>
  <c r="L19" i="45"/>
  <c r="C19" i="45" s="1"/>
  <c r="C54" i="42"/>
  <c r="C54" i="48" s="1"/>
  <c r="K41" i="44"/>
  <c r="L52" i="42"/>
  <c r="L52" i="48" s="1"/>
  <c r="L20" i="36"/>
  <c r="Q29" i="41"/>
  <c r="N47" i="42"/>
  <c r="N47" i="48" s="1"/>
  <c r="K10" i="21"/>
  <c r="B10" i="21" s="1"/>
  <c r="B41" i="21" s="1"/>
  <c r="B4" i="22"/>
  <c r="L24" i="41"/>
  <c r="O17" i="42"/>
  <c r="O17" i="48" s="1"/>
  <c r="L22" i="46"/>
  <c r="C22" i="46" s="1"/>
  <c r="F24" i="48"/>
  <c r="V43" i="17"/>
  <c r="P11" i="17" s="1"/>
  <c r="P20" i="45" s="1"/>
  <c r="O7" i="17"/>
  <c r="O16" i="45" s="1"/>
  <c r="O5" i="17"/>
  <c r="O14" i="45" s="1"/>
  <c r="M20" i="26"/>
  <c r="M29" i="47" s="1"/>
  <c r="X53" i="17"/>
  <c r="I22" i="54"/>
  <c r="R21" i="19" s="1"/>
  <c r="R30" i="35" s="1"/>
  <c r="K9" i="26"/>
  <c r="K25" i="36"/>
  <c r="N6" i="19"/>
  <c r="N15" i="35" s="1"/>
  <c r="F36" i="47"/>
  <c r="L4" i="26"/>
  <c r="T47" i="17"/>
  <c r="N15" i="17" s="1"/>
  <c r="N24" i="45" s="1"/>
  <c r="R12" i="41"/>
  <c r="R20" i="42"/>
  <c r="R20" i="48" s="1"/>
  <c r="AC52" i="17"/>
  <c r="Z35" i="17"/>
  <c r="M3" i="17" s="1"/>
  <c r="M12" i="45" s="1"/>
  <c r="V11" i="17"/>
  <c r="AF1" i="17"/>
  <c r="X52" i="17"/>
  <c r="R20" i="17" s="1"/>
  <c r="M34" i="44"/>
  <c r="O3" i="17"/>
  <c r="O12" i="45" s="1"/>
  <c r="R10" i="20"/>
  <c r="L5" i="26"/>
  <c r="L14" i="47" s="1"/>
  <c r="Q16" i="47"/>
  <c r="M11" i="19"/>
  <c r="M20" i="35" s="1"/>
  <c r="K47" i="44"/>
  <c r="L11" i="17"/>
  <c r="C11" i="17" s="1"/>
  <c r="L21" i="36"/>
  <c r="R23" i="20"/>
  <c r="X15" i="17"/>
  <c r="O41" i="31"/>
  <c r="J11" i="21"/>
  <c r="T43" i="17"/>
  <c r="N11" i="17" s="1"/>
  <c r="N20" i="45" s="1"/>
  <c r="L30" i="36"/>
  <c r="O12" i="46"/>
  <c r="N40" i="44"/>
  <c r="K51" i="46"/>
  <c r="L12" i="21"/>
  <c r="C12" i="21" s="1"/>
  <c r="C43" i="21" s="1"/>
  <c r="C56" i="42" s="1"/>
  <c r="C56" i="48" s="1"/>
  <c r="P8" i="20"/>
  <c r="L36" i="44"/>
  <c r="K34" i="44"/>
  <c r="G14" i="46"/>
  <c r="C13" i="22"/>
  <c r="M41" i="44" s="1"/>
  <c r="K10" i="20"/>
  <c r="M4" i="21"/>
  <c r="D4" i="21" s="1"/>
  <c r="Q5" i="44"/>
  <c r="O41" i="21"/>
  <c r="O54" i="42" s="1"/>
  <c r="O54" i="48" s="1"/>
  <c r="P12" i="31"/>
  <c r="G12" i="31" s="1"/>
  <c r="O9" i="17"/>
  <c r="O18" i="45" s="1"/>
  <c r="N6" i="21"/>
  <c r="E6" i="21" s="1"/>
  <c r="P11" i="21"/>
  <c r="G11" i="21" s="1"/>
  <c r="K23" i="41"/>
  <c r="K10" i="26"/>
  <c r="O20" i="47"/>
  <c r="N44" i="31"/>
  <c r="Q35" i="31"/>
  <c r="R5" i="19"/>
  <c r="R14" i="35" s="1"/>
  <c r="E48" i="46"/>
  <c r="R55" i="46"/>
  <c r="M35" i="44"/>
  <c r="K7" i="26"/>
  <c r="U13" i="17"/>
  <c r="K10" i="44"/>
  <c r="B10" i="44" s="1"/>
  <c r="B41" i="44" s="1"/>
  <c r="B54" i="42" s="1"/>
  <c r="B54" i="48" s="1"/>
  <c r="K13" i="46"/>
  <c r="B13" i="46" s="1"/>
  <c r="M30" i="47"/>
  <c r="H22" i="54"/>
  <c r="Q21" i="19" s="1"/>
  <c r="I51" i="46"/>
  <c r="J12" i="17"/>
  <c r="J21" i="45" s="1"/>
  <c r="K16" i="42"/>
  <c r="Q6" i="26"/>
  <c r="H6" i="26" s="1"/>
  <c r="H15" i="47" s="1"/>
  <c r="L19" i="46"/>
  <c r="C19" i="46" s="1"/>
  <c r="J12" i="40"/>
  <c r="J21" i="41" s="1"/>
  <c r="R60" i="42"/>
  <c r="R60" i="48" s="1"/>
  <c r="E46" i="47"/>
  <c r="D20" i="54"/>
  <c r="Q9" i="26"/>
  <c r="H9" i="26" s="1"/>
  <c r="H18" i="47" s="1"/>
  <c r="Z36" i="17"/>
  <c r="M4" i="17" s="1"/>
  <c r="M13" i="45" s="1"/>
  <c r="P14" i="31"/>
  <c r="G14" i="31" s="1"/>
  <c r="L14" i="41"/>
  <c r="L41" i="21"/>
  <c r="R16" i="26"/>
  <c r="I16" i="26" s="1"/>
  <c r="I25" i="47" s="1"/>
  <c r="G11" i="54"/>
  <c r="O14" i="26"/>
  <c r="O23" i="47" s="1"/>
  <c r="M22" i="46"/>
  <c r="R16" i="17"/>
  <c r="K20" i="41"/>
  <c r="F15" i="46"/>
  <c r="M6" i="19"/>
  <c r="M15" i="35" s="1"/>
  <c r="Z40" i="17"/>
  <c r="M8" i="17" s="1"/>
  <c r="M17" i="45" s="1"/>
  <c r="G56" i="46"/>
  <c r="AA49" i="17"/>
  <c r="Q38" i="21"/>
  <c r="Q51" i="42" s="1"/>
  <c r="Q51" i="48" s="1"/>
  <c r="Q21" i="46"/>
  <c r="M33" i="44"/>
  <c r="M46" i="42" s="1"/>
  <c r="M46" i="48" s="1"/>
  <c r="O15" i="26"/>
  <c r="L4" i="19"/>
  <c r="U20" i="17"/>
  <c r="Q28" i="41"/>
  <c r="M19" i="41"/>
  <c r="N47" i="46"/>
  <c r="M21" i="47"/>
  <c r="Q13" i="47"/>
  <c r="P14" i="41"/>
  <c r="K26" i="41"/>
  <c r="L8" i="19"/>
  <c r="L17" i="35" s="1"/>
  <c r="M16" i="47"/>
  <c r="N13" i="47"/>
  <c r="P15" i="41"/>
  <c r="R22" i="47"/>
  <c r="P58" i="42"/>
  <c r="P58" i="48" s="1"/>
  <c r="N15" i="19"/>
  <c r="N24" i="35" s="1"/>
  <c r="N6" i="31"/>
  <c r="E6" i="31" s="1"/>
  <c r="N42" i="44"/>
  <c r="N55" i="42" s="1"/>
  <c r="N55" i="48" s="1"/>
  <c r="Z37" i="17"/>
  <c r="R34" i="21"/>
  <c r="R47" i="42" s="1"/>
  <c r="R47" i="48" s="1"/>
  <c r="Q11" i="36"/>
  <c r="L47" i="31"/>
  <c r="K11" i="35"/>
  <c r="D46" i="46"/>
  <c r="Q16" i="41"/>
  <c r="L20" i="19"/>
  <c r="L29" i="35" s="1"/>
  <c r="M5" i="44"/>
  <c r="D5" i="44" s="1"/>
  <c r="D14" i="42" s="1"/>
  <c r="D14" i="48" s="1"/>
  <c r="N12" i="26"/>
  <c r="N21" i="47" s="1"/>
  <c r="R11" i="26"/>
  <c r="I11" i="26" s="1"/>
  <c r="I20" i="47" s="1"/>
  <c r="Q21" i="47"/>
  <c r="K38" i="44"/>
  <c r="K51" i="42" s="1"/>
  <c r="K51" i="48" s="1"/>
  <c r="K8" i="26"/>
  <c r="K17" i="47" s="1"/>
  <c r="X43" i="17"/>
  <c r="L28" i="41"/>
  <c r="M17" i="17"/>
  <c r="M26" i="45" s="1"/>
  <c r="O9" i="44"/>
  <c r="O18" i="42" s="1"/>
  <c r="O18" i="48" s="1"/>
  <c r="O19" i="26"/>
  <c r="O28" i="47" s="1"/>
  <c r="O58" i="46"/>
  <c r="T4" i="17"/>
  <c r="N22" i="20"/>
  <c r="P33" i="31"/>
  <c r="M52" i="46"/>
  <c r="Q19" i="46"/>
  <c r="X41" i="17"/>
  <c r="R9" i="17" s="1"/>
  <c r="R18" i="45" s="1"/>
  <c r="M3" i="20"/>
  <c r="B56" i="42"/>
  <c r="B56" i="48" s="1"/>
  <c r="I17" i="54"/>
  <c r="R16" i="19" s="1"/>
  <c r="R25" i="35" s="1"/>
  <c r="H50" i="46"/>
  <c r="R15" i="31"/>
  <c r="I15" i="31" s="1"/>
  <c r="Q12" i="41"/>
  <c r="U6" i="17"/>
  <c r="P10" i="26"/>
  <c r="P19" i="47" s="1"/>
  <c r="R8" i="20"/>
  <c r="L13" i="36"/>
  <c r="K11" i="46"/>
  <c r="B11" i="46" s="1"/>
  <c r="P4" i="21"/>
  <c r="G4" i="21" s="1"/>
  <c r="K26" i="35"/>
  <c r="K18" i="35"/>
  <c r="Q8" i="44"/>
  <c r="Q17" i="42" s="1"/>
  <c r="Q17" i="48" s="1"/>
  <c r="L9" i="19"/>
  <c r="L18" i="35" s="1"/>
  <c r="I21" i="54"/>
  <c r="V19" i="17"/>
  <c r="R8" i="21"/>
  <c r="I8" i="21" s="1"/>
  <c r="N14" i="26"/>
  <c r="N23" i="47" s="1"/>
  <c r="AB49" i="17"/>
  <c r="O17" i="17" s="1"/>
  <c r="O26" i="45" s="1"/>
  <c r="O21" i="26"/>
  <c r="O30" i="47" s="1"/>
  <c r="R11" i="36"/>
  <c r="H24" i="46"/>
  <c r="K16" i="35"/>
  <c r="N16" i="17"/>
  <c r="N25" i="45" s="1"/>
  <c r="O14" i="42"/>
  <c r="O14" i="48" s="1"/>
  <c r="M59" i="46"/>
  <c r="M12" i="46"/>
  <c r="D15" i="42"/>
  <c r="D15" i="48" s="1"/>
  <c r="O11" i="31"/>
  <c r="L14" i="36"/>
  <c r="K11" i="45"/>
  <c r="B11" i="45" s="1"/>
  <c r="K6" i="20"/>
  <c r="L15" i="36"/>
  <c r="Q1" i="44"/>
  <c r="N10" i="42" s="1"/>
  <c r="N10" i="48" s="1"/>
  <c r="Q1" i="17"/>
  <c r="M1" i="17" s="1"/>
  <c r="N10" i="45" s="1"/>
  <c r="L22" i="20"/>
  <c r="M17" i="20"/>
  <c r="H23" i="46"/>
  <c r="R8" i="17"/>
  <c r="R17" i="45" s="1"/>
  <c r="N26" i="47"/>
  <c r="M22" i="47"/>
  <c r="Q27" i="47"/>
  <c r="N51" i="42"/>
  <c r="N51" i="48" s="1"/>
  <c r="R18" i="17"/>
  <c r="L21" i="35"/>
  <c r="K9" i="17"/>
  <c r="B9" i="17" s="1"/>
  <c r="R45" i="21"/>
  <c r="R58" i="42" s="1"/>
  <c r="R58" i="48" s="1"/>
  <c r="O21" i="20"/>
  <c r="L26" i="47"/>
  <c r="AE53" i="17"/>
  <c r="R21" i="17" s="1"/>
  <c r="R12" i="26"/>
  <c r="I12" i="26" s="1"/>
  <c r="I21" i="47" s="1"/>
  <c r="R37" i="21"/>
  <c r="R50" i="42" s="1"/>
  <c r="R50" i="48" s="1"/>
  <c r="F50" i="46"/>
  <c r="L17" i="41"/>
  <c r="R7" i="26"/>
  <c r="I7" i="26" s="1"/>
  <c r="I16" i="47" s="1"/>
  <c r="L13" i="20"/>
  <c r="G22" i="54"/>
  <c r="M10" i="31"/>
  <c r="D10" i="31" s="1"/>
  <c r="R53" i="46"/>
  <c r="L5" i="40"/>
  <c r="R6" i="19"/>
  <c r="R15" i="35" s="1"/>
  <c r="K4" i="19"/>
  <c r="K13" i="35" s="1"/>
  <c r="R12" i="31"/>
  <c r="I12" i="31" s="1"/>
  <c r="E21" i="46"/>
  <c r="R28" i="41"/>
  <c r="AD44" i="17"/>
  <c r="Q12" i="17" s="1"/>
  <c r="V5" i="17"/>
  <c r="M58" i="46"/>
  <c r="R21" i="41"/>
  <c r="K12" i="42"/>
  <c r="M11" i="47"/>
  <c r="L20" i="46"/>
  <c r="C20" i="46" s="1"/>
  <c r="O18" i="47"/>
  <c r="O6" i="26"/>
  <c r="O15" i="47" s="1"/>
  <c r="R5" i="17"/>
  <c r="R14" i="45" s="1"/>
  <c r="M8" i="19"/>
  <c r="M17" i="35" s="1"/>
  <c r="R23" i="47"/>
  <c r="Q47" i="42"/>
  <c r="Q47" i="48" s="1"/>
  <c r="G46" i="47"/>
  <c r="K4" i="44"/>
  <c r="B4" i="44" s="1"/>
  <c r="B35" i="44" s="1"/>
  <c r="B48" i="42" s="1"/>
  <c r="B48" i="48" s="1"/>
  <c r="Q29" i="47"/>
  <c r="G17" i="54"/>
  <c r="P16" i="19" s="1"/>
  <c r="P25" i="35" s="1"/>
  <c r="K16" i="17"/>
  <c r="B16" i="17" s="1"/>
  <c r="L25" i="45"/>
  <c r="C25" i="45" s="1"/>
  <c r="Q21" i="42"/>
  <c r="Q21" i="48" s="1"/>
  <c r="O13" i="21"/>
  <c r="N29" i="47"/>
  <c r="L15" i="42"/>
  <c r="P46" i="42"/>
  <c r="P46" i="48" s="1"/>
  <c r="K15" i="42"/>
  <c r="N18" i="42"/>
  <c r="N18" i="48" s="1"/>
  <c r="R14" i="41"/>
  <c r="G58" i="46"/>
  <c r="AE45" i="17"/>
  <c r="L15" i="35"/>
  <c r="M42" i="44"/>
  <c r="M55" i="42" s="1"/>
  <c r="M55" i="48" s="1"/>
  <c r="L23" i="42"/>
  <c r="M5" i="31"/>
  <c r="D5" i="31" s="1"/>
  <c r="L9" i="40"/>
  <c r="J38" i="17"/>
  <c r="J50" i="45" s="1"/>
  <c r="J50" i="16" s="1"/>
  <c r="O15" i="42"/>
  <c r="O15" i="48" s="1"/>
  <c r="K15" i="17"/>
  <c r="B15" i="17" s="1"/>
  <c r="N13" i="44"/>
  <c r="N22" i="42" s="1"/>
  <c r="N22" i="48" s="1"/>
  <c r="M17" i="26"/>
  <c r="M26" i="47" s="1"/>
  <c r="D20" i="48"/>
  <c r="N4" i="44"/>
  <c r="F36" i="36"/>
  <c r="L17" i="47"/>
  <c r="N57" i="46"/>
  <c r="O14" i="47"/>
  <c r="P21" i="47"/>
  <c r="N42" i="31"/>
  <c r="O4" i="17"/>
  <c r="O13" i="45" s="1"/>
  <c r="O14" i="31"/>
  <c r="AD46" i="17"/>
  <c r="N19" i="17"/>
  <c r="N28" i="45" s="1"/>
  <c r="U21" i="17"/>
  <c r="K27" i="36"/>
  <c r="E47" i="46"/>
  <c r="D14" i="54"/>
  <c r="M13" i="19" s="1"/>
  <c r="M22" i="35" s="1"/>
  <c r="T42" i="17"/>
  <c r="N10" i="17" s="1"/>
  <c r="N19" i="45" s="1"/>
  <c r="N4" i="21"/>
  <c r="E4" i="21" s="1"/>
  <c r="F46" i="46"/>
  <c r="M14" i="17"/>
  <c r="M23" i="45" s="1"/>
  <c r="A11" i="22"/>
  <c r="K39" i="44" s="1"/>
  <c r="K11" i="21"/>
  <c r="B11" i="21" s="1"/>
  <c r="B42" i="21" s="1"/>
  <c r="B55" i="42" s="1"/>
  <c r="B55" i="48" s="1"/>
  <c r="O3" i="26"/>
  <c r="O12" i="47" s="1"/>
  <c r="K16" i="45"/>
  <c r="B16" i="45" s="1"/>
  <c r="G20" i="46"/>
  <c r="O8" i="26"/>
  <c r="O17" i="47" s="1"/>
  <c r="N7" i="26"/>
  <c r="N16" i="47" s="1"/>
  <c r="R15" i="19"/>
  <c r="R24" i="35" s="1"/>
  <c r="D54" i="46"/>
  <c r="D12" i="42"/>
  <c r="D12" i="48" s="1"/>
  <c r="J4" i="17"/>
  <c r="J13" i="45" s="1"/>
  <c r="J13" i="16" s="1"/>
  <c r="Q10" i="21"/>
  <c r="H10" i="21" s="1"/>
  <c r="M57" i="46"/>
  <c r="K20" i="45"/>
  <c r="B20" i="45" s="1"/>
  <c r="P24" i="47"/>
  <c r="Q45" i="21"/>
  <c r="Q58" i="42" s="1"/>
  <c r="Q58" i="48" s="1"/>
  <c r="I36" i="45"/>
  <c r="AC40" i="17"/>
  <c r="P8" i="17" s="1"/>
  <c r="P17" i="45" s="1"/>
  <c r="D21" i="46"/>
  <c r="R11" i="20"/>
  <c r="F18" i="54"/>
  <c r="O17" i="19" s="1"/>
  <c r="O26" i="35" s="1"/>
  <c r="E15" i="54"/>
  <c r="N14" i="19" s="1"/>
  <c r="N23" i="35" s="1"/>
  <c r="L12" i="35"/>
  <c r="AB50" i="17"/>
  <c r="P34" i="21"/>
  <c r="K19" i="36"/>
  <c r="K18" i="47"/>
  <c r="Q4" i="21"/>
  <c r="H4" i="21" s="1"/>
  <c r="F46" i="45"/>
  <c r="M56" i="42"/>
  <c r="M56" i="48" s="1"/>
  <c r="Q51" i="46"/>
  <c r="F4" i="54"/>
  <c r="O3" i="19" s="1"/>
  <c r="O12" i="35" s="1"/>
  <c r="Q7" i="20"/>
  <c r="K35" i="31"/>
  <c r="K16" i="47"/>
  <c r="G12" i="54"/>
  <c r="P11" i="19" s="1"/>
  <c r="P20" i="35" s="1"/>
  <c r="E20" i="54"/>
  <c r="N19" i="19" s="1"/>
  <c r="N28" i="35" s="1"/>
  <c r="O7" i="44"/>
  <c r="O16" i="42" s="1"/>
  <c r="O16" i="48" s="1"/>
  <c r="E23" i="46"/>
  <c r="K6" i="26"/>
  <c r="K15" i="47" s="1"/>
  <c r="M60" i="46"/>
  <c r="N22" i="41"/>
  <c r="P20" i="17"/>
  <c r="P29" i="45" s="1"/>
  <c r="AC50" i="17"/>
  <c r="J9" i="21"/>
  <c r="R9" i="21"/>
  <c r="I9" i="21" s="1"/>
  <c r="L45" i="44"/>
  <c r="L58" i="42" s="1"/>
  <c r="L58" i="48" s="1"/>
  <c r="K21" i="36"/>
  <c r="P16" i="17"/>
  <c r="P25" i="45" s="1"/>
  <c r="Z39" i="17"/>
  <c r="J7" i="44"/>
  <c r="J16" i="42" s="1"/>
  <c r="J16" i="48" s="1"/>
  <c r="M37" i="44"/>
  <c r="O18" i="46"/>
  <c r="M11" i="41"/>
  <c r="O4" i="26"/>
  <c r="O13" i="47" s="1"/>
  <c r="L32" i="36"/>
  <c r="M19" i="19"/>
  <c r="M28" i="35" s="1"/>
  <c r="A5" i="40"/>
  <c r="L49" i="46"/>
  <c r="P13" i="20"/>
  <c r="O36" i="21"/>
  <c r="O49" i="42" s="1"/>
  <c r="O49" i="48" s="1"/>
  <c r="Q12" i="42"/>
  <c r="Q12" i="48" s="1"/>
  <c r="O11" i="19"/>
  <c r="O20" i="35" s="1"/>
  <c r="P10" i="19"/>
  <c r="P19" i="35" s="1"/>
  <c r="K12" i="45"/>
  <c r="B12" i="45" s="1"/>
  <c r="M20" i="20"/>
  <c r="L27" i="45"/>
  <c r="C27" i="45" s="1"/>
  <c r="L24" i="35"/>
  <c r="N20" i="47"/>
  <c r="M15" i="17"/>
  <c r="M24" i="45" s="1"/>
  <c r="K55" i="42"/>
  <c r="K55" i="48" s="1"/>
  <c r="K18" i="42"/>
  <c r="L19" i="40"/>
  <c r="P15" i="47"/>
  <c r="Q10" i="20"/>
  <c r="P18" i="47"/>
  <c r="O4" i="20"/>
  <c r="L18" i="45"/>
  <c r="C18" i="45" s="1"/>
  <c r="L10" i="20"/>
  <c r="B36" i="47"/>
  <c r="K24" i="36"/>
  <c r="D24" i="46"/>
  <c r="K14" i="41"/>
  <c r="K27" i="47"/>
  <c r="O50" i="42"/>
  <c r="O50" i="48" s="1"/>
  <c r="Q14" i="42"/>
  <c r="Q14" i="48" s="1"/>
  <c r="P16" i="47"/>
  <c r="M15" i="41"/>
  <c r="R22" i="41"/>
  <c r="Q25" i="47"/>
  <c r="B51" i="42"/>
  <c r="B51" i="48" s="1"/>
  <c r="P20" i="47"/>
  <c r="N5" i="21"/>
  <c r="E5" i="21" s="1"/>
  <c r="M10" i="19"/>
  <c r="M19" i="35" s="1"/>
  <c r="P14" i="17"/>
  <c r="P23" i="45" s="1"/>
  <c r="L4" i="21"/>
  <c r="C4" i="21" s="1"/>
  <c r="C35" i="21" s="1"/>
  <c r="C48" i="42" s="1"/>
  <c r="C48" i="48" s="1"/>
  <c r="O46" i="46"/>
  <c r="O21" i="17"/>
  <c r="O30" i="45" s="1"/>
  <c r="M53" i="46"/>
  <c r="L13" i="17"/>
  <c r="C13" i="17" s="1"/>
  <c r="L12" i="31"/>
  <c r="C12" i="31" s="1"/>
  <c r="C43" i="31" s="1"/>
  <c r="E18" i="54"/>
  <c r="N17" i="19" s="1"/>
  <c r="N26" i="35" s="1"/>
  <c r="AD53" i="17"/>
  <c r="Q21" i="17" s="1"/>
  <c r="W42" i="17"/>
  <c r="Q10" i="17" s="1"/>
  <c r="K28" i="47"/>
  <c r="L17" i="45"/>
  <c r="C17" i="45" s="1"/>
  <c r="N10" i="26"/>
  <c r="N19" i="47" s="1"/>
  <c r="L47" i="21"/>
  <c r="D18" i="54"/>
  <c r="M17" i="19" s="1"/>
  <c r="M26" i="35" s="1"/>
  <c r="K47" i="46"/>
  <c r="K22" i="35"/>
  <c r="W35" i="17"/>
  <c r="Q3" i="17" s="1"/>
  <c r="L15" i="17"/>
  <c r="C15" i="17" s="1"/>
  <c r="W50" i="17"/>
  <c r="Q18" i="17" s="1"/>
  <c r="G13" i="46"/>
  <c r="R37" i="31"/>
  <c r="S8" i="17"/>
  <c r="V36" i="17"/>
  <c r="P4" i="17" s="1"/>
  <c r="P13" i="45" s="1"/>
  <c r="A5" i="17"/>
  <c r="N4" i="17"/>
  <c r="N13" i="45" s="1"/>
  <c r="P9" i="19"/>
  <c r="P18" i="35" s="1"/>
  <c r="L19" i="35"/>
  <c r="G46" i="35"/>
  <c r="S17" i="17"/>
  <c r="K14" i="40"/>
  <c r="K27" i="45"/>
  <c r="B27" i="45" s="1"/>
  <c r="K32" i="36"/>
  <c r="P3" i="44"/>
  <c r="O52" i="42"/>
  <c r="O52" i="48" s="1"/>
  <c r="L18" i="20"/>
  <c r="P10" i="21"/>
  <c r="G10" i="21" s="1"/>
  <c r="M46" i="31"/>
  <c r="K11" i="26"/>
  <c r="K20" i="47" s="1"/>
  <c r="B16" i="22"/>
  <c r="L44" i="44" s="1"/>
  <c r="R49" i="42"/>
  <c r="R49" i="48" s="1"/>
  <c r="L8" i="40"/>
  <c r="A5" i="44"/>
  <c r="Q5" i="26"/>
  <c r="H5" i="26" s="1"/>
  <c r="H14" i="47" s="1"/>
  <c r="O29" i="41"/>
  <c r="R5" i="44"/>
  <c r="L27" i="41"/>
  <c r="L48" i="46"/>
  <c r="L41" i="31"/>
  <c r="N18" i="26"/>
  <c r="R20" i="19"/>
  <c r="R29" i="35" s="1"/>
  <c r="L15" i="20"/>
  <c r="R40" i="21"/>
  <c r="R53" i="42" s="1"/>
  <c r="R53" i="48" s="1"/>
  <c r="K3" i="31"/>
  <c r="B3" i="31" s="1"/>
  <c r="B34" i="31" s="1"/>
  <c r="J6" i="17"/>
  <c r="J15" i="45" s="1"/>
  <c r="J15" i="16" s="1"/>
  <c r="L3" i="21"/>
  <c r="C3" i="21" s="1"/>
  <c r="C34" i="21" s="1"/>
  <c r="C47" i="42" s="1"/>
  <c r="C47" i="48" s="1"/>
  <c r="L37" i="21"/>
  <c r="M4" i="19"/>
  <c r="M13" i="35" s="1"/>
  <c r="L7" i="20"/>
  <c r="N11" i="31"/>
  <c r="E11" i="31" s="1"/>
  <c r="N23" i="41"/>
  <c r="L37" i="31"/>
  <c r="R11" i="17"/>
  <c r="R20" i="45" s="1"/>
  <c r="V4" i="17"/>
  <c r="R29" i="41"/>
  <c r="E10" i="54"/>
  <c r="N9" i="19" s="1"/>
  <c r="N18" i="35" s="1"/>
  <c r="M21" i="20"/>
  <c r="R6" i="17"/>
  <c r="R15" i="45" s="1"/>
  <c r="K12" i="35"/>
  <c r="M26" i="41"/>
  <c r="G12" i="46"/>
  <c r="AE35" i="17"/>
  <c r="L31" i="36"/>
  <c r="O22" i="42"/>
  <c r="O22" i="48" s="1"/>
  <c r="M13" i="47"/>
  <c r="R16" i="47"/>
  <c r="P21" i="41"/>
  <c r="L13" i="45"/>
  <c r="C13" i="45" s="1"/>
  <c r="K18" i="40"/>
  <c r="K12" i="41"/>
  <c r="K20" i="26"/>
  <c r="K29" i="47" s="1"/>
  <c r="H33" i="16"/>
  <c r="A7" i="22"/>
  <c r="K35" i="21" s="1"/>
  <c r="Q6" i="17"/>
  <c r="L43" i="31"/>
  <c r="K21" i="47"/>
  <c r="M22" i="41"/>
  <c r="L19" i="26"/>
  <c r="L28" i="47" s="1"/>
  <c r="L22" i="36"/>
  <c r="X17" i="17"/>
  <c r="P21" i="19"/>
  <c r="P30" i="35" s="1"/>
  <c r="R7" i="20"/>
  <c r="P20" i="26"/>
  <c r="O28" i="41"/>
  <c r="N53" i="42"/>
  <c r="N53" i="48" s="1"/>
  <c r="R6" i="26"/>
  <c r="I6" i="26" s="1"/>
  <c r="I15" i="47" s="1"/>
  <c r="M23" i="41"/>
  <c r="Q4" i="17"/>
  <c r="P6" i="44"/>
  <c r="P15" i="42" s="1"/>
  <c r="P15" i="48" s="1"/>
  <c r="M12" i="21"/>
  <c r="D12" i="21" s="1"/>
  <c r="Z42" i="17"/>
  <c r="M10" i="17" s="1"/>
  <c r="M19" i="45" s="1"/>
  <c r="P5" i="17"/>
  <c r="P14" i="45" s="1"/>
  <c r="T9" i="17"/>
  <c r="AC42" i="17"/>
  <c r="P10" i="17" s="1"/>
  <c r="P19" i="45" s="1"/>
  <c r="N15" i="47"/>
  <c r="Q57" i="46"/>
  <c r="L17" i="19"/>
  <c r="L26" i="35" s="1"/>
  <c r="N49" i="42"/>
  <c r="N49" i="48" s="1"/>
  <c r="E54" i="46"/>
  <c r="K5" i="20"/>
  <c r="K14" i="36" s="1"/>
  <c r="P5" i="20"/>
  <c r="AE46" i="17"/>
  <c r="R14" i="17" s="1"/>
  <c r="O23" i="41"/>
  <c r="K40" i="31"/>
  <c r="D1" i="13"/>
  <c r="H4" i="16" s="1"/>
  <c r="C50" i="42"/>
  <c r="C50" i="48" s="1"/>
  <c r="P47" i="42"/>
  <c r="P47" i="48" s="1"/>
  <c r="M46" i="44"/>
  <c r="M59" i="42" s="1"/>
  <c r="M59" i="48" s="1"/>
  <c r="K14" i="17"/>
  <c r="B14" i="17" s="1"/>
  <c r="H10" i="45"/>
  <c r="K24" i="35"/>
  <c r="Q20" i="47"/>
  <c r="Q22" i="42"/>
  <c r="Q22" i="48" s="1"/>
  <c r="M18" i="42"/>
  <c r="M18" i="48" s="1"/>
  <c r="L19" i="42"/>
  <c r="L41" i="44"/>
  <c r="L54" i="42" s="1"/>
  <c r="L54" i="48" s="1"/>
  <c r="K47" i="42"/>
  <c r="K47" i="48" s="1"/>
  <c r="R19" i="41"/>
  <c r="N48" i="46"/>
  <c r="D56" i="46"/>
  <c r="Q24" i="41"/>
  <c r="U52" i="17"/>
  <c r="O20" i="17" s="1"/>
  <c r="O29" i="45" s="1"/>
  <c r="P13" i="42"/>
  <c r="P13" i="48" s="1"/>
  <c r="K22" i="42"/>
  <c r="D16" i="42"/>
  <c r="D16" i="48" s="1"/>
  <c r="B50" i="42"/>
  <c r="B50" i="48" s="1"/>
  <c r="P14" i="42"/>
  <c r="P14" i="48" s="1"/>
  <c r="R25" i="41"/>
  <c r="Q21" i="41"/>
  <c r="P28" i="41"/>
  <c r="M20" i="42"/>
  <c r="M20" i="48" s="1"/>
  <c r="R12" i="42"/>
  <c r="R12" i="48" s="1"/>
  <c r="K53" i="42"/>
  <c r="K53" i="48" s="1"/>
  <c r="O47" i="42"/>
  <c r="O47" i="48" s="1"/>
  <c r="K13" i="42"/>
  <c r="P16" i="42"/>
  <c r="P16" i="48" s="1"/>
  <c r="O5" i="40"/>
  <c r="O17" i="41"/>
  <c r="N29" i="41"/>
  <c r="M13" i="40"/>
  <c r="M17" i="40"/>
  <c r="O7" i="40"/>
  <c r="O3" i="40"/>
  <c r="N19" i="40"/>
  <c r="P14" i="40"/>
  <c r="P17" i="40"/>
  <c r="R6" i="40"/>
  <c r="I6" i="40" s="1"/>
  <c r="M21" i="40"/>
  <c r="Q14" i="41"/>
  <c r="O11" i="40"/>
  <c r="P26" i="41"/>
  <c r="N15" i="40"/>
  <c r="Q46" i="21"/>
  <c r="Q59" i="42" s="1"/>
  <c r="Q59" i="48" s="1"/>
  <c r="P8" i="40"/>
  <c r="O19" i="40"/>
  <c r="O25" i="41"/>
  <c r="L11" i="21"/>
  <c r="C11" i="21" s="1"/>
  <c r="C42" i="21" s="1"/>
  <c r="C55" i="42" s="1"/>
  <c r="C55" i="48" s="1"/>
  <c r="P3" i="40"/>
  <c r="O14" i="41"/>
  <c r="O24" i="47"/>
  <c r="K19" i="45"/>
  <c r="B19" i="45" s="1"/>
  <c r="R16" i="42"/>
  <c r="R16" i="48" s="1"/>
  <c r="R14" i="42"/>
  <c r="R14" i="48" s="1"/>
  <c r="K35" i="44"/>
  <c r="N12" i="21"/>
  <c r="E12" i="21" s="1"/>
  <c r="M12" i="44"/>
  <c r="D12" i="44" s="1"/>
  <c r="L60" i="46"/>
  <c r="Q14" i="47"/>
  <c r="L13" i="47"/>
  <c r="M50" i="42"/>
  <c r="M50" i="48" s="1"/>
  <c r="K23" i="42"/>
  <c r="M47" i="42"/>
  <c r="M47" i="48" s="1"/>
  <c r="N33" i="44"/>
  <c r="N46" i="42" s="1"/>
  <c r="N46" i="48" s="1"/>
  <c r="N12" i="42"/>
  <c r="N12" i="48" s="1"/>
  <c r="R13" i="41"/>
  <c r="Q13" i="42"/>
  <c r="Q13" i="48" s="1"/>
  <c r="R19" i="42"/>
  <c r="R19" i="48" s="1"/>
  <c r="L21" i="42"/>
  <c r="N3" i="40"/>
  <c r="N17" i="40"/>
  <c r="Q56" i="42"/>
  <c r="Q56" i="48" s="1"/>
  <c r="Q16" i="40"/>
  <c r="H16" i="40" s="1"/>
  <c r="N21" i="40"/>
  <c r="R14" i="40"/>
  <c r="I14" i="40" s="1"/>
  <c r="M16" i="40"/>
  <c r="M11" i="40"/>
  <c r="P40" i="31"/>
  <c r="E5" i="22"/>
  <c r="O33" i="44" s="1"/>
  <c r="Q19" i="40"/>
  <c r="H19" i="40" s="1"/>
  <c r="P5" i="40"/>
  <c r="M16" i="19"/>
  <c r="M25" i="35" s="1"/>
  <c r="M20" i="40"/>
  <c r="O6" i="40"/>
  <c r="M33" i="31"/>
  <c r="E58" i="46"/>
  <c r="O14" i="40"/>
  <c r="M17" i="41"/>
  <c r="R7" i="40"/>
  <c r="I7" i="40" s="1"/>
  <c r="Q11" i="40"/>
  <c r="H11" i="40" s="1"/>
  <c r="R3" i="40"/>
  <c r="I3" i="40" s="1"/>
  <c r="N27" i="47"/>
  <c r="P23" i="42"/>
  <c r="P23" i="48" s="1"/>
  <c r="N20" i="42"/>
  <c r="N20" i="48" s="1"/>
  <c r="L18" i="42"/>
  <c r="P12" i="42"/>
  <c r="P12" i="48" s="1"/>
  <c r="L35" i="44"/>
  <c r="Q17" i="17"/>
  <c r="N18" i="47"/>
  <c r="K19" i="47"/>
  <c r="O13" i="42"/>
  <c r="O13" i="48" s="1"/>
  <c r="L36" i="21"/>
  <c r="N50" i="42"/>
  <c r="N50" i="48" s="1"/>
  <c r="P20" i="42"/>
  <c r="P20" i="48" s="1"/>
  <c r="K11" i="42"/>
  <c r="R10" i="40"/>
  <c r="I10" i="40" s="1"/>
  <c r="K8" i="44"/>
  <c r="B8" i="44" s="1"/>
  <c r="B39" i="44" s="1"/>
  <c r="B52" i="42" s="1"/>
  <c r="B52" i="48" s="1"/>
  <c r="M10" i="44"/>
  <c r="D10" i="44" s="1"/>
  <c r="D19" i="42" s="1"/>
  <c r="D19" i="48" s="1"/>
  <c r="L51" i="46"/>
  <c r="N13" i="41"/>
  <c r="M19" i="40"/>
  <c r="N60" i="46"/>
  <c r="K23" i="46"/>
  <c r="B23" i="46" s="1"/>
  <c r="M14" i="40"/>
  <c r="P15" i="40"/>
  <c r="H5" i="16"/>
  <c r="P12" i="40"/>
  <c r="R8" i="40"/>
  <c r="I8" i="40" s="1"/>
  <c r="M15" i="40"/>
  <c r="AC35" i="17"/>
  <c r="P3" i="17" s="1"/>
  <c r="P12" i="45" s="1"/>
  <c r="H21" i="54"/>
  <c r="Q20" i="19" s="1"/>
  <c r="M12" i="41"/>
  <c r="O22" i="41"/>
  <c r="L27" i="35"/>
  <c r="K29" i="45"/>
  <c r="B29" i="45" s="1"/>
  <c r="L24" i="45"/>
  <c r="C24" i="45" s="1"/>
  <c r="Q19" i="42"/>
  <c r="Q19" i="48" s="1"/>
  <c r="D18" i="42"/>
  <c r="D18" i="48" s="1"/>
  <c r="R21" i="42"/>
  <c r="R21" i="48" s="1"/>
  <c r="K54" i="42"/>
  <c r="K54" i="48" s="1"/>
  <c r="L13" i="42"/>
  <c r="O23" i="20"/>
  <c r="E46" i="35"/>
  <c r="R20" i="26"/>
  <c r="I20" i="26" s="1"/>
  <c r="I29" i="47" s="1"/>
  <c r="P29" i="47"/>
  <c r="M36" i="44"/>
  <c r="K33" i="21"/>
  <c r="K46" i="42" s="1"/>
  <c r="K46" i="48" s="1"/>
  <c r="M58" i="42"/>
  <c r="M58" i="48" s="1"/>
  <c r="L50" i="42"/>
  <c r="L50" i="48" s="1"/>
  <c r="O23" i="42"/>
  <c r="O23" i="48" s="1"/>
  <c r="N21" i="42"/>
  <c r="N21" i="48" s="1"/>
  <c r="B46" i="41"/>
  <c r="M18" i="40"/>
  <c r="Q52" i="42"/>
  <c r="Q52" i="48" s="1"/>
  <c r="Q19" i="41"/>
  <c r="P13" i="40"/>
  <c r="R18" i="41"/>
  <c r="Q9" i="31"/>
  <c r="H9" i="31" s="1"/>
  <c r="M9" i="40"/>
  <c r="O9" i="40"/>
  <c r="O4" i="40"/>
  <c r="P53" i="46"/>
  <c r="N11" i="40"/>
  <c r="P4" i="40"/>
  <c r="Q47" i="21"/>
  <c r="Q60" i="42" s="1"/>
  <c r="Q60" i="48" s="1"/>
  <c r="P11" i="40"/>
  <c r="N20" i="40"/>
  <c r="R36" i="31"/>
  <c r="Q23" i="46"/>
  <c r="N8" i="40"/>
  <c r="K23" i="35"/>
  <c r="K15" i="35"/>
  <c r="L13" i="35"/>
  <c r="K27" i="35"/>
  <c r="K30" i="35"/>
  <c r="H4" i="48"/>
  <c r="H4" i="41"/>
  <c r="H4" i="36"/>
  <c r="H4" i="35"/>
  <c r="K57" i="42" l="1"/>
  <c r="K57" i="48" s="1"/>
  <c r="K56" i="42"/>
  <c r="K56" i="48" s="1"/>
  <c r="D21" i="42"/>
  <c r="D21" i="48" s="1"/>
  <c r="L48" i="42"/>
  <c r="L48" i="48" s="1"/>
  <c r="K43" i="44"/>
  <c r="M51" i="42"/>
  <c r="M51" i="48" s="1"/>
  <c r="K60" i="42"/>
  <c r="K60" i="48" s="1"/>
  <c r="M48" i="42"/>
  <c r="M48" i="48" s="1"/>
  <c r="K59" i="42"/>
  <c r="K59" i="48" s="1"/>
  <c r="K58" i="42"/>
  <c r="K58" i="48" s="1"/>
  <c r="Q46" i="42"/>
  <c r="Q46" i="48" s="1"/>
  <c r="M44" i="21"/>
  <c r="M57" i="42" s="1"/>
  <c r="M57" i="48" s="1"/>
  <c r="N13" i="42"/>
  <c r="N13" i="48" s="1"/>
  <c r="G3" i="21"/>
  <c r="O33" i="21"/>
  <c r="J11" i="42"/>
  <c r="J11" i="48" s="1"/>
  <c r="J18" i="42"/>
  <c r="J18" i="48" s="1"/>
  <c r="J18" i="16" s="1"/>
  <c r="J20" i="42"/>
  <c r="J20" i="48" s="1"/>
  <c r="O46" i="42"/>
  <c r="O46" i="48" s="1"/>
  <c r="Q23" i="42"/>
  <c r="Q23" i="48" s="1"/>
  <c r="J17" i="42"/>
  <c r="J17" i="48" s="1"/>
  <c r="I13" i="21"/>
  <c r="M49" i="42"/>
  <c r="M49" i="48" s="1"/>
  <c r="R15" i="42"/>
  <c r="R15" i="48" s="1"/>
  <c r="L44" i="21"/>
  <c r="L57" i="42" s="1"/>
  <c r="L57" i="48" s="1"/>
  <c r="L60" i="42"/>
  <c r="L60" i="48" s="1"/>
  <c r="Q16" i="42"/>
  <c r="Q16" i="48" s="1"/>
  <c r="N14" i="42"/>
  <c r="N14" i="48" s="1"/>
  <c r="L46" i="21"/>
  <c r="L47" i="42"/>
  <c r="L47" i="48" s="1"/>
  <c r="H11" i="21"/>
  <c r="G12" i="21"/>
  <c r="G13" i="21"/>
  <c r="H9" i="21"/>
  <c r="H8" i="21"/>
  <c r="M60" i="42"/>
  <c r="M60" i="48" s="1"/>
  <c r="D14" i="21"/>
  <c r="G8" i="21"/>
  <c r="I4" i="21"/>
  <c r="J21" i="16"/>
  <c r="D13" i="42"/>
  <c r="D13" i="48" s="1"/>
  <c r="L22" i="42"/>
  <c r="K20" i="42"/>
  <c r="I10" i="21"/>
  <c r="E7" i="21"/>
  <c r="J20" i="16"/>
  <c r="I12" i="21"/>
  <c r="E3" i="21"/>
  <c r="H13" i="21"/>
  <c r="H3" i="21"/>
  <c r="G5" i="21"/>
  <c r="M21" i="42"/>
  <c r="M21" i="48" s="1"/>
  <c r="P19" i="42"/>
  <c r="P19" i="48" s="1"/>
  <c r="K48" i="42"/>
  <c r="K48" i="48" s="1"/>
  <c r="R18" i="42"/>
  <c r="R18" i="48" s="1"/>
  <c r="L49" i="42"/>
  <c r="L49" i="48" s="1"/>
  <c r="R17" i="42"/>
  <c r="R17" i="48" s="1"/>
  <c r="L12" i="42"/>
  <c r="N15" i="42"/>
  <c r="N15" i="48" s="1"/>
  <c r="K50" i="42"/>
  <c r="K50" i="48" s="1"/>
  <c r="K39" i="21"/>
  <c r="K52" i="42" s="1"/>
  <c r="K52" i="48" s="1"/>
  <c r="H12" i="21"/>
  <c r="H5" i="21"/>
  <c r="E14" i="21"/>
  <c r="J23" i="16"/>
  <c r="G6" i="21"/>
  <c r="L20" i="42"/>
  <c r="M41" i="21"/>
  <c r="M54" i="42" s="1"/>
  <c r="M54" i="48" s="1"/>
  <c r="L59" i="42"/>
  <c r="L59" i="48" s="1"/>
  <c r="B57" i="42"/>
  <c r="B57" i="48" s="1"/>
  <c r="L43" i="21"/>
  <c r="L56" i="42" s="1"/>
  <c r="L56" i="48" s="1"/>
  <c r="I14" i="21"/>
  <c r="I7" i="21"/>
  <c r="G9" i="21"/>
  <c r="H6" i="21"/>
  <c r="D13" i="21"/>
  <c r="E8" i="21"/>
  <c r="E10" i="21"/>
  <c r="E11" i="21"/>
  <c r="J22" i="16"/>
  <c r="M14" i="42"/>
  <c r="M14" i="48" s="1"/>
  <c r="M13" i="42"/>
  <c r="M13" i="48" s="1"/>
  <c r="L16" i="42"/>
  <c r="L16" i="48" s="1"/>
  <c r="C16" i="48" s="1"/>
  <c r="B11" i="42"/>
  <c r="K11" i="48"/>
  <c r="B11" i="48" s="1"/>
  <c r="B22" i="42"/>
  <c r="K22" i="48"/>
  <c r="B22" i="48" s="1"/>
  <c r="I5" i="44"/>
  <c r="I14" i="42" s="1"/>
  <c r="I14" i="48" s="1"/>
  <c r="I11" i="42"/>
  <c r="R11" i="48"/>
  <c r="I11" i="48" s="1"/>
  <c r="D11" i="42"/>
  <c r="M11" i="48"/>
  <c r="D11" i="48" s="1"/>
  <c r="G9" i="44"/>
  <c r="G18" i="42" s="1"/>
  <c r="G18" i="48" s="1"/>
  <c r="E12" i="44"/>
  <c r="E21" i="42" s="1"/>
  <c r="E21" i="48" s="1"/>
  <c r="H12" i="44"/>
  <c r="H21" i="42" s="1"/>
  <c r="H21" i="48" s="1"/>
  <c r="F11" i="42"/>
  <c r="O11" i="48"/>
  <c r="F11" i="48" s="1"/>
  <c r="I13" i="44"/>
  <c r="I22" i="42" s="1"/>
  <c r="I22" i="48" s="1"/>
  <c r="G8" i="44"/>
  <c r="G17" i="42" s="1"/>
  <c r="G17" i="48" s="1"/>
  <c r="G13" i="44"/>
  <c r="G22" i="42" s="1"/>
  <c r="G22" i="48" s="1"/>
  <c r="E7" i="44"/>
  <c r="E16" i="42" s="1"/>
  <c r="E16" i="48" s="1"/>
  <c r="H14" i="44"/>
  <c r="H23" i="42" s="1"/>
  <c r="H23" i="48" s="1"/>
  <c r="G12" i="44"/>
  <c r="G21" i="42" s="1"/>
  <c r="G21" i="48" s="1"/>
  <c r="G11" i="42"/>
  <c r="P11" i="48"/>
  <c r="G11" i="48" s="1"/>
  <c r="D13" i="44"/>
  <c r="D22" i="42" s="1"/>
  <c r="D22" i="48" s="1"/>
  <c r="E10" i="44"/>
  <c r="E19" i="42" s="1"/>
  <c r="E19" i="48" s="1"/>
  <c r="H11" i="44"/>
  <c r="H20" i="42" s="1"/>
  <c r="H20" i="48" s="1"/>
  <c r="I10" i="44"/>
  <c r="I19" i="42" s="1"/>
  <c r="I19" i="48" s="1"/>
  <c r="C18" i="42"/>
  <c r="L18" i="48"/>
  <c r="C18" i="48" s="1"/>
  <c r="B23" i="42"/>
  <c r="K23" i="48"/>
  <c r="B23" i="48" s="1"/>
  <c r="G3" i="44"/>
  <c r="G12" i="42" s="1"/>
  <c r="G12" i="48" s="1"/>
  <c r="B18" i="42"/>
  <c r="K18" i="48"/>
  <c r="B18" i="48" s="1"/>
  <c r="B16" i="42"/>
  <c r="K16" i="48"/>
  <c r="B16" i="48" s="1"/>
  <c r="H5" i="44"/>
  <c r="H14" i="42" s="1"/>
  <c r="H14" i="48" s="1"/>
  <c r="C14" i="42"/>
  <c r="L14" i="48"/>
  <c r="C14" i="48" s="1"/>
  <c r="B21" i="42"/>
  <c r="K21" i="48"/>
  <c r="B21" i="48" s="1"/>
  <c r="C17" i="42"/>
  <c r="L17" i="48"/>
  <c r="C17" i="48" s="1"/>
  <c r="I12" i="44"/>
  <c r="I21" i="42" s="1"/>
  <c r="I21" i="48" s="1"/>
  <c r="K17" i="42"/>
  <c r="E3" i="44"/>
  <c r="E12" i="42" s="1"/>
  <c r="E12" i="48" s="1"/>
  <c r="J19" i="16"/>
  <c r="G5" i="44"/>
  <c r="G14" i="42" s="1"/>
  <c r="G14" i="48" s="1"/>
  <c r="G7" i="44"/>
  <c r="G16" i="42" s="1"/>
  <c r="G16" i="48" s="1"/>
  <c r="J17" i="16"/>
  <c r="H11" i="42"/>
  <c r="Q11" i="48"/>
  <c r="H11" i="48" s="1"/>
  <c r="E14" i="44"/>
  <c r="E23" i="42" s="1"/>
  <c r="E23" i="48" s="1"/>
  <c r="N23" i="42"/>
  <c r="N23" i="48" s="1"/>
  <c r="E11" i="42"/>
  <c r="N11" i="48"/>
  <c r="E11" i="48" s="1"/>
  <c r="C13" i="42"/>
  <c r="L13" i="48"/>
  <c r="C13" i="48" s="1"/>
  <c r="M19" i="42"/>
  <c r="M19" i="48" s="1"/>
  <c r="C21" i="42"/>
  <c r="L21" i="48"/>
  <c r="C21" i="48" s="1"/>
  <c r="B13" i="42"/>
  <c r="K13" i="48"/>
  <c r="B13" i="48" s="1"/>
  <c r="G6" i="44"/>
  <c r="G15" i="42" s="1"/>
  <c r="G15" i="48" s="1"/>
  <c r="E13" i="44"/>
  <c r="E22" i="42" s="1"/>
  <c r="E22" i="48" s="1"/>
  <c r="C23" i="42"/>
  <c r="L23" i="48"/>
  <c r="C23" i="48" s="1"/>
  <c r="B15" i="42"/>
  <c r="K15" i="48"/>
  <c r="B15" i="48" s="1"/>
  <c r="C15" i="42"/>
  <c r="L15" i="48"/>
  <c r="C15" i="48" s="1"/>
  <c r="H8" i="44"/>
  <c r="H17" i="42" s="1"/>
  <c r="H17" i="48" s="1"/>
  <c r="C12" i="42"/>
  <c r="L12" i="48"/>
  <c r="C12" i="48" s="1"/>
  <c r="E6" i="44"/>
  <c r="E15" i="42" s="1"/>
  <c r="E15" i="48" s="1"/>
  <c r="B14" i="42"/>
  <c r="K14" i="48"/>
  <c r="B14" i="48" s="1"/>
  <c r="C22" i="42"/>
  <c r="L22" i="48"/>
  <c r="C22" i="48" s="1"/>
  <c r="G4" i="44"/>
  <c r="G13" i="42" s="1"/>
  <c r="G13" i="48" s="1"/>
  <c r="K19" i="42"/>
  <c r="H10" i="44"/>
  <c r="H19" i="42" s="1"/>
  <c r="H19" i="48" s="1"/>
  <c r="H7" i="44"/>
  <c r="H16" i="42" s="1"/>
  <c r="H16" i="48" s="1"/>
  <c r="I3" i="44"/>
  <c r="I12" i="42" s="1"/>
  <c r="I12" i="48" s="1"/>
  <c r="I11" i="44"/>
  <c r="I20" i="42" s="1"/>
  <c r="I20" i="48" s="1"/>
  <c r="E5" i="44"/>
  <c r="E14" i="42" s="1"/>
  <c r="E14" i="48" s="1"/>
  <c r="D14" i="44"/>
  <c r="D23" i="42" s="1"/>
  <c r="D23" i="48" s="1"/>
  <c r="I4" i="44"/>
  <c r="I13" i="42" s="1"/>
  <c r="I13" i="48" s="1"/>
  <c r="I14" i="44"/>
  <c r="I23" i="42" s="1"/>
  <c r="I23" i="48" s="1"/>
  <c r="G11" i="44"/>
  <c r="G20" i="42" s="1"/>
  <c r="G20" i="48" s="1"/>
  <c r="H6" i="44"/>
  <c r="H15" i="42" s="1"/>
  <c r="H15" i="48" s="1"/>
  <c r="H3" i="44"/>
  <c r="H12" i="42" s="1"/>
  <c r="H12" i="48" s="1"/>
  <c r="C19" i="42"/>
  <c r="L19" i="48"/>
  <c r="C19" i="48" s="1"/>
  <c r="E4" i="44"/>
  <c r="E13" i="42" s="1"/>
  <c r="E13" i="48" s="1"/>
  <c r="B12" i="42"/>
  <c r="K12" i="48"/>
  <c r="B12" i="48" s="1"/>
  <c r="C20" i="42"/>
  <c r="L20" i="48"/>
  <c r="C20" i="48" s="1"/>
  <c r="B20" i="42"/>
  <c r="K20" i="48"/>
  <c r="B20" i="48" s="1"/>
  <c r="E9" i="44"/>
  <c r="E18" i="42" s="1"/>
  <c r="E18" i="48" s="1"/>
  <c r="G14" i="44"/>
  <c r="G23" i="42" s="1"/>
  <c r="G23" i="48" s="1"/>
  <c r="H4" i="44"/>
  <c r="H13" i="42" s="1"/>
  <c r="H13" i="48" s="1"/>
  <c r="G10" i="44"/>
  <c r="G19" i="42" s="1"/>
  <c r="G19" i="48" s="1"/>
  <c r="I7" i="44"/>
  <c r="I16" i="42" s="1"/>
  <c r="I16" i="48" s="1"/>
  <c r="E11" i="44"/>
  <c r="E20" i="42" s="1"/>
  <c r="E20" i="48" s="1"/>
  <c r="H13" i="44"/>
  <c r="H22" i="42" s="1"/>
  <c r="H22" i="48" s="1"/>
  <c r="E8" i="44"/>
  <c r="E17" i="42" s="1"/>
  <c r="E17" i="48" s="1"/>
  <c r="I8" i="44"/>
  <c r="I17" i="42" s="1"/>
  <c r="I17" i="48" s="1"/>
  <c r="I6" i="44"/>
  <c r="I15" i="42" s="1"/>
  <c r="I15" i="48" s="1"/>
  <c r="H9" i="44"/>
  <c r="H18" i="42" s="1"/>
  <c r="H18" i="48" s="1"/>
  <c r="J11" i="16"/>
  <c r="I9" i="44"/>
  <c r="I18" i="42" s="1"/>
  <c r="I18" i="48" s="1"/>
  <c r="J16" i="16"/>
  <c r="N17" i="17"/>
  <c r="N26" i="45" s="1"/>
  <c r="P19" i="17"/>
  <c r="P28" i="45" s="1"/>
  <c r="R13" i="17"/>
  <c r="M5" i="17"/>
  <c r="M14" i="45" s="1"/>
  <c r="M12" i="17"/>
  <c r="M21" i="45" s="1"/>
  <c r="P18" i="17"/>
  <c r="P27" i="45" s="1"/>
  <c r="M7" i="17"/>
  <c r="M16" i="45" s="1"/>
  <c r="R3" i="17"/>
  <c r="R12" i="45" s="1"/>
  <c r="O18" i="17"/>
  <c r="O27" i="45" s="1"/>
  <c r="Q14" i="17"/>
  <c r="H14" i="17" s="1"/>
  <c r="H23" i="45" s="1"/>
  <c r="N14" i="17"/>
  <c r="N23" i="45" s="1"/>
  <c r="N8" i="17"/>
  <c r="N17" i="45" s="1"/>
  <c r="I9" i="26"/>
  <c r="I18" i="47" s="1"/>
  <c r="H11" i="26"/>
  <c r="H20" i="47" s="1"/>
  <c r="I18" i="26"/>
  <c r="I27" i="47" s="1"/>
  <c r="H14" i="26"/>
  <c r="H23" i="47" s="1"/>
  <c r="R21" i="47"/>
  <c r="Q15" i="47"/>
  <c r="I21" i="26"/>
  <c r="I30" i="47" s="1"/>
  <c r="R30" i="47"/>
  <c r="H13" i="26"/>
  <c r="H22" i="47" s="1"/>
  <c r="I15" i="26"/>
  <c r="I24" i="47" s="1"/>
  <c r="H10" i="26"/>
  <c r="H19" i="47" s="1"/>
  <c r="I14" i="26"/>
  <c r="I23" i="47" s="1"/>
  <c r="I19" i="26"/>
  <c r="I28" i="47" s="1"/>
  <c r="H21" i="26"/>
  <c r="H30" i="47" s="1"/>
  <c r="I3" i="26"/>
  <c r="I12" i="47" s="1"/>
  <c r="H7" i="26"/>
  <c r="H16" i="47" s="1"/>
  <c r="Q18" i="47"/>
  <c r="I4" i="26"/>
  <c r="I13" i="47" s="1"/>
  <c r="H19" i="26"/>
  <c r="H28" i="47" s="1"/>
  <c r="H8" i="26"/>
  <c r="H17" i="47" s="1"/>
  <c r="I10" i="26"/>
  <c r="I19" i="47" s="1"/>
  <c r="R29" i="47"/>
  <c r="R15" i="47"/>
  <c r="I5" i="26"/>
  <c r="I14" i="47" s="1"/>
  <c r="I8" i="26"/>
  <c r="I17" i="47" s="1"/>
  <c r="I17" i="26"/>
  <c r="I26" i="47" s="1"/>
  <c r="H15" i="26"/>
  <c r="H24" i="47" s="1"/>
  <c r="R25" i="47"/>
  <c r="R20" i="47"/>
  <c r="H17" i="26"/>
  <c r="H26" i="47" s="1"/>
  <c r="I13" i="26"/>
  <c r="I22" i="47" s="1"/>
  <c r="H5" i="19"/>
  <c r="H14" i="35" s="1"/>
  <c r="Q14" i="35"/>
  <c r="H10" i="19"/>
  <c r="H19" i="35" s="1"/>
  <c r="Q19" i="35"/>
  <c r="H21" i="19"/>
  <c r="H30" i="35" s="1"/>
  <c r="Q30" i="35"/>
  <c r="H16" i="19"/>
  <c r="H25" i="35" s="1"/>
  <c r="Q25" i="35"/>
  <c r="H20" i="19"/>
  <c r="H29" i="35" s="1"/>
  <c r="Q29" i="35"/>
  <c r="H17" i="19"/>
  <c r="H26" i="35" s="1"/>
  <c r="Q26" i="35"/>
  <c r="H19" i="19"/>
  <c r="H28" i="35" s="1"/>
  <c r="Q28" i="35"/>
  <c r="H13" i="19"/>
  <c r="H22" i="35" s="1"/>
  <c r="Q22" i="35"/>
  <c r="H7" i="19"/>
  <c r="H16" i="35" s="1"/>
  <c r="Q16" i="35"/>
  <c r="H14" i="19"/>
  <c r="H23" i="35" s="1"/>
  <c r="Q23" i="35"/>
  <c r="H6" i="19"/>
  <c r="H15" i="35" s="1"/>
  <c r="Q15" i="35"/>
  <c r="H12" i="19"/>
  <c r="H21" i="35" s="1"/>
  <c r="Q21" i="35"/>
  <c r="H15" i="19"/>
  <c r="H24" i="35" s="1"/>
  <c r="Q24" i="35"/>
  <c r="H18" i="19"/>
  <c r="H27" i="35" s="1"/>
  <c r="Q27" i="35"/>
  <c r="H3" i="19"/>
  <c r="H12" i="35" s="1"/>
  <c r="Q12" i="35"/>
  <c r="H11" i="19"/>
  <c r="H20" i="35" s="1"/>
  <c r="Q20" i="35"/>
  <c r="H4" i="19"/>
  <c r="H13" i="35" s="1"/>
  <c r="Q13" i="35"/>
  <c r="G46" i="16"/>
  <c r="H8" i="19"/>
  <c r="H17" i="35" s="1"/>
  <c r="Q17" i="35"/>
  <c r="H9" i="19"/>
  <c r="H18" i="35" s="1"/>
  <c r="Q18" i="35"/>
  <c r="L30" i="45"/>
  <c r="C30" i="45" s="1"/>
  <c r="L26" i="45"/>
  <c r="C26" i="45" s="1"/>
  <c r="L61" i="45" s="1"/>
  <c r="D46" i="16"/>
  <c r="L20" i="45"/>
  <c r="C20" i="45" s="1"/>
  <c r="C55" i="45" s="1"/>
  <c r="K25" i="45"/>
  <c r="B25" i="45" s="1"/>
  <c r="B60" i="45" s="1"/>
  <c r="K18" i="45"/>
  <c r="B18" i="45" s="1"/>
  <c r="L15" i="45"/>
  <c r="C15" i="45" s="1"/>
  <c r="L22" i="45"/>
  <c r="C22" i="45" s="1"/>
  <c r="K23" i="45"/>
  <c r="B23" i="45" s="1"/>
  <c r="K17" i="45"/>
  <c r="B17" i="45" s="1"/>
  <c r="K24" i="45"/>
  <c r="B24" i="45" s="1"/>
  <c r="I21" i="17"/>
  <c r="I30" i="45" s="1"/>
  <c r="R30" i="45"/>
  <c r="I13" i="17"/>
  <c r="I22" i="45" s="1"/>
  <c r="R22" i="45"/>
  <c r="I20" i="17"/>
  <c r="I29" i="45" s="1"/>
  <c r="R29" i="45"/>
  <c r="Q23" i="45"/>
  <c r="I14" i="17"/>
  <c r="I23" i="45" s="1"/>
  <c r="R23" i="45"/>
  <c r="H7" i="17"/>
  <c r="H16" i="45" s="1"/>
  <c r="Q16" i="45"/>
  <c r="H20" i="17"/>
  <c r="H29" i="45" s="1"/>
  <c r="Q29" i="45"/>
  <c r="I15" i="17"/>
  <c r="I24" i="45" s="1"/>
  <c r="R24" i="45"/>
  <c r="H10" i="17"/>
  <c r="H19" i="45" s="1"/>
  <c r="Q19" i="45"/>
  <c r="H3" i="17"/>
  <c r="H12" i="45" s="1"/>
  <c r="Q12" i="45"/>
  <c r="H12" i="17"/>
  <c r="H21" i="45" s="1"/>
  <c r="Q21" i="45"/>
  <c r="H18" i="17"/>
  <c r="H27" i="45" s="1"/>
  <c r="Q27" i="45"/>
  <c r="H15" i="17"/>
  <c r="H24" i="45" s="1"/>
  <c r="Q24" i="45"/>
  <c r="H6" i="17"/>
  <c r="H15" i="45" s="1"/>
  <c r="Q15" i="45"/>
  <c r="I18" i="17"/>
  <c r="I27" i="45" s="1"/>
  <c r="R27" i="45"/>
  <c r="I16" i="17"/>
  <c r="I25" i="45" s="1"/>
  <c r="R25" i="45"/>
  <c r="I19" i="17"/>
  <c r="I28" i="45" s="1"/>
  <c r="R28" i="45"/>
  <c r="E46" i="16"/>
  <c r="H5" i="17"/>
  <c r="H14" i="45" s="1"/>
  <c r="Q14" i="45"/>
  <c r="H9" i="17"/>
  <c r="H18" i="45" s="1"/>
  <c r="Q18" i="45"/>
  <c r="F46" i="16"/>
  <c r="I46" i="16"/>
  <c r="H4" i="17"/>
  <c r="H13" i="45" s="1"/>
  <c r="Q13" i="45"/>
  <c r="H21" i="17"/>
  <c r="H30" i="45" s="1"/>
  <c r="Q30" i="45"/>
  <c r="H17" i="17"/>
  <c r="H26" i="45" s="1"/>
  <c r="Q26" i="45"/>
  <c r="H8" i="17"/>
  <c r="H17" i="45" s="1"/>
  <c r="Q17" i="45"/>
  <c r="H11" i="17"/>
  <c r="H20" i="45" s="1"/>
  <c r="Q20" i="45"/>
  <c r="I17" i="17"/>
  <c r="I26" i="45" s="1"/>
  <c r="R26" i="45"/>
  <c r="H16" i="17"/>
  <c r="H25" i="45" s="1"/>
  <c r="Q25" i="45"/>
  <c r="H13" i="17"/>
  <c r="H22" i="45" s="1"/>
  <c r="Q22" i="45"/>
  <c r="H19" i="17"/>
  <c r="H28" i="45" s="1"/>
  <c r="Q28" i="45"/>
  <c r="H46" i="16"/>
  <c r="C28" i="36"/>
  <c r="C63" i="36"/>
  <c r="L63" i="36"/>
  <c r="B14" i="36"/>
  <c r="K49" i="36"/>
  <c r="B49" i="36"/>
  <c r="G4" i="40"/>
  <c r="P38" i="40"/>
  <c r="G13" i="40"/>
  <c r="P47" i="40"/>
  <c r="B62" i="35"/>
  <c r="K62" i="35"/>
  <c r="K27" i="16"/>
  <c r="B27" i="35"/>
  <c r="L53" i="35"/>
  <c r="C18" i="35"/>
  <c r="C53" i="35"/>
  <c r="E8" i="40"/>
  <c r="N42" i="40"/>
  <c r="G11" i="40"/>
  <c r="P45" i="40"/>
  <c r="N45" i="40"/>
  <c r="E11" i="40"/>
  <c r="D9" i="40"/>
  <c r="M43" i="40"/>
  <c r="K64" i="45"/>
  <c r="B64" i="45"/>
  <c r="D15" i="40"/>
  <c r="M49" i="40"/>
  <c r="P49" i="40"/>
  <c r="G15" i="40"/>
  <c r="M53" i="40"/>
  <c r="D19" i="40"/>
  <c r="B54" i="47"/>
  <c r="K54" i="47"/>
  <c r="B19" i="47"/>
  <c r="A40" i="40"/>
  <c r="E40" i="40" s="1"/>
  <c r="F6" i="40"/>
  <c r="O40" i="40"/>
  <c r="G5" i="40"/>
  <c r="P39" i="40"/>
  <c r="M45" i="40"/>
  <c r="D11" i="40"/>
  <c r="G14" i="40"/>
  <c r="P48" i="40"/>
  <c r="M51" i="40"/>
  <c r="D17" i="40"/>
  <c r="O39" i="40"/>
  <c r="F5" i="40"/>
  <c r="A39" i="40"/>
  <c r="E39" i="40" s="1"/>
  <c r="H35" i="45"/>
  <c r="Q45" i="45"/>
  <c r="H10" i="16"/>
  <c r="G16" i="19"/>
  <c r="G25" i="35" s="1"/>
  <c r="G20" i="26"/>
  <c r="G29" i="47" s="1"/>
  <c r="C22" i="36"/>
  <c r="L57" i="36"/>
  <c r="C57" i="36"/>
  <c r="I6" i="17"/>
  <c r="I15" i="45" s="1"/>
  <c r="E4" i="17"/>
  <c r="E13" i="45" s="1"/>
  <c r="C45" i="17"/>
  <c r="L45" i="17"/>
  <c r="K60" i="45"/>
  <c r="B27" i="47"/>
  <c r="K62" i="47"/>
  <c r="B62" i="47"/>
  <c r="C19" i="40"/>
  <c r="L53" i="40"/>
  <c r="C53" i="40"/>
  <c r="K47" i="45"/>
  <c r="B47" i="45"/>
  <c r="D19" i="19"/>
  <c r="D28" i="35" s="1"/>
  <c r="G16" i="17"/>
  <c r="G25" i="45" s="1"/>
  <c r="B19" i="36"/>
  <c r="K54" i="36"/>
  <c r="B54" i="36"/>
  <c r="E7" i="26"/>
  <c r="E16" i="47" s="1"/>
  <c r="A37" i="26"/>
  <c r="F3" i="26"/>
  <c r="F12" i="47" s="1"/>
  <c r="I21" i="19"/>
  <c r="I30" i="35" s="1"/>
  <c r="B47" i="17"/>
  <c r="K47" i="17"/>
  <c r="L50" i="35"/>
  <c r="C15" i="35"/>
  <c r="L15" i="16"/>
  <c r="C50" i="35"/>
  <c r="D11" i="47"/>
  <c r="M46" i="47"/>
  <c r="C39" i="40"/>
  <c r="C5" i="40"/>
  <c r="L39" i="40"/>
  <c r="L61" i="47"/>
  <c r="C61" i="47"/>
  <c r="C26" i="47"/>
  <c r="C21" i="35"/>
  <c r="L21" i="16"/>
  <c r="L56" i="35"/>
  <c r="C56" i="35"/>
  <c r="M26" i="36"/>
  <c r="M26" i="16" s="1"/>
  <c r="D17" i="20"/>
  <c r="D26" i="36" s="1"/>
  <c r="C15" i="36"/>
  <c r="L50" i="36"/>
  <c r="C50" i="36"/>
  <c r="C14" i="36"/>
  <c r="C49" i="36"/>
  <c r="L49" i="36"/>
  <c r="E16" i="17"/>
  <c r="E25" i="45" s="1"/>
  <c r="R46" i="36"/>
  <c r="I11" i="36"/>
  <c r="M12" i="36"/>
  <c r="M12" i="16" s="1"/>
  <c r="D3" i="20"/>
  <c r="D12" i="36" s="1"/>
  <c r="A53" i="26"/>
  <c r="F19" i="26"/>
  <c r="F28" i="47" s="1"/>
  <c r="L51" i="19"/>
  <c r="C20" i="19"/>
  <c r="C21" i="54"/>
  <c r="C51" i="19"/>
  <c r="A49" i="26"/>
  <c r="F15" i="26"/>
  <c r="F24" i="47" s="1"/>
  <c r="D20" i="19"/>
  <c r="D29" i="35" s="1"/>
  <c r="K55" i="41"/>
  <c r="B55" i="41"/>
  <c r="B20" i="41"/>
  <c r="C49" i="41"/>
  <c r="L49" i="41"/>
  <c r="C14" i="41"/>
  <c r="I5" i="19"/>
  <c r="I14" i="35" s="1"/>
  <c r="B10" i="26"/>
  <c r="B44" i="26"/>
  <c r="K44" i="26"/>
  <c r="P17" i="36"/>
  <c r="P17" i="16" s="1"/>
  <c r="G8" i="20"/>
  <c r="G17" i="36" s="1"/>
  <c r="C43" i="17"/>
  <c r="L43" i="17"/>
  <c r="C39" i="26"/>
  <c r="C5" i="26"/>
  <c r="L39" i="26"/>
  <c r="L38" i="26"/>
  <c r="C38" i="26"/>
  <c r="C4" i="26"/>
  <c r="B43" i="26"/>
  <c r="K43" i="26"/>
  <c r="B9" i="26"/>
  <c r="A37" i="17"/>
  <c r="F5" i="17"/>
  <c r="F14" i="45" s="1"/>
  <c r="L55" i="36"/>
  <c r="C20" i="36"/>
  <c r="C55" i="36"/>
  <c r="E11" i="41"/>
  <c r="N46" i="41"/>
  <c r="C61" i="45"/>
  <c r="I18" i="20"/>
  <c r="I27" i="36" s="1"/>
  <c r="R27" i="36"/>
  <c r="R27" i="16" s="1"/>
  <c r="K41" i="20"/>
  <c r="B7" i="20"/>
  <c r="B41" i="20"/>
  <c r="B29" i="36"/>
  <c r="B64" i="36"/>
  <c r="K64" i="36"/>
  <c r="G6" i="26"/>
  <c r="G15" i="47" s="1"/>
  <c r="G17" i="26"/>
  <c r="G26" i="47" s="1"/>
  <c r="C56" i="45"/>
  <c r="L56" i="45"/>
  <c r="F11" i="41"/>
  <c r="O46" i="41"/>
  <c r="C51" i="45"/>
  <c r="L51" i="45"/>
  <c r="L47" i="36"/>
  <c r="C12" i="36"/>
  <c r="C47" i="36"/>
  <c r="K21" i="16"/>
  <c r="K56" i="35"/>
  <c r="B21" i="35"/>
  <c r="B56" i="35"/>
  <c r="P26" i="36"/>
  <c r="P26" i="16" s="1"/>
  <c r="G17" i="20"/>
  <c r="G26" i="36" s="1"/>
  <c r="A41" i="19"/>
  <c r="F10" i="19"/>
  <c r="F19" i="35" s="1"/>
  <c r="L64" i="45"/>
  <c r="C64" i="45"/>
  <c r="G21" i="26"/>
  <c r="G30" i="47" s="1"/>
  <c r="F20" i="26"/>
  <c r="F29" i="47" s="1"/>
  <c r="A54" i="26"/>
  <c r="B12" i="54"/>
  <c r="B11" i="19"/>
  <c r="K42" i="19"/>
  <c r="B42" i="19"/>
  <c r="D11" i="17"/>
  <c r="D20" i="45" s="1"/>
  <c r="N24" i="36"/>
  <c r="N24" i="16" s="1"/>
  <c r="E15" i="20"/>
  <c r="E24" i="36" s="1"/>
  <c r="G9" i="17"/>
  <c r="G18" i="45" s="1"/>
  <c r="B52" i="45"/>
  <c r="K52" i="45"/>
  <c r="B55" i="47"/>
  <c r="K55" i="47"/>
  <c r="B20" i="47"/>
  <c r="P25" i="36"/>
  <c r="P25" i="16" s="1"/>
  <c r="G16" i="20"/>
  <c r="G25" i="36" s="1"/>
  <c r="B43" i="40"/>
  <c r="B9" i="40"/>
  <c r="K43" i="40"/>
  <c r="L64" i="35"/>
  <c r="L29" i="16"/>
  <c r="C29" i="35"/>
  <c r="C64" i="35"/>
  <c r="C18" i="19"/>
  <c r="L49" i="19"/>
  <c r="C19" i="54"/>
  <c r="C49" i="19"/>
  <c r="D18" i="26"/>
  <c r="D27" i="47" s="1"/>
  <c r="H11" i="20"/>
  <c r="H20" i="36" s="1"/>
  <c r="Q20" i="36"/>
  <c r="Q20" i="16" s="1"/>
  <c r="M13" i="36"/>
  <c r="M13" i="16" s="1"/>
  <c r="D4" i="20"/>
  <c r="D13" i="36" s="1"/>
  <c r="A34" i="19"/>
  <c r="F3" i="19"/>
  <c r="F12" i="35" s="1"/>
  <c r="B11" i="40"/>
  <c r="K45" i="40"/>
  <c r="B45" i="40"/>
  <c r="F17" i="19"/>
  <c r="F26" i="35" s="1"/>
  <c r="A48" i="19"/>
  <c r="L44" i="19"/>
  <c r="C13" i="19"/>
  <c r="C14" i="54"/>
  <c r="C44" i="19"/>
  <c r="M25" i="36"/>
  <c r="M25" i="16" s="1"/>
  <c r="D16" i="20"/>
  <c r="D25" i="36" s="1"/>
  <c r="B16" i="40"/>
  <c r="B50" i="40"/>
  <c r="K50" i="40"/>
  <c r="D13" i="19"/>
  <c r="D22" i="35" s="1"/>
  <c r="O46" i="35"/>
  <c r="O11" i="16"/>
  <c r="F11" i="35"/>
  <c r="F5" i="44"/>
  <c r="A36" i="44"/>
  <c r="K61" i="45"/>
  <c r="B61" i="45"/>
  <c r="E17" i="26"/>
  <c r="E26" i="47" s="1"/>
  <c r="A40" i="19"/>
  <c r="F9" i="19"/>
  <c r="F18" i="35" s="1"/>
  <c r="K60" i="41"/>
  <c r="B25" i="41"/>
  <c r="B60" i="41"/>
  <c r="H11" i="35"/>
  <c r="Q46" i="35"/>
  <c r="Q11" i="16"/>
  <c r="D13" i="26"/>
  <c r="D22" i="47" s="1"/>
  <c r="A46" i="17"/>
  <c r="F14" i="17"/>
  <c r="F23" i="45" s="1"/>
  <c r="Q15" i="36"/>
  <c r="Q15" i="16" s="1"/>
  <c r="H6" i="20"/>
  <c r="H15" i="36" s="1"/>
  <c r="H15" i="16" s="1"/>
  <c r="D15" i="26"/>
  <c r="D24" i="47" s="1"/>
  <c r="C30" i="47"/>
  <c r="L65" i="47"/>
  <c r="C65" i="47"/>
  <c r="L43" i="19"/>
  <c r="C12" i="19"/>
  <c r="C43" i="19"/>
  <c r="C13" i="54"/>
  <c r="B53" i="17"/>
  <c r="K53" i="17"/>
  <c r="C55" i="41"/>
  <c r="C20" i="41"/>
  <c r="L55" i="41"/>
  <c r="F8" i="31"/>
  <c r="A39" i="31"/>
  <c r="A46" i="26"/>
  <c r="F12" i="26"/>
  <c r="F21" i="47" s="1"/>
  <c r="E21" i="17"/>
  <c r="E30" i="45" s="1"/>
  <c r="O26" i="36"/>
  <c r="O26" i="16" s="1"/>
  <c r="A51" i="20"/>
  <c r="F17" i="20"/>
  <c r="L42" i="26"/>
  <c r="C42" i="26"/>
  <c r="C8" i="26"/>
  <c r="B10" i="40"/>
  <c r="K44" i="40"/>
  <c r="B44" i="40"/>
  <c r="E7" i="17"/>
  <c r="E16" i="45" s="1"/>
  <c r="M23" i="36"/>
  <c r="M23" i="16" s="1"/>
  <c r="D14" i="20"/>
  <c r="D23" i="36" s="1"/>
  <c r="C51" i="47"/>
  <c r="L51" i="47"/>
  <c r="C16" i="47"/>
  <c r="I16" i="20"/>
  <c r="I25" i="36" s="1"/>
  <c r="R25" i="36"/>
  <c r="R25" i="16" s="1"/>
  <c r="B40" i="40"/>
  <c r="B6" i="40"/>
  <c r="K40" i="40"/>
  <c r="L55" i="40"/>
  <c r="C21" i="40"/>
  <c r="C55" i="40"/>
  <c r="D12" i="17"/>
  <c r="D21" i="45" s="1"/>
  <c r="C45" i="19"/>
  <c r="C15" i="54"/>
  <c r="L45" i="19"/>
  <c r="C14" i="19"/>
  <c r="D8" i="17"/>
  <c r="D17" i="45" s="1"/>
  <c r="F8" i="21"/>
  <c r="A39" i="21"/>
  <c r="I13" i="19"/>
  <c r="I22" i="35" s="1"/>
  <c r="K59" i="41"/>
  <c r="B59" i="41"/>
  <c r="B24" i="41"/>
  <c r="G15" i="19"/>
  <c r="G24" i="35" s="1"/>
  <c r="B17" i="36"/>
  <c r="B52" i="36"/>
  <c r="K52" i="36"/>
  <c r="E11" i="19"/>
  <c r="E20" i="35" s="1"/>
  <c r="D10" i="26"/>
  <c r="D19" i="47" s="1"/>
  <c r="I7" i="19"/>
  <c r="I16" i="35" s="1"/>
  <c r="D20" i="17"/>
  <c r="D29" i="45" s="1"/>
  <c r="B11" i="47"/>
  <c r="K46" i="47"/>
  <c r="L49" i="17"/>
  <c r="C49" i="17"/>
  <c r="L48" i="40"/>
  <c r="C14" i="40"/>
  <c r="C48" i="40"/>
  <c r="Q31" i="36"/>
  <c r="Q31" i="16" s="1"/>
  <c r="H22" i="20"/>
  <c r="H31" i="36" s="1"/>
  <c r="H31" i="16" s="1"/>
  <c r="B19" i="26"/>
  <c r="B53" i="26"/>
  <c r="K53" i="26"/>
  <c r="K49" i="20"/>
  <c r="B49" i="20"/>
  <c r="B15" i="20"/>
  <c r="B48" i="26"/>
  <c r="K48" i="26"/>
  <c r="B14" i="26"/>
  <c r="C21" i="47"/>
  <c r="L56" i="47"/>
  <c r="C56" i="47"/>
  <c r="B48" i="45"/>
  <c r="K48" i="45"/>
  <c r="E13" i="19"/>
  <c r="E22" i="35" s="1"/>
  <c r="B42" i="40"/>
  <c r="B8" i="40"/>
  <c r="K42" i="40"/>
  <c r="L51" i="41"/>
  <c r="C51" i="41"/>
  <c r="C16" i="41"/>
  <c r="P19" i="36"/>
  <c r="P19" i="16" s="1"/>
  <c r="G10" i="20"/>
  <c r="G19" i="36" s="1"/>
  <c r="C54" i="40"/>
  <c r="C20" i="40"/>
  <c r="L54" i="40"/>
  <c r="D21" i="19"/>
  <c r="D30" i="35" s="1"/>
  <c r="I19" i="20"/>
  <c r="I28" i="36" s="1"/>
  <c r="R28" i="36"/>
  <c r="R28" i="16" s="1"/>
  <c r="C64" i="41"/>
  <c r="C29" i="41"/>
  <c r="L64" i="41"/>
  <c r="F9" i="21"/>
  <c r="A40" i="21"/>
  <c r="F6" i="17"/>
  <c r="F15" i="45" s="1"/>
  <c r="E3" i="17"/>
  <c r="E12" i="45" s="1"/>
  <c r="E4" i="19"/>
  <c r="E13" i="35" s="1"/>
  <c r="Q18" i="36"/>
  <c r="Q18" i="16" s="1"/>
  <c r="H9" i="20"/>
  <c r="H18" i="36" s="1"/>
  <c r="F10" i="31"/>
  <c r="A41" i="31"/>
  <c r="B4" i="26"/>
  <c r="K38" i="26"/>
  <c r="B38" i="26"/>
  <c r="I10" i="17"/>
  <c r="I19" i="45" s="1"/>
  <c r="L52" i="19"/>
  <c r="C21" i="19"/>
  <c r="C52" i="19"/>
  <c r="C22" i="54"/>
  <c r="I18" i="19"/>
  <c r="I27" i="35" s="1"/>
  <c r="D5" i="19"/>
  <c r="D14" i="35" s="1"/>
  <c r="L20" i="16"/>
  <c r="L55" i="35"/>
  <c r="C55" i="35"/>
  <c r="C20" i="35"/>
  <c r="K37" i="20"/>
  <c r="B37" i="20"/>
  <c r="B3" i="20"/>
  <c r="E3" i="26"/>
  <c r="E12" i="47" s="1"/>
  <c r="B16" i="26"/>
  <c r="K50" i="26"/>
  <c r="B50" i="26"/>
  <c r="L59" i="47"/>
  <c r="C24" i="47"/>
  <c r="C59" i="47"/>
  <c r="M21" i="36"/>
  <c r="M21" i="16" s="1"/>
  <c r="D12" i="20"/>
  <c r="D21" i="36" s="1"/>
  <c r="C49" i="26"/>
  <c r="C15" i="26"/>
  <c r="L49" i="26"/>
  <c r="C6" i="19"/>
  <c r="C37" i="19"/>
  <c r="C7" i="54"/>
  <c r="L37" i="19"/>
  <c r="M32" i="36"/>
  <c r="M32" i="16" s="1"/>
  <c r="D23" i="20"/>
  <c r="D32" i="36" s="1"/>
  <c r="D32" i="16" s="1"/>
  <c r="M19" i="36"/>
  <c r="M19" i="16" s="1"/>
  <c r="D10" i="20"/>
  <c r="D19" i="36" s="1"/>
  <c r="H18" i="20"/>
  <c r="H27" i="36" s="1"/>
  <c r="H27" i="16" s="1"/>
  <c r="Q27" i="36"/>
  <c r="Q27" i="16" s="1"/>
  <c r="K57" i="36"/>
  <c r="B22" i="36"/>
  <c r="B57" i="36"/>
  <c r="A50" i="19"/>
  <c r="F19" i="19"/>
  <c r="F28" i="35" s="1"/>
  <c r="G14" i="19"/>
  <c r="G23" i="35" s="1"/>
  <c r="C16" i="26"/>
  <c r="C50" i="26"/>
  <c r="L50" i="26"/>
  <c r="F4" i="19"/>
  <c r="F13" i="35" s="1"/>
  <c r="A35" i="19"/>
  <c r="C11" i="54"/>
  <c r="C10" i="19"/>
  <c r="C41" i="19"/>
  <c r="L41" i="19"/>
  <c r="M14" i="36"/>
  <c r="M14" i="16" s="1"/>
  <c r="D5" i="20"/>
  <c r="D14" i="36" s="1"/>
  <c r="K49" i="17"/>
  <c r="B49" i="17"/>
  <c r="B21" i="20"/>
  <c r="K55" i="20"/>
  <c r="B55" i="20"/>
  <c r="F12" i="19"/>
  <c r="F21" i="35" s="1"/>
  <c r="A43" i="19"/>
  <c r="K36" i="26"/>
  <c r="B36" i="26"/>
  <c r="B46" i="47" s="1"/>
  <c r="B2" i="26"/>
  <c r="K52" i="20"/>
  <c r="B52" i="20"/>
  <c r="B18" i="20"/>
  <c r="B61" i="47"/>
  <c r="B26" i="47"/>
  <c r="K61" i="47"/>
  <c r="E8" i="26"/>
  <c r="E17" i="47" s="1"/>
  <c r="Q25" i="36"/>
  <c r="Q25" i="16" s="1"/>
  <c r="H16" i="20"/>
  <c r="H25" i="36" s="1"/>
  <c r="D9" i="19"/>
  <c r="D18" i="35" s="1"/>
  <c r="K41" i="19"/>
  <c r="B11" i="54"/>
  <c r="B41" i="19"/>
  <c r="B10" i="19"/>
  <c r="G4" i="19"/>
  <c r="G13" i="35" s="1"/>
  <c r="E11" i="36"/>
  <c r="N46" i="36"/>
  <c r="P20" i="36"/>
  <c r="P20" i="16" s="1"/>
  <c r="G11" i="20"/>
  <c r="G20" i="36" s="1"/>
  <c r="G17" i="19"/>
  <c r="G26" i="35" s="1"/>
  <c r="C49" i="40"/>
  <c r="L49" i="40"/>
  <c r="C15" i="40"/>
  <c r="I14" i="20"/>
  <c r="I23" i="36" s="1"/>
  <c r="R23" i="36"/>
  <c r="R23" i="16" s="1"/>
  <c r="F5" i="21"/>
  <c r="A36" i="21"/>
  <c r="N21" i="36"/>
  <c r="N21" i="16" s="1"/>
  <c r="E12" i="20"/>
  <c r="E21" i="36" s="1"/>
  <c r="C39" i="20"/>
  <c r="C5" i="20"/>
  <c r="L39" i="20"/>
  <c r="B20" i="19"/>
  <c r="K51" i="19"/>
  <c r="B21" i="54"/>
  <c r="B51" i="19"/>
  <c r="H5" i="20"/>
  <c r="H14" i="36" s="1"/>
  <c r="H14" i="16" s="1"/>
  <c r="Q14" i="36"/>
  <c r="Q14" i="16" s="1"/>
  <c r="N20" i="36"/>
  <c r="N20" i="16" s="1"/>
  <c r="E11" i="20"/>
  <c r="E20" i="36" s="1"/>
  <c r="I9" i="19"/>
  <c r="I18" i="35" s="1"/>
  <c r="F13" i="26"/>
  <c r="F22" i="47" s="1"/>
  <c r="A47" i="26"/>
  <c r="D3" i="19"/>
  <c r="D12" i="35" s="1"/>
  <c r="O21" i="36"/>
  <c r="O21" i="16" s="1"/>
  <c r="F12" i="20"/>
  <c r="A46" i="20"/>
  <c r="P43" i="40"/>
  <c r="G9" i="40"/>
  <c r="E13" i="40"/>
  <c r="N47" i="40"/>
  <c r="D12" i="40"/>
  <c r="M46" i="40"/>
  <c r="C3" i="40"/>
  <c r="L37" i="40"/>
  <c r="C37" i="40"/>
  <c r="G6" i="40"/>
  <c r="P40" i="40"/>
  <c r="E6" i="40"/>
  <c r="N40" i="40"/>
  <c r="E16" i="40"/>
  <c r="N50" i="40"/>
  <c r="M37" i="40"/>
  <c r="D3" i="40"/>
  <c r="N19" i="36"/>
  <c r="N19" i="16" s="1"/>
  <c r="E10" i="20"/>
  <c r="E19" i="36" s="1"/>
  <c r="F5" i="31"/>
  <c r="A36" i="31"/>
  <c r="K34" i="17"/>
  <c r="B34" i="17"/>
  <c r="L50" i="20"/>
  <c r="C16" i="20"/>
  <c r="C50" i="20"/>
  <c r="M40" i="40"/>
  <c r="D6" i="40"/>
  <c r="P50" i="40"/>
  <c r="G16" i="40"/>
  <c r="B30" i="35"/>
  <c r="K65" i="35"/>
  <c r="B65" i="35"/>
  <c r="K30" i="16"/>
  <c r="L48" i="35"/>
  <c r="L13" i="16"/>
  <c r="C48" i="35"/>
  <c r="C13" i="35"/>
  <c r="B58" i="35"/>
  <c r="K23" i="16"/>
  <c r="B23" i="35"/>
  <c r="K58" i="35"/>
  <c r="C62" i="35"/>
  <c r="L62" i="35"/>
  <c r="C27" i="35"/>
  <c r="D14" i="40"/>
  <c r="M48" i="40"/>
  <c r="A48" i="40"/>
  <c r="E48" i="40" s="1"/>
  <c r="F14" i="40"/>
  <c r="O48" i="40"/>
  <c r="D20" i="40"/>
  <c r="M54" i="40"/>
  <c r="M50" i="40"/>
  <c r="D16" i="40"/>
  <c r="K54" i="45"/>
  <c r="B54" i="45"/>
  <c r="E15" i="40"/>
  <c r="N49" i="40"/>
  <c r="M55" i="40"/>
  <c r="D21" i="40"/>
  <c r="E19" i="40"/>
  <c r="N53" i="40"/>
  <c r="M47" i="40"/>
  <c r="D13" i="40"/>
  <c r="B46" i="17"/>
  <c r="K46" i="17"/>
  <c r="R16" i="36"/>
  <c r="R16" i="16" s="1"/>
  <c r="I7" i="20"/>
  <c r="I16" i="36" s="1"/>
  <c r="C53" i="26"/>
  <c r="C19" i="26"/>
  <c r="L53" i="26"/>
  <c r="B20" i="26"/>
  <c r="K54" i="26"/>
  <c r="B54" i="26"/>
  <c r="C48" i="45"/>
  <c r="L48" i="45"/>
  <c r="M30" i="36"/>
  <c r="M30" i="16" s="1"/>
  <c r="D21" i="20"/>
  <c r="D30" i="36" s="1"/>
  <c r="I11" i="17"/>
  <c r="I20" i="45" s="1"/>
  <c r="C15" i="20"/>
  <c r="L49" i="20"/>
  <c r="C49" i="20"/>
  <c r="C18" i="20"/>
  <c r="C52" i="20"/>
  <c r="L52" i="20"/>
  <c r="B67" i="36"/>
  <c r="B67" i="16" s="1"/>
  <c r="K32" i="16"/>
  <c r="K67" i="36"/>
  <c r="K67" i="16" s="1"/>
  <c r="B32" i="36"/>
  <c r="B32" i="16" s="1"/>
  <c r="B22" i="35"/>
  <c r="B57" i="35"/>
  <c r="K57" i="35"/>
  <c r="K22" i="16"/>
  <c r="E10" i="26"/>
  <c r="E19" i="47" s="1"/>
  <c r="K49" i="41"/>
  <c r="B14" i="41"/>
  <c r="B49" i="41"/>
  <c r="C10" i="20"/>
  <c r="L44" i="20"/>
  <c r="C44" i="20"/>
  <c r="Q19" i="36"/>
  <c r="Q19" i="16" s="1"/>
  <c r="H10" i="20"/>
  <c r="H19" i="36" s="1"/>
  <c r="H19" i="16" s="1"/>
  <c r="C24" i="35"/>
  <c r="C59" i="35"/>
  <c r="L59" i="35"/>
  <c r="G10" i="19"/>
  <c r="G19" i="35" s="1"/>
  <c r="P22" i="36"/>
  <c r="P22" i="16" s="1"/>
  <c r="G13" i="20"/>
  <c r="G22" i="36" s="1"/>
  <c r="L67" i="36"/>
  <c r="L67" i="16" s="1"/>
  <c r="C32" i="36"/>
  <c r="C32" i="16" s="1"/>
  <c r="C67" i="36"/>
  <c r="C67" i="16" s="1"/>
  <c r="L32" i="16"/>
  <c r="K56" i="36"/>
  <c r="B56" i="36"/>
  <c r="B21" i="36"/>
  <c r="B40" i="26"/>
  <c r="K40" i="26"/>
  <c r="B6" i="26"/>
  <c r="H7" i="20"/>
  <c r="H16" i="36" s="1"/>
  <c r="H16" i="16" s="1"/>
  <c r="Q16" i="36"/>
  <c r="Q16" i="16" s="1"/>
  <c r="B55" i="45"/>
  <c r="K55" i="45"/>
  <c r="F8" i="26"/>
  <c r="F17" i="47" s="1"/>
  <c r="A42" i="26"/>
  <c r="E19" i="17"/>
  <c r="E28" i="45" s="1"/>
  <c r="F4" i="17"/>
  <c r="F13" i="45" s="1"/>
  <c r="A36" i="17"/>
  <c r="L57" i="45"/>
  <c r="C57" i="45"/>
  <c r="A40" i="26"/>
  <c r="F6" i="26"/>
  <c r="F15" i="47" s="1"/>
  <c r="K64" i="47"/>
  <c r="B29" i="47"/>
  <c r="B64" i="47"/>
  <c r="C13" i="20"/>
  <c r="C47" i="20"/>
  <c r="L47" i="20"/>
  <c r="O30" i="36"/>
  <c r="O30" i="16" s="1"/>
  <c r="F21" i="20"/>
  <c r="A55" i="20"/>
  <c r="L56" i="20"/>
  <c r="C22" i="20"/>
  <c r="C56" i="20"/>
  <c r="B40" i="20"/>
  <c r="B6" i="20"/>
  <c r="K40" i="20"/>
  <c r="F11" i="31"/>
  <c r="A42" i="31"/>
  <c r="B16" i="35"/>
  <c r="B51" i="35"/>
  <c r="K51" i="35"/>
  <c r="F21" i="26"/>
  <c r="F30" i="47" s="1"/>
  <c r="A55" i="26"/>
  <c r="B53" i="35"/>
  <c r="K53" i="35"/>
  <c r="B18" i="35"/>
  <c r="K18" i="16"/>
  <c r="L48" i="36"/>
  <c r="C48" i="36"/>
  <c r="C13" i="36"/>
  <c r="N31" i="36"/>
  <c r="N31" i="16" s="1"/>
  <c r="E22" i="20"/>
  <c r="E31" i="36" s="1"/>
  <c r="E31" i="16" s="1"/>
  <c r="A40" i="44"/>
  <c r="F9" i="44"/>
  <c r="F18" i="42" s="1"/>
  <c r="F18" i="48" s="1"/>
  <c r="K42" i="26"/>
  <c r="B42" i="26"/>
  <c r="B8" i="26"/>
  <c r="E12" i="26"/>
  <c r="E21" i="47" s="1"/>
  <c r="K11" i="16"/>
  <c r="B11" i="35"/>
  <c r="K46" i="35"/>
  <c r="H11" i="36"/>
  <c r="Q46" i="36"/>
  <c r="C9" i="54"/>
  <c r="C8" i="19"/>
  <c r="L39" i="19"/>
  <c r="C39" i="19"/>
  <c r="E18" i="19"/>
  <c r="E27" i="35" s="1"/>
  <c r="E17" i="17"/>
  <c r="E26" i="45" s="1"/>
  <c r="B23" i="41"/>
  <c r="K58" i="41"/>
  <c r="B58" i="41"/>
  <c r="F9" i="17"/>
  <c r="F18" i="45" s="1"/>
  <c r="A41" i="17"/>
  <c r="L65" i="36"/>
  <c r="C30" i="36"/>
  <c r="C65" i="36"/>
  <c r="I10" i="20"/>
  <c r="I19" i="36" s="1"/>
  <c r="R19" i="36"/>
  <c r="R19" i="16" s="1"/>
  <c r="A39" i="17"/>
  <c r="F7" i="17"/>
  <c r="F16" i="45" s="1"/>
  <c r="B58" i="45"/>
  <c r="K58" i="45"/>
  <c r="B30" i="47"/>
  <c r="K65" i="47"/>
  <c r="B65" i="47"/>
  <c r="B29" i="35"/>
  <c r="B64" i="35"/>
  <c r="K29" i="16"/>
  <c r="K64" i="35"/>
  <c r="I4" i="17"/>
  <c r="I13" i="45" s="1"/>
  <c r="C49" i="47"/>
  <c r="L49" i="47"/>
  <c r="C14" i="47"/>
  <c r="C53" i="41"/>
  <c r="L53" i="41"/>
  <c r="C18" i="41"/>
  <c r="F12" i="17"/>
  <c r="F21" i="45" s="1"/>
  <c r="A44" i="17"/>
  <c r="K59" i="47"/>
  <c r="B59" i="47"/>
  <c r="B24" i="47"/>
  <c r="G4" i="17"/>
  <c r="G13" i="45" s="1"/>
  <c r="K51" i="41"/>
  <c r="B16" i="41"/>
  <c r="B51" i="41"/>
  <c r="C47" i="47"/>
  <c r="C12" i="47"/>
  <c r="L47" i="47"/>
  <c r="G15" i="17"/>
  <c r="G24" i="45" s="1"/>
  <c r="B49" i="45"/>
  <c r="K49" i="45"/>
  <c r="D13" i="17"/>
  <c r="D22" i="45" s="1"/>
  <c r="K50" i="47"/>
  <c r="B15" i="47"/>
  <c r="B50" i="47"/>
  <c r="C63" i="47"/>
  <c r="L63" i="47"/>
  <c r="C28" i="47"/>
  <c r="B40" i="17"/>
  <c r="K40" i="17"/>
  <c r="L38" i="17"/>
  <c r="C38" i="17"/>
  <c r="K48" i="41"/>
  <c r="B13" i="41"/>
  <c r="B48" i="41"/>
  <c r="L37" i="20"/>
  <c r="C37" i="20"/>
  <c r="C3" i="20"/>
  <c r="L45" i="40"/>
  <c r="C11" i="40"/>
  <c r="C45" i="40"/>
  <c r="K49" i="26"/>
  <c r="B49" i="26"/>
  <c r="B15" i="26"/>
  <c r="B65" i="45"/>
  <c r="K65" i="45"/>
  <c r="K16" i="36"/>
  <c r="K16" i="16" s="1"/>
  <c r="I21" i="20"/>
  <c r="I30" i="36" s="1"/>
  <c r="I30" i="16" s="1"/>
  <c r="R30" i="36"/>
  <c r="R30" i="16" s="1"/>
  <c r="K52" i="35"/>
  <c r="B52" i="35"/>
  <c r="B17" i="35"/>
  <c r="B21" i="26"/>
  <c r="B55" i="26"/>
  <c r="K55" i="26"/>
  <c r="E9" i="19"/>
  <c r="E18" i="35" s="1"/>
  <c r="A43" i="26"/>
  <c r="F9" i="26"/>
  <c r="F18" i="47" s="1"/>
  <c r="F11" i="36"/>
  <c r="O46" i="36"/>
  <c r="K20" i="16"/>
  <c r="B55" i="35"/>
  <c r="K55" i="35"/>
  <c r="B20" i="35"/>
  <c r="C19" i="41"/>
  <c r="L54" i="41"/>
  <c r="C54" i="41"/>
  <c r="C50" i="45"/>
  <c r="L50" i="45"/>
  <c r="C51" i="26"/>
  <c r="C17" i="26"/>
  <c r="L51" i="26"/>
  <c r="F11" i="47"/>
  <c r="O46" i="47"/>
  <c r="L51" i="35"/>
  <c r="C51" i="35"/>
  <c r="C16" i="35"/>
  <c r="L19" i="36"/>
  <c r="L19" i="16" s="1"/>
  <c r="A40" i="17"/>
  <c r="F8" i="17"/>
  <c r="F17" i="45" s="1"/>
  <c r="I7" i="17"/>
  <c r="I16" i="45" s="1"/>
  <c r="D19" i="17"/>
  <c r="D28" i="45" s="1"/>
  <c r="Q28" i="36"/>
  <c r="Q28" i="16" s="1"/>
  <c r="H19" i="20"/>
  <c r="H28" i="36" s="1"/>
  <c r="H28" i="16" s="1"/>
  <c r="K62" i="41"/>
  <c r="B27" i="41"/>
  <c r="B62" i="41"/>
  <c r="B20" i="40"/>
  <c r="K54" i="40"/>
  <c r="B54" i="40"/>
  <c r="R46" i="47"/>
  <c r="I11" i="47"/>
  <c r="C6" i="54"/>
  <c r="L36" i="19"/>
  <c r="C36" i="19"/>
  <c r="C5" i="19"/>
  <c r="E5" i="17"/>
  <c r="E14" i="45" s="1"/>
  <c r="E10" i="17"/>
  <c r="E19" i="45" s="1"/>
  <c r="B20" i="54"/>
  <c r="K50" i="19"/>
  <c r="B50" i="19"/>
  <c r="B19" i="19"/>
  <c r="G12" i="26"/>
  <c r="G21" i="47" s="1"/>
  <c r="P18" i="36"/>
  <c r="P18" i="16" s="1"/>
  <c r="G9" i="20"/>
  <c r="G18" i="36" s="1"/>
  <c r="G8" i="17"/>
  <c r="G17" i="45" s="1"/>
  <c r="D21" i="26"/>
  <c r="D30" i="47" s="1"/>
  <c r="M55" i="26"/>
  <c r="M65" i="47" s="1"/>
  <c r="E9" i="26"/>
  <c r="E18" i="47" s="1"/>
  <c r="C48" i="17"/>
  <c r="L48" i="17"/>
  <c r="N22" i="36"/>
  <c r="N22" i="16" s="1"/>
  <c r="E13" i="20"/>
  <c r="E22" i="36" s="1"/>
  <c r="E14" i="17"/>
  <c r="E23" i="45" s="1"/>
  <c r="A48" i="17"/>
  <c r="F16" i="17"/>
  <c r="F25" i="45" s="1"/>
  <c r="D4" i="26"/>
  <c r="D13" i="47" s="1"/>
  <c r="C8" i="54"/>
  <c r="L38" i="19"/>
  <c r="C7" i="19"/>
  <c r="C38" i="19"/>
  <c r="B49" i="35"/>
  <c r="K14" i="16"/>
  <c r="K49" i="35"/>
  <c r="B14" i="35"/>
  <c r="D7" i="26"/>
  <c r="D16" i="47" s="1"/>
  <c r="G11" i="26"/>
  <c r="G20" i="47" s="1"/>
  <c r="B22" i="47"/>
  <c r="B57" i="47"/>
  <c r="K57" i="47"/>
  <c r="M28" i="36"/>
  <c r="M28" i="16" s="1"/>
  <c r="D19" i="20"/>
  <c r="D28" i="36" s="1"/>
  <c r="G19" i="17"/>
  <c r="G28" i="45" s="1"/>
  <c r="K45" i="45"/>
  <c r="B35" i="45"/>
  <c r="B10" i="45"/>
  <c r="K10" i="16"/>
  <c r="D18" i="19"/>
  <c r="D27" i="35" s="1"/>
  <c r="O27" i="36"/>
  <c r="O27" i="16" s="1"/>
  <c r="F18" i="20"/>
  <c r="A52" i="20"/>
  <c r="B45" i="19"/>
  <c r="B15" i="54"/>
  <c r="B14" i="19"/>
  <c r="K45" i="19"/>
  <c r="M24" i="36"/>
  <c r="M24" i="16" s="1"/>
  <c r="D15" i="20"/>
  <c r="D24" i="36" s="1"/>
  <c r="D5" i="17"/>
  <c r="D14" i="45" s="1"/>
  <c r="E11" i="47"/>
  <c r="N46" i="47"/>
  <c r="P12" i="36"/>
  <c r="P12" i="16" s="1"/>
  <c r="G3" i="20"/>
  <c r="G12" i="36" s="1"/>
  <c r="L41" i="17"/>
  <c r="C41" i="17"/>
  <c r="H11" i="47"/>
  <c r="Q46" i="47"/>
  <c r="O46" i="45"/>
  <c r="F11" i="45"/>
  <c r="B48" i="19"/>
  <c r="K48" i="19"/>
  <c r="B18" i="54"/>
  <c r="B17" i="19"/>
  <c r="C13" i="40"/>
  <c r="C47" i="40"/>
  <c r="L47" i="40"/>
  <c r="G15" i="26"/>
  <c r="G24" i="47" s="1"/>
  <c r="N12" i="36"/>
  <c r="N12" i="16" s="1"/>
  <c r="E3" i="20"/>
  <c r="E12" i="36" s="1"/>
  <c r="F10" i="44"/>
  <c r="A41" i="44"/>
  <c r="B36" i="16"/>
  <c r="C37" i="17"/>
  <c r="L37" i="17"/>
  <c r="I19" i="19"/>
  <c r="I28" i="35" s="1"/>
  <c r="C15" i="47"/>
  <c r="C50" i="47"/>
  <c r="L50" i="47"/>
  <c r="D7" i="19"/>
  <c r="D16" i="35" s="1"/>
  <c r="L42" i="17"/>
  <c r="C42" i="17"/>
  <c r="K55" i="36"/>
  <c r="B20" i="36"/>
  <c r="B55" i="36"/>
  <c r="D36" i="16"/>
  <c r="M17" i="36"/>
  <c r="M17" i="16" s="1"/>
  <c r="D8" i="20"/>
  <c r="D17" i="36" s="1"/>
  <c r="G9" i="26"/>
  <c r="G18" i="47" s="1"/>
  <c r="K51" i="20"/>
  <c r="B17" i="20"/>
  <c r="B51" i="20"/>
  <c r="L52" i="17"/>
  <c r="C52" i="17"/>
  <c r="O12" i="36"/>
  <c r="O12" i="16" s="1"/>
  <c r="A37" i="20"/>
  <c r="F3" i="20"/>
  <c r="C63" i="45"/>
  <c r="L63" i="45"/>
  <c r="B57" i="41"/>
  <c r="K57" i="41"/>
  <c r="B22" i="41"/>
  <c r="B39" i="17"/>
  <c r="K39" i="17"/>
  <c r="O16" i="36"/>
  <c r="O16" i="16" s="1"/>
  <c r="A41" i="20"/>
  <c r="F7" i="20"/>
  <c r="A51" i="17"/>
  <c r="F19" i="17"/>
  <c r="F28" i="45" s="1"/>
  <c r="E19" i="26"/>
  <c r="E28" i="47" s="1"/>
  <c r="F4" i="31"/>
  <c r="A35" i="31"/>
  <c r="N13" i="36"/>
  <c r="N13" i="16" s="1"/>
  <c r="E4" i="20"/>
  <c r="E13" i="36" s="1"/>
  <c r="D6" i="17"/>
  <c r="D15" i="45" s="1"/>
  <c r="H3" i="20"/>
  <c r="H12" i="36" s="1"/>
  <c r="H12" i="16" s="1"/>
  <c r="Q12" i="36"/>
  <c r="Q12" i="16" s="1"/>
  <c r="B50" i="41"/>
  <c r="K50" i="41"/>
  <c r="B15" i="41"/>
  <c r="B15" i="40"/>
  <c r="B49" i="40"/>
  <c r="K49" i="40"/>
  <c r="I14" i="19"/>
  <c r="I23" i="35" s="1"/>
  <c r="P29" i="36"/>
  <c r="P29" i="16" s="1"/>
  <c r="G20" i="20"/>
  <c r="G29" i="36" s="1"/>
  <c r="E4" i="26"/>
  <c r="E13" i="47" s="1"/>
  <c r="A35" i="44"/>
  <c r="F4" i="44"/>
  <c r="L60" i="47"/>
  <c r="C25" i="47"/>
  <c r="C60" i="47"/>
  <c r="N23" i="36"/>
  <c r="N23" i="16" s="1"/>
  <c r="E14" i="20"/>
  <c r="E23" i="36" s="1"/>
  <c r="C64" i="47"/>
  <c r="C29" i="47"/>
  <c r="L64" i="47"/>
  <c r="E36" i="16"/>
  <c r="R22" i="36"/>
  <c r="R22" i="16" s="1"/>
  <c r="I13" i="20"/>
  <c r="I22" i="36" s="1"/>
  <c r="I22" i="16" s="1"/>
  <c r="A52" i="26"/>
  <c r="F18" i="26"/>
  <c r="F27" i="47" s="1"/>
  <c r="B11" i="20"/>
  <c r="K45" i="20"/>
  <c r="B45" i="20"/>
  <c r="P15" i="36"/>
  <c r="P15" i="16" s="1"/>
  <c r="G6" i="20"/>
  <c r="G15" i="36" s="1"/>
  <c r="C57" i="20"/>
  <c r="C23" i="20"/>
  <c r="L57" i="20"/>
  <c r="B12" i="36"/>
  <c r="K47" i="36"/>
  <c r="B47" i="36"/>
  <c r="D10" i="17"/>
  <c r="D19" i="45" s="1"/>
  <c r="F11" i="26"/>
  <c r="F20" i="47" s="1"/>
  <c r="A45" i="26"/>
  <c r="B41" i="40"/>
  <c r="B7" i="40"/>
  <c r="K41" i="40"/>
  <c r="K38" i="20"/>
  <c r="B38" i="20"/>
  <c r="B4" i="20"/>
  <c r="A39" i="26"/>
  <c r="F5" i="26"/>
  <c r="F14" i="47" s="1"/>
  <c r="K26" i="36"/>
  <c r="K26" i="16" s="1"/>
  <c r="O20" i="36"/>
  <c r="O20" i="16" s="1"/>
  <c r="F11" i="20"/>
  <c r="A45" i="20"/>
  <c r="A46" i="31"/>
  <c r="F15" i="31"/>
  <c r="F7" i="19"/>
  <c r="F16" i="35" s="1"/>
  <c r="A38" i="19"/>
  <c r="D15" i="19"/>
  <c r="D24" i="35" s="1"/>
  <c r="A40" i="31"/>
  <c r="F9" i="31"/>
  <c r="G13" i="19"/>
  <c r="G22" i="35" s="1"/>
  <c r="L38" i="20"/>
  <c r="C4" i="20"/>
  <c r="C38" i="20"/>
  <c r="C12" i="40"/>
  <c r="C46" i="40"/>
  <c r="L46" i="40"/>
  <c r="K38" i="17"/>
  <c r="B38" i="17"/>
  <c r="C21" i="41"/>
  <c r="C56" i="41"/>
  <c r="L56" i="41"/>
  <c r="G36" i="16"/>
  <c r="K47" i="20"/>
  <c r="B47" i="20"/>
  <c r="B13" i="20"/>
  <c r="H4" i="20"/>
  <c r="H13" i="36" s="1"/>
  <c r="H13" i="16" s="1"/>
  <c r="Q13" i="36"/>
  <c r="Q13" i="16" s="1"/>
  <c r="K54" i="20"/>
  <c r="B20" i="20"/>
  <c r="B54" i="20"/>
  <c r="B50" i="17"/>
  <c r="K50" i="17"/>
  <c r="I8" i="19"/>
  <c r="I17" i="35" s="1"/>
  <c r="B16" i="54"/>
  <c r="K46" i="19"/>
  <c r="B46" i="19"/>
  <c r="B15" i="19"/>
  <c r="B51" i="26"/>
  <c r="K51" i="26"/>
  <c r="B17" i="26"/>
  <c r="Q29" i="36"/>
  <c r="Q29" i="16" s="1"/>
  <c r="H20" i="20"/>
  <c r="H29" i="36" s="1"/>
  <c r="H29" i="16" s="1"/>
  <c r="B43" i="17"/>
  <c r="K43" i="17"/>
  <c r="P27" i="36"/>
  <c r="P27" i="16" s="1"/>
  <c r="G18" i="20"/>
  <c r="G27" i="36" s="1"/>
  <c r="L50" i="40"/>
  <c r="C50" i="40"/>
  <c r="C16" i="40"/>
  <c r="Q26" i="36"/>
  <c r="Q26" i="16" s="1"/>
  <c r="H17" i="20"/>
  <c r="H26" i="36" s="1"/>
  <c r="H26" i="16" s="1"/>
  <c r="B6" i="54"/>
  <c r="B5" i="19"/>
  <c r="K36" i="19"/>
  <c r="B36" i="19"/>
  <c r="F3" i="21"/>
  <c r="A34" i="21"/>
  <c r="K56" i="41"/>
  <c r="B21" i="41"/>
  <c r="B56" i="41"/>
  <c r="N28" i="36"/>
  <c r="N28" i="16" s="1"/>
  <c r="E19" i="20"/>
  <c r="E28" i="36" s="1"/>
  <c r="M18" i="36"/>
  <c r="M18" i="16" s="1"/>
  <c r="D9" i="20"/>
  <c r="D18" i="36" s="1"/>
  <c r="P24" i="36"/>
  <c r="P24" i="16" s="1"/>
  <c r="G15" i="20"/>
  <c r="G24" i="36" s="1"/>
  <c r="G24" i="16" s="1"/>
  <c r="C11" i="26"/>
  <c r="C45" i="26"/>
  <c r="L45" i="26"/>
  <c r="B51" i="17"/>
  <c r="K51" i="17"/>
  <c r="P44" i="40"/>
  <c r="G10" i="40"/>
  <c r="F17" i="40"/>
  <c r="O51" i="40"/>
  <c r="A51" i="40"/>
  <c r="E51" i="40" s="1"/>
  <c r="K37" i="17"/>
  <c r="B37" i="17"/>
  <c r="G20" i="40"/>
  <c r="P54" i="40"/>
  <c r="F12" i="44"/>
  <c r="A43" i="44"/>
  <c r="K40" i="19"/>
  <c r="B40" i="19"/>
  <c r="B10" i="54"/>
  <c r="B9" i="19"/>
  <c r="E7" i="40"/>
  <c r="N41" i="40"/>
  <c r="O47" i="40"/>
  <c r="F13" i="40"/>
  <c r="A47" i="40"/>
  <c r="E47" i="40" s="1"/>
  <c r="P53" i="40"/>
  <c r="G19" i="40"/>
  <c r="P52" i="40"/>
  <c r="G18" i="40"/>
  <c r="O19" i="36"/>
  <c r="O19" i="16" s="1"/>
  <c r="A44" i="20"/>
  <c r="F10" i="20"/>
  <c r="C40" i="17"/>
  <c r="L40" i="17"/>
  <c r="N44" i="40"/>
  <c r="E10" i="40"/>
  <c r="E18" i="40"/>
  <c r="N52" i="40"/>
  <c r="C48" i="20"/>
  <c r="C14" i="20"/>
  <c r="L48" i="20"/>
  <c r="O15" i="36"/>
  <c r="O15" i="16" s="1"/>
  <c r="A40" i="20"/>
  <c r="F6" i="20"/>
  <c r="O52" i="40"/>
  <c r="A52" i="40"/>
  <c r="E52" i="40" s="1"/>
  <c r="F18" i="40"/>
  <c r="L26" i="16"/>
  <c r="C26" i="35"/>
  <c r="C61" i="35"/>
  <c r="L61" i="35"/>
  <c r="O38" i="40"/>
  <c r="A38" i="40"/>
  <c r="E38" i="40" s="1"/>
  <c r="F4" i="40"/>
  <c r="D18" i="40"/>
  <c r="M52" i="40"/>
  <c r="O32" i="36"/>
  <c r="O32" i="16" s="1"/>
  <c r="A57" i="20"/>
  <c r="F23" i="20"/>
  <c r="P46" i="40"/>
  <c r="G12" i="40"/>
  <c r="E17" i="40"/>
  <c r="N51" i="40"/>
  <c r="O53" i="40"/>
  <c r="F19" i="40"/>
  <c r="A53" i="40"/>
  <c r="E53" i="40" s="1"/>
  <c r="O37" i="40"/>
  <c r="F3" i="40"/>
  <c r="A37" i="40"/>
  <c r="E37" i="40" s="1"/>
  <c r="P14" i="36"/>
  <c r="P14" i="16" s="1"/>
  <c r="G5" i="20"/>
  <c r="G14" i="36" s="1"/>
  <c r="C17" i="19"/>
  <c r="C48" i="19"/>
  <c r="C18" i="54"/>
  <c r="L48" i="19"/>
  <c r="G5" i="17"/>
  <c r="G14" i="45" s="1"/>
  <c r="G21" i="19"/>
  <c r="G30" i="35" s="1"/>
  <c r="I16" i="19"/>
  <c r="I25" i="35" s="1"/>
  <c r="B47" i="41"/>
  <c r="K47" i="41"/>
  <c r="B12" i="41"/>
  <c r="C41" i="20"/>
  <c r="C7" i="20"/>
  <c r="L41" i="20"/>
  <c r="I20" i="19"/>
  <c r="I29" i="35" s="1"/>
  <c r="C62" i="41"/>
  <c r="C27" i="41"/>
  <c r="L62" i="41"/>
  <c r="B11" i="26"/>
  <c r="K45" i="26"/>
  <c r="B45" i="26"/>
  <c r="K62" i="45"/>
  <c r="B62" i="45"/>
  <c r="C54" i="35"/>
  <c r="C19" i="35"/>
  <c r="L54" i="35"/>
  <c r="C52" i="45"/>
  <c r="L52" i="45"/>
  <c r="F21" i="17"/>
  <c r="F30" i="45" s="1"/>
  <c r="A53" i="17"/>
  <c r="G14" i="17"/>
  <c r="G23" i="45" s="1"/>
  <c r="C17" i="35"/>
  <c r="L52" i="35"/>
  <c r="C52" i="35"/>
  <c r="L17" i="16"/>
  <c r="L65" i="45"/>
  <c r="C65" i="45"/>
  <c r="C53" i="45"/>
  <c r="L53" i="45"/>
  <c r="L62" i="45"/>
  <c r="C62" i="45"/>
  <c r="A42" i="19"/>
  <c r="F11" i="19"/>
  <c r="F20" i="35" s="1"/>
  <c r="A38" i="26"/>
  <c r="F4" i="26"/>
  <c r="F13" i="47" s="1"/>
  <c r="G20" i="17"/>
  <c r="G29" i="45" s="1"/>
  <c r="R20" i="36"/>
  <c r="R20" i="16" s="1"/>
  <c r="I11" i="20"/>
  <c r="I20" i="36" s="1"/>
  <c r="C17" i="47"/>
  <c r="C52" i="47"/>
  <c r="L52" i="47"/>
  <c r="D17" i="26"/>
  <c r="D26" i="47" s="1"/>
  <c r="C60" i="45"/>
  <c r="L60" i="45"/>
  <c r="D8" i="19"/>
  <c r="D17" i="35" s="1"/>
  <c r="B4" i="19"/>
  <c r="K35" i="19"/>
  <c r="B5" i="54"/>
  <c r="B35" i="19"/>
  <c r="I8" i="17"/>
  <c r="I17" i="45" s="1"/>
  <c r="E8" i="19"/>
  <c r="E17" i="35" s="1"/>
  <c r="K52" i="47"/>
  <c r="B52" i="47"/>
  <c r="B17" i="47"/>
  <c r="B61" i="35"/>
  <c r="K61" i="35"/>
  <c r="B26" i="35"/>
  <c r="R17" i="36"/>
  <c r="R17" i="16" s="1"/>
  <c r="I8" i="20"/>
  <c r="I17" i="36" s="1"/>
  <c r="D17" i="17"/>
  <c r="D26" i="45" s="1"/>
  <c r="E15" i="19"/>
  <c r="E24" i="35" s="1"/>
  <c r="B26" i="41"/>
  <c r="B61" i="41"/>
  <c r="K61" i="41"/>
  <c r="D6" i="19"/>
  <c r="D15" i="35" s="1"/>
  <c r="E15" i="17"/>
  <c r="E24" i="45" s="1"/>
  <c r="R32" i="36"/>
  <c r="R32" i="16" s="1"/>
  <c r="I23" i="20"/>
  <c r="I32" i="36" s="1"/>
  <c r="I32" i="16" s="1"/>
  <c r="D11" i="19"/>
  <c r="D20" i="35" s="1"/>
  <c r="F3" i="17"/>
  <c r="F12" i="45" s="1"/>
  <c r="A35" i="17"/>
  <c r="E6" i="19"/>
  <c r="E15" i="35" s="1"/>
  <c r="L59" i="41"/>
  <c r="C59" i="41"/>
  <c r="C24" i="41"/>
  <c r="C54" i="45"/>
  <c r="L54" i="45"/>
  <c r="K15" i="36"/>
  <c r="C23" i="36"/>
  <c r="C58" i="36"/>
  <c r="L58" i="36"/>
  <c r="D18" i="17"/>
  <c r="D27" i="45" s="1"/>
  <c r="F10" i="21"/>
  <c r="A41" i="21"/>
  <c r="E21" i="19"/>
  <c r="E30" i="35" s="1"/>
  <c r="G19" i="26"/>
  <c r="G28" i="47" s="1"/>
  <c r="C60" i="35"/>
  <c r="L60" i="35"/>
  <c r="C25" i="35"/>
  <c r="L25" i="16"/>
  <c r="A42" i="21"/>
  <c r="F11" i="21"/>
  <c r="I20" i="20"/>
  <c r="I29" i="36" s="1"/>
  <c r="R29" i="36"/>
  <c r="R29" i="16" s="1"/>
  <c r="A45" i="21"/>
  <c r="F14" i="21"/>
  <c r="G17" i="17"/>
  <c r="G26" i="45" s="1"/>
  <c r="E16" i="26"/>
  <c r="E25" i="47" s="1"/>
  <c r="K25" i="16"/>
  <c r="K60" i="35"/>
  <c r="B25" i="35"/>
  <c r="B60" i="35"/>
  <c r="B19" i="41"/>
  <c r="B54" i="41"/>
  <c r="K54" i="41"/>
  <c r="D7" i="17"/>
  <c r="D16" i="45" s="1"/>
  <c r="P16" i="36"/>
  <c r="P16" i="16" s="1"/>
  <c r="G7" i="20"/>
  <c r="G16" i="36" s="1"/>
  <c r="I17" i="19"/>
  <c r="I26" i="35" s="1"/>
  <c r="A43" i="17"/>
  <c r="F11" i="17"/>
  <c r="F20" i="45" s="1"/>
  <c r="B11" i="36"/>
  <c r="K46" i="36"/>
  <c r="C25" i="41"/>
  <c r="C60" i="41"/>
  <c r="L60" i="41"/>
  <c r="G8" i="26"/>
  <c r="G17" i="47" s="1"/>
  <c r="B2" i="40"/>
  <c r="K36" i="40"/>
  <c r="B36" i="40"/>
  <c r="G12" i="19"/>
  <c r="G21" i="35" s="1"/>
  <c r="A34" i="44"/>
  <c r="F3" i="44"/>
  <c r="F12" i="42" s="1"/>
  <c r="F12" i="48" s="1"/>
  <c r="B28" i="36"/>
  <c r="K63" i="36"/>
  <c r="B63" i="36"/>
  <c r="C21" i="20"/>
  <c r="C55" i="20"/>
  <c r="L55" i="20"/>
  <c r="K53" i="36"/>
  <c r="B53" i="36"/>
  <c r="B18" i="36"/>
  <c r="K50" i="20"/>
  <c r="B16" i="20"/>
  <c r="B50" i="20"/>
  <c r="G16" i="26"/>
  <c r="G25" i="47" s="1"/>
  <c r="K28" i="16"/>
  <c r="B28" i="35"/>
  <c r="K63" i="35"/>
  <c r="B63" i="35"/>
  <c r="L14" i="16"/>
  <c r="L49" i="35"/>
  <c r="C49" i="35"/>
  <c r="C14" i="35"/>
  <c r="C14" i="16" s="1"/>
  <c r="K53" i="45"/>
  <c r="B53" i="45"/>
  <c r="L57" i="41"/>
  <c r="C22" i="41"/>
  <c r="C57" i="41"/>
  <c r="A41" i="26"/>
  <c r="F7" i="26"/>
  <c r="F16" i="47" s="1"/>
  <c r="M22" i="36"/>
  <c r="M22" i="16" s="1"/>
  <c r="D13" i="20"/>
  <c r="D22" i="36" s="1"/>
  <c r="D22" i="16" s="1"/>
  <c r="L24" i="36"/>
  <c r="L24" i="16" s="1"/>
  <c r="C47" i="45"/>
  <c r="L47" i="45"/>
  <c r="B23" i="47"/>
  <c r="K58" i="47"/>
  <c r="B58" i="47"/>
  <c r="G4" i="26"/>
  <c r="G13" i="47" s="1"/>
  <c r="D21" i="17"/>
  <c r="D30" i="45" s="1"/>
  <c r="K54" i="35"/>
  <c r="B54" i="35"/>
  <c r="B19" i="35"/>
  <c r="O29" i="36"/>
  <c r="O29" i="16" s="1"/>
  <c r="A54" i="20"/>
  <c r="F20" i="20"/>
  <c r="D17" i="19"/>
  <c r="D26" i="35" s="1"/>
  <c r="B59" i="45"/>
  <c r="K59" i="45"/>
  <c r="C53" i="47"/>
  <c r="C18" i="47"/>
  <c r="L53" i="47"/>
  <c r="B48" i="20"/>
  <c r="B14" i="20"/>
  <c r="K48" i="20"/>
  <c r="E19" i="19"/>
  <c r="E28" i="35" s="1"/>
  <c r="L47" i="19"/>
  <c r="C17" i="54"/>
  <c r="C16" i="19"/>
  <c r="C47" i="19"/>
  <c r="B47" i="19"/>
  <c r="B16" i="19"/>
  <c r="B17" i="54"/>
  <c r="K47" i="19"/>
  <c r="E9" i="17"/>
  <c r="E18" i="45" s="1"/>
  <c r="D8" i="26"/>
  <c r="D17" i="47" s="1"/>
  <c r="R31" i="36"/>
  <c r="R31" i="16" s="1"/>
  <c r="I22" i="20"/>
  <c r="I31" i="36" s="1"/>
  <c r="I31" i="16" s="1"/>
  <c r="F14" i="19"/>
  <c r="F23" i="35" s="1"/>
  <c r="A45" i="19"/>
  <c r="E11" i="26"/>
  <c r="E20" i="47" s="1"/>
  <c r="G13" i="26"/>
  <c r="G22" i="47" s="1"/>
  <c r="E20" i="26"/>
  <c r="E29" i="47" s="1"/>
  <c r="K64" i="41"/>
  <c r="B29" i="41"/>
  <c r="B64" i="41"/>
  <c r="K50" i="45"/>
  <c r="B50" i="45"/>
  <c r="E13" i="17"/>
  <c r="E22" i="45" s="1"/>
  <c r="E3" i="19"/>
  <c r="E12" i="35" s="1"/>
  <c r="A37" i="19"/>
  <c r="F6" i="19"/>
  <c r="F15" i="35" s="1"/>
  <c r="R46" i="41"/>
  <c r="I11" i="41"/>
  <c r="E12" i="19"/>
  <c r="E21" i="35" s="1"/>
  <c r="R13" i="36"/>
  <c r="R13" i="16" s="1"/>
  <c r="I4" i="20"/>
  <c r="I13" i="36" s="1"/>
  <c r="N30" i="36"/>
  <c r="N30" i="16" s="1"/>
  <c r="E21" i="20"/>
  <c r="E30" i="36" s="1"/>
  <c r="E11" i="17"/>
  <c r="E20" i="45" s="1"/>
  <c r="O14" i="36"/>
  <c r="O14" i="16" s="1"/>
  <c r="A39" i="20"/>
  <c r="F5" i="20"/>
  <c r="D5" i="26"/>
  <c r="D14" i="47" s="1"/>
  <c r="B63" i="41"/>
  <c r="K63" i="41"/>
  <c r="B28" i="41"/>
  <c r="Q46" i="41"/>
  <c r="H11" i="41"/>
  <c r="A45" i="17"/>
  <c r="F13" i="17"/>
  <c r="F22" i="45" s="1"/>
  <c r="G14" i="26"/>
  <c r="G23" i="47" s="1"/>
  <c r="E12" i="17"/>
  <c r="E21" i="45" s="1"/>
  <c r="C26" i="36"/>
  <c r="C61" i="36"/>
  <c r="L61" i="36"/>
  <c r="C23" i="41"/>
  <c r="C58" i="41"/>
  <c r="L58" i="41"/>
  <c r="D12" i="26"/>
  <c r="D21" i="47" s="1"/>
  <c r="D3" i="17"/>
  <c r="D12" i="45" s="1"/>
  <c r="P13" i="36"/>
  <c r="P13" i="16" s="1"/>
  <c r="G4" i="20"/>
  <c r="G13" i="36" s="1"/>
  <c r="Q10" i="16"/>
  <c r="C27" i="47"/>
  <c r="L62" i="47"/>
  <c r="C62" i="47"/>
  <c r="H11" i="45"/>
  <c r="Q46" i="45"/>
  <c r="K35" i="17"/>
  <c r="B35" i="17"/>
  <c r="E8" i="17"/>
  <c r="E17" i="45" s="1"/>
  <c r="D11" i="26"/>
  <c r="D20" i="47" s="1"/>
  <c r="G6" i="19"/>
  <c r="G15" i="35" s="1"/>
  <c r="B51" i="40"/>
  <c r="B17" i="40"/>
  <c r="K51" i="40"/>
  <c r="D19" i="26"/>
  <c r="D28" i="47" s="1"/>
  <c r="Q17" i="36"/>
  <c r="Q17" i="16" s="1"/>
  <c r="H8" i="20"/>
  <c r="H17" i="36" s="1"/>
  <c r="H17" i="16" s="1"/>
  <c r="C50" i="41"/>
  <c r="C15" i="41"/>
  <c r="L50" i="41"/>
  <c r="O18" i="36"/>
  <c r="O18" i="16" s="1"/>
  <c r="A43" i="20"/>
  <c r="F9" i="20"/>
  <c r="N32" i="36"/>
  <c r="N32" i="16" s="1"/>
  <c r="E23" i="20"/>
  <c r="E32" i="36" s="1"/>
  <c r="E32" i="16" s="1"/>
  <c r="C44" i="40"/>
  <c r="C10" i="40"/>
  <c r="L44" i="40"/>
  <c r="C7" i="40"/>
  <c r="C41" i="40"/>
  <c r="L41" i="40"/>
  <c r="G18" i="26"/>
  <c r="G27" i="47" s="1"/>
  <c r="R12" i="36"/>
  <c r="R12" i="16" s="1"/>
  <c r="I3" i="20"/>
  <c r="I12" i="36" s="1"/>
  <c r="F6" i="21"/>
  <c r="A37" i="21"/>
  <c r="E5" i="26"/>
  <c r="E14" i="47" s="1"/>
  <c r="M16" i="36"/>
  <c r="M16" i="16" s="1"/>
  <c r="D7" i="20"/>
  <c r="D16" i="36" s="1"/>
  <c r="D16" i="16" s="1"/>
  <c r="K47" i="40"/>
  <c r="B47" i="40"/>
  <c r="B13" i="40"/>
  <c r="F14" i="44"/>
  <c r="F23" i="42" s="1"/>
  <c r="F23" i="48" s="1"/>
  <c r="A45" i="44"/>
  <c r="C12" i="54"/>
  <c r="C11" i="19"/>
  <c r="L42" i="19"/>
  <c r="C42" i="19"/>
  <c r="C45" i="20"/>
  <c r="L45" i="20"/>
  <c r="C11" i="20"/>
  <c r="C39" i="17"/>
  <c r="L39" i="17"/>
  <c r="N11" i="16"/>
  <c r="N46" i="35"/>
  <c r="E11" i="35"/>
  <c r="K44" i="17"/>
  <c r="B44" i="17"/>
  <c r="I3" i="19"/>
  <c r="I12" i="35" s="1"/>
  <c r="F11" i="44"/>
  <c r="F20" i="42" s="1"/>
  <c r="F20" i="48" s="1"/>
  <c r="A42" i="44"/>
  <c r="K43" i="19"/>
  <c r="B43" i="19"/>
  <c r="B12" i="19"/>
  <c r="B13" i="54"/>
  <c r="L65" i="41"/>
  <c r="C30" i="41"/>
  <c r="C65" i="41"/>
  <c r="F36" i="16"/>
  <c r="G3" i="17"/>
  <c r="G12" i="45" s="1"/>
  <c r="G11" i="41"/>
  <c r="P46" i="41"/>
  <c r="A37" i="31"/>
  <c r="F6" i="31"/>
  <c r="K39" i="26"/>
  <c r="B39" i="26"/>
  <c r="B5" i="26"/>
  <c r="G13" i="17"/>
  <c r="G22" i="45" s="1"/>
  <c r="E10" i="19"/>
  <c r="E19" i="35" s="1"/>
  <c r="I12" i="19"/>
  <c r="I21" i="35" s="1"/>
  <c r="G6" i="17"/>
  <c r="G15" i="45" s="1"/>
  <c r="B8" i="54"/>
  <c r="B7" i="19"/>
  <c r="K38" i="19"/>
  <c r="B38" i="19"/>
  <c r="D11" i="36"/>
  <c r="M46" i="36"/>
  <c r="B42" i="17"/>
  <c r="K42" i="17"/>
  <c r="B25" i="47"/>
  <c r="K60" i="47"/>
  <c r="B60" i="47"/>
  <c r="N14" i="36"/>
  <c r="N14" i="16" s="1"/>
  <c r="E5" i="20"/>
  <c r="E14" i="36" s="1"/>
  <c r="G7" i="26"/>
  <c r="G16" i="47" s="1"/>
  <c r="G19" i="19"/>
  <c r="G28" i="35" s="1"/>
  <c r="L40" i="20"/>
  <c r="C6" i="20"/>
  <c r="C40" i="20"/>
  <c r="O24" i="36"/>
  <c r="O24" i="16" s="1"/>
  <c r="F15" i="20"/>
  <c r="A49" i="20"/>
  <c r="A36" i="19"/>
  <c r="F5" i="19"/>
  <c r="F14" i="35" s="1"/>
  <c r="C20" i="26"/>
  <c r="C54" i="26"/>
  <c r="L54" i="26"/>
  <c r="A49" i="17"/>
  <c r="F17" i="17"/>
  <c r="F26" i="45" s="1"/>
  <c r="R15" i="36"/>
  <c r="R15" i="16" s="1"/>
  <c r="I6" i="20"/>
  <c r="I15" i="36" s="1"/>
  <c r="B52" i="19"/>
  <c r="B22" i="54"/>
  <c r="B21" i="19"/>
  <c r="K52" i="19"/>
  <c r="K53" i="40"/>
  <c r="B19" i="40"/>
  <c r="B53" i="40"/>
  <c r="G11" i="36"/>
  <c r="P46" i="36"/>
  <c r="C15" i="19"/>
  <c r="C46" i="19"/>
  <c r="L46" i="19"/>
  <c r="C16" i="54"/>
  <c r="N26" i="36"/>
  <c r="N26" i="16" s="1"/>
  <c r="E17" i="20"/>
  <c r="E26" i="36" s="1"/>
  <c r="B2" i="19"/>
  <c r="B3" i="54"/>
  <c r="B33" i="19"/>
  <c r="B46" i="35" s="1"/>
  <c r="K33" i="19"/>
  <c r="C41" i="26"/>
  <c r="L41" i="26"/>
  <c r="C7" i="26"/>
  <c r="N25" i="36"/>
  <c r="N25" i="16" s="1"/>
  <c r="E16" i="20"/>
  <c r="E25" i="36" s="1"/>
  <c r="H23" i="20"/>
  <c r="H32" i="36" s="1"/>
  <c r="H32" i="16" s="1"/>
  <c r="Q32" i="36"/>
  <c r="Q32" i="16" s="1"/>
  <c r="A43" i="21"/>
  <c r="F12" i="21"/>
  <c r="O25" i="36"/>
  <c r="O25" i="16" s="1"/>
  <c r="A50" i="20"/>
  <c r="F16" i="20"/>
  <c r="G11" i="45"/>
  <c r="P46" i="45"/>
  <c r="N15" i="36"/>
  <c r="N15" i="16" s="1"/>
  <c r="E6" i="20"/>
  <c r="E15" i="36" s="1"/>
  <c r="K46" i="40"/>
  <c r="B12" i="40"/>
  <c r="B46" i="40"/>
  <c r="F12" i="40"/>
  <c r="O46" i="40"/>
  <c r="A46" i="40"/>
  <c r="E46" i="40" s="1"/>
  <c r="C19" i="47"/>
  <c r="L54" i="47"/>
  <c r="C54" i="47"/>
  <c r="H14" i="20"/>
  <c r="H23" i="36" s="1"/>
  <c r="Q23" i="36"/>
  <c r="Q23" i="16" s="1"/>
  <c r="L46" i="26"/>
  <c r="C46" i="26"/>
  <c r="C12" i="26"/>
  <c r="N16" i="36"/>
  <c r="N16" i="16" s="1"/>
  <c r="E7" i="20"/>
  <c r="E16" i="36" s="1"/>
  <c r="F18" i="19"/>
  <c r="F27" i="35" s="1"/>
  <c r="A49" i="19"/>
  <c r="G5" i="26"/>
  <c r="G14" i="47" s="1"/>
  <c r="B42" i="20"/>
  <c r="K42" i="20"/>
  <c r="B8" i="20"/>
  <c r="D11" i="35"/>
  <c r="M46" i="35"/>
  <c r="M11" i="16"/>
  <c r="A39" i="44"/>
  <c r="F8" i="44"/>
  <c r="F17" i="42" s="1"/>
  <c r="F17" i="48" s="1"/>
  <c r="L40" i="26"/>
  <c r="C40" i="26"/>
  <c r="C6" i="26"/>
  <c r="F21" i="19"/>
  <c r="F30" i="35" s="1"/>
  <c r="A52" i="19"/>
  <c r="L28" i="16"/>
  <c r="L63" i="35"/>
  <c r="C63" i="35"/>
  <c r="C28" i="35"/>
  <c r="O23" i="36"/>
  <c r="O23" i="16" s="1"/>
  <c r="F14" i="20"/>
  <c r="A48" i="20"/>
  <c r="E20" i="19"/>
  <c r="E29" i="35" s="1"/>
  <c r="C21" i="26"/>
  <c r="C55" i="26"/>
  <c r="L55" i="26"/>
  <c r="C19" i="19"/>
  <c r="C50" i="19"/>
  <c r="L50" i="19"/>
  <c r="C20" i="54"/>
  <c r="K43" i="20"/>
  <c r="B9" i="20"/>
  <c r="B43" i="20"/>
  <c r="L50" i="17"/>
  <c r="C50" i="17"/>
  <c r="C51" i="20"/>
  <c r="C17" i="20"/>
  <c r="L51" i="20"/>
  <c r="A39" i="19"/>
  <c r="F8" i="19"/>
  <c r="F17" i="35" s="1"/>
  <c r="F13" i="31"/>
  <c r="A44" i="31"/>
  <c r="E14" i="40"/>
  <c r="N48" i="40"/>
  <c r="E5" i="40"/>
  <c r="N39" i="40"/>
  <c r="A44" i="40"/>
  <c r="E44" i="40" s="1"/>
  <c r="O44" i="40"/>
  <c r="F10" i="40"/>
  <c r="C13" i="41"/>
  <c r="C48" i="41"/>
  <c r="L48" i="41"/>
  <c r="D12" i="19"/>
  <c r="D21" i="35" s="1"/>
  <c r="E4" i="40"/>
  <c r="N38" i="40"/>
  <c r="M42" i="40"/>
  <c r="D8" i="40"/>
  <c r="P31" i="36"/>
  <c r="P31" i="16" s="1"/>
  <c r="G22" i="20"/>
  <c r="G31" i="36" s="1"/>
  <c r="G31" i="16" s="1"/>
  <c r="N17" i="36"/>
  <c r="N17" i="16" s="1"/>
  <c r="E8" i="20"/>
  <c r="E17" i="36" s="1"/>
  <c r="E17" i="16" s="1"/>
  <c r="O54" i="40"/>
  <c r="F20" i="40"/>
  <c r="A54" i="40"/>
  <c r="E54" i="40" s="1"/>
  <c r="D10" i="40"/>
  <c r="M44" i="40"/>
  <c r="C17" i="40"/>
  <c r="L51" i="40"/>
  <c r="C51" i="40"/>
  <c r="H12" i="20"/>
  <c r="H21" i="36" s="1"/>
  <c r="H21" i="16" s="1"/>
  <c r="Q21" i="36"/>
  <c r="Q21" i="16" s="1"/>
  <c r="B50" i="35"/>
  <c r="B15" i="35"/>
  <c r="K50" i="35"/>
  <c r="K15" i="16"/>
  <c r="E20" i="40"/>
  <c r="N54" i="40"/>
  <c r="O43" i="40"/>
  <c r="A43" i="40"/>
  <c r="E43" i="40" s="1"/>
  <c r="F9" i="40"/>
  <c r="L59" i="45"/>
  <c r="C59" i="45"/>
  <c r="D16" i="19"/>
  <c r="D25" i="35" s="1"/>
  <c r="N55" i="40"/>
  <c r="E21" i="40"/>
  <c r="E3" i="40"/>
  <c r="N37" i="40"/>
  <c r="C13" i="47"/>
  <c r="L48" i="47"/>
  <c r="C48" i="47"/>
  <c r="P37" i="40"/>
  <c r="G3" i="40"/>
  <c r="G8" i="40"/>
  <c r="P42" i="40"/>
  <c r="F11" i="40"/>
  <c r="O45" i="40"/>
  <c r="A45" i="40"/>
  <c r="E45" i="40" s="1"/>
  <c r="G17" i="40"/>
  <c r="P51" i="40"/>
  <c r="A41" i="40"/>
  <c r="E41" i="40" s="1"/>
  <c r="F7" i="40"/>
  <c r="O41" i="40"/>
  <c r="K24" i="16"/>
  <c r="K59" i="35"/>
  <c r="B59" i="35"/>
  <c r="B24" i="35"/>
  <c r="B39" i="20"/>
  <c r="K39" i="20"/>
  <c r="B5" i="20"/>
  <c r="K48" i="35"/>
  <c r="B48" i="35"/>
  <c r="K13" i="16"/>
  <c r="B13" i="35"/>
  <c r="B21" i="47"/>
  <c r="K56" i="47"/>
  <c r="B56" i="47"/>
  <c r="B18" i="40"/>
  <c r="B52" i="40"/>
  <c r="K52" i="40"/>
  <c r="C66" i="36"/>
  <c r="C66" i="16" s="1"/>
  <c r="L66" i="36"/>
  <c r="L66" i="16" s="1"/>
  <c r="C31" i="36"/>
  <c r="C31" i="16" s="1"/>
  <c r="L31" i="16"/>
  <c r="K47" i="35"/>
  <c r="B12" i="35"/>
  <c r="B47" i="35"/>
  <c r="K12" i="16"/>
  <c r="D4" i="19"/>
  <c r="D13" i="35" s="1"/>
  <c r="E18" i="26"/>
  <c r="E27" i="47" s="1"/>
  <c r="C42" i="40"/>
  <c r="L42" i="40"/>
  <c r="C8" i="40"/>
  <c r="B14" i="40"/>
  <c r="B48" i="40"/>
  <c r="K48" i="40"/>
  <c r="G9" i="19"/>
  <c r="G18" i="35" s="1"/>
  <c r="L47" i="17"/>
  <c r="C47" i="17"/>
  <c r="B28" i="47"/>
  <c r="K63" i="47"/>
  <c r="B63" i="47"/>
  <c r="D10" i="19"/>
  <c r="D19" i="35" s="1"/>
  <c r="B24" i="36"/>
  <c r="B59" i="36"/>
  <c r="K59" i="36"/>
  <c r="O13" i="36"/>
  <c r="O13" i="16" s="1"/>
  <c r="A38" i="20"/>
  <c r="F4" i="20"/>
  <c r="D15" i="17"/>
  <c r="D24" i="45" s="1"/>
  <c r="M29" i="36"/>
  <c r="M29" i="16" s="1"/>
  <c r="D20" i="20"/>
  <c r="D29" i="36" s="1"/>
  <c r="D11" i="41"/>
  <c r="M46" i="41"/>
  <c r="A38" i="44"/>
  <c r="F7" i="44"/>
  <c r="B51" i="47"/>
  <c r="K51" i="47"/>
  <c r="B16" i="47"/>
  <c r="B18" i="47"/>
  <c r="K53" i="47"/>
  <c r="B53" i="47"/>
  <c r="C47" i="35"/>
  <c r="L12" i="16"/>
  <c r="L47" i="35"/>
  <c r="C12" i="35"/>
  <c r="I15" i="19"/>
  <c r="I24" i="35" s="1"/>
  <c r="K51" i="45"/>
  <c r="B51" i="45"/>
  <c r="D14" i="17"/>
  <c r="D23" i="45" s="1"/>
  <c r="B62" i="36"/>
  <c r="K62" i="36"/>
  <c r="B27" i="36"/>
  <c r="A45" i="31"/>
  <c r="F14" i="31"/>
  <c r="L43" i="40"/>
  <c r="C9" i="40"/>
  <c r="C43" i="40"/>
  <c r="F13" i="21"/>
  <c r="A44" i="21"/>
  <c r="B48" i="17"/>
  <c r="K48" i="17"/>
  <c r="I5" i="17"/>
  <c r="I14" i="45" s="1"/>
  <c r="I6" i="19"/>
  <c r="I15" i="35" s="1"/>
  <c r="L52" i="41"/>
  <c r="C52" i="41"/>
  <c r="C17" i="41"/>
  <c r="K41" i="17"/>
  <c r="B41" i="17"/>
  <c r="E14" i="26"/>
  <c r="E23" i="47" s="1"/>
  <c r="C40" i="19"/>
  <c r="C9" i="19"/>
  <c r="L40" i="19"/>
  <c r="C10" i="54"/>
  <c r="G10" i="26"/>
  <c r="G19" i="47" s="1"/>
  <c r="C63" i="41"/>
  <c r="L63" i="41"/>
  <c r="C28" i="41"/>
  <c r="C5" i="54"/>
  <c r="C4" i="19"/>
  <c r="C35" i="19"/>
  <c r="L35" i="19"/>
  <c r="A48" i="26"/>
  <c r="F14" i="26"/>
  <c r="F23" i="47" s="1"/>
  <c r="K41" i="26"/>
  <c r="B41" i="26"/>
  <c r="B7" i="26"/>
  <c r="B44" i="20"/>
  <c r="B10" i="20"/>
  <c r="K44" i="20"/>
  <c r="L56" i="36"/>
  <c r="C56" i="36"/>
  <c r="C21" i="36"/>
  <c r="K60" i="36"/>
  <c r="B25" i="36"/>
  <c r="B60" i="36"/>
  <c r="D20" i="26"/>
  <c r="D29" i="47" s="1"/>
  <c r="L58" i="45"/>
  <c r="C58" i="45"/>
  <c r="K39" i="40"/>
  <c r="B39" i="40"/>
  <c r="B5" i="40"/>
  <c r="I12" i="17"/>
  <c r="I21" i="45" s="1"/>
  <c r="C43" i="26"/>
  <c r="C9" i="26"/>
  <c r="L43" i="26"/>
  <c r="E15" i="26"/>
  <c r="E24" i="47" s="1"/>
  <c r="F13" i="19"/>
  <c r="F22" i="35" s="1"/>
  <c r="A44" i="19"/>
  <c r="C23" i="47"/>
  <c r="C58" i="47"/>
  <c r="L58" i="47"/>
  <c r="E7" i="19"/>
  <c r="E16" i="35" s="1"/>
  <c r="N29" i="36"/>
  <c r="N29" i="16" s="1"/>
  <c r="E20" i="20"/>
  <c r="E29" i="36" s="1"/>
  <c r="L65" i="35"/>
  <c r="C65" i="35"/>
  <c r="C65" i="16" s="1"/>
  <c r="C30" i="35"/>
  <c r="L30" i="16"/>
  <c r="H36" i="16"/>
  <c r="B11" i="41"/>
  <c r="K46" i="41"/>
  <c r="E20" i="17"/>
  <c r="E29" i="45" s="1"/>
  <c r="P28" i="36"/>
  <c r="P28" i="16" s="1"/>
  <c r="G19" i="20"/>
  <c r="G28" i="36" s="1"/>
  <c r="G28" i="16" s="1"/>
  <c r="F7" i="31"/>
  <c r="A38" i="31"/>
  <c r="L46" i="17"/>
  <c r="C46" i="17"/>
  <c r="K58" i="36"/>
  <c r="B23" i="36"/>
  <c r="B58" i="36"/>
  <c r="I9" i="17"/>
  <c r="I18" i="45" s="1"/>
  <c r="A47" i="17"/>
  <c r="F15" i="17"/>
  <c r="F24" i="45" s="1"/>
  <c r="G20" i="19"/>
  <c r="G29" i="35" s="1"/>
  <c r="D14" i="19"/>
  <c r="D23" i="35" s="1"/>
  <c r="L52" i="36"/>
  <c r="C52" i="36"/>
  <c r="C17" i="36"/>
  <c r="G12" i="17"/>
  <c r="G21" i="45" s="1"/>
  <c r="D9" i="17"/>
  <c r="D18" i="45" s="1"/>
  <c r="K38" i="40"/>
  <c r="B4" i="40"/>
  <c r="B38" i="40"/>
  <c r="C49" i="45"/>
  <c r="L49" i="45"/>
  <c r="K47" i="47"/>
  <c r="B47" i="47"/>
  <c r="B12" i="47"/>
  <c r="G11" i="35"/>
  <c r="P46" i="35"/>
  <c r="P11" i="16"/>
  <c r="B18" i="41"/>
  <c r="B53" i="41"/>
  <c r="K53" i="41"/>
  <c r="G11" i="17"/>
  <c r="G20" i="45" s="1"/>
  <c r="G21" i="17"/>
  <c r="G30" i="45" s="1"/>
  <c r="C53" i="17"/>
  <c r="L53" i="17"/>
  <c r="L61" i="41"/>
  <c r="C61" i="41"/>
  <c r="C26" i="41"/>
  <c r="D14" i="26"/>
  <c r="D23" i="47" s="1"/>
  <c r="A52" i="17"/>
  <c r="F20" i="17"/>
  <c r="F29" i="45" s="1"/>
  <c r="L16" i="36"/>
  <c r="B12" i="26"/>
  <c r="K46" i="26"/>
  <c r="B46" i="26"/>
  <c r="L27" i="36"/>
  <c r="L27" i="16" s="1"/>
  <c r="M27" i="36"/>
  <c r="M27" i="16" s="1"/>
  <c r="D18" i="20"/>
  <c r="D27" i="36" s="1"/>
  <c r="D27" i="16" s="1"/>
  <c r="C60" i="36"/>
  <c r="L60" i="36"/>
  <c r="C25" i="36"/>
  <c r="E17" i="19"/>
  <c r="E26" i="35" s="1"/>
  <c r="C64" i="36"/>
  <c r="C29" i="36"/>
  <c r="L64" i="36"/>
  <c r="F18" i="17"/>
  <c r="F27" i="45" s="1"/>
  <c r="A50" i="17"/>
  <c r="C57" i="35"/>
  <c r="C22" i="35"/>
  <c r="L22" i="16"/>
  <c r="L57" i="35"/>
  <c r="K57" i="45"/>
  <c r="B57" i="45"/>
  <c r="D4" i="17"/>
  <c r="D13" i="45" s="1"/>
  <c r="G11" i="19"/>
  <c r="G20" i="35" s="1"/>
  <c r="B19" i="20"/>
  <c r="B53" i="20"/>
  <c r="K53" i="20"/>
  <c r="E14" i="19"/>
  <c r="E23" i="35" s="1"/>
  <c r="B65" i="36"/>
  <c r="B30" i="36"/>
  <c r="K65" i="36"/>
  <c r="L42" i="20"/>
  <c r="C8" i="20"/>
  <c r="C42" i="20"/>
  <c r="O17" i="36"/>
  <c r="O17" i="16" s="1"/>
  <c r="F8" i="20"/>
  <c r="A42" i="20"/>
  <c r="D16" i="26"/>
  <c r="D25" i="47" s="1"/>
  <c r="F16" i="26"/>
  <c r="F25" i="47" s="1"/>
  <c r="A50" i="26"/>
  <c r="B3" i="26"/>
  <c r="B37" i="26"/>
  <c r="K37" i="26"/>
  <c r="B3" i="40"/>
  <c r="B37" i="40"/>
  <c r="K37" i="40"/>
  <c r="C43" i="20"/>
  <c r="L43" i="20"/>
  <c r="C9" i="20"/>
  <c r="D3" i="26"/>
  <c r="D12" i="47" s="1"/>
  <c r="C19" i="20"/>
  <c r="C53" i="20"/>
  <c r="L53" i="20"/>
  <c r="P23" i="36"/>
  <c r="P23" i="16" s="1"/>
  <c r="G14" i="20"/>
  <c r="G23" i="36" s="1"/>
  <c r="G23" i="16" s="1"/>
  <c r="I12" i="20"/>
  <c r="I21" i="36" s="1"/>
  <c r="R21" i="36"/>
  <c r="R21" i="16" s="1"/>
  <c r="D16" i="17"/>
  <c r="D25" i="45" s="1"/>
  <c r="G5" i="19"/>
  <c r="G14" i="35" s="1"/>
  <c r="L46" i="20"/>
  <c r="C12" i="20"/>
  <c r="C46" i="20"/>
  <c r="C35" i="17"/>
  <c r="L35" i="17"/>
  <c r="L44" i="17"/>
  <c r="C44" i="17"/>
  <c r="K56" i="45"/>
  <c r="B56" i="45"/>
  <c r="G18" i="19"/>
  <c r="G27" i="35" s="1"/>
  <c r="D11" i="45"/>
  <c r="M46" i="45"/>
  <c r="F10" i="26"/>
  <c r="F19" i="47" s="1"/>
  <c r="A44" i="26"/>
  <c r="B23" i="20"/>
  <c r="B57" i="20"/>
  <c r="K57" i="20"/>
  <c r="G10" i="17"/>
  <c r="G19" i="45" s="1"/>
  <c r="E5" i="19"/>
  <c r="E14" i="35" s="1"/>
  <c r="K52" i="17"/>
  <c r="B52" i="17"/>
  <c r="M20" i="36"/>
  <c r="M20" i="16" s="1"/>
  <c r="D11" i="20"/>
  <c r="D20" i="36" s="1"/>
  <c r="D20" i="16" s="1"/>
  <c r="O31" i="36"/>
  <c r="O31" i="16" s="1"/>
  <c r="F22" i="20"/>
  <c r="A56" i="20"/>
  <c r="A38" i="17"/>
  <c r="E6" i="17"/>
  <c r="E15" i="45" s="1"/>
  <c r="C58" i="35"/>
  <c r="C23" i="35"/>
  <c r="C23" i="16" s="1"/>
  <c r="L23" i="16"/>
  <c r="L58" i="35"/>
  <c r="L36" i="17"/>
  <c r="C36" i="17"/>
  <c r="B4" i="54"/>
  <c r="K34" i="19"/>
  <c r="B3" i="19"/>
  <c r="B34" i="19"/>
  <c r="K37" i="19"/>
  <c r="B7" i="54"/>
  <c r="B37" i="19"/>
  <c r="B6" i="19"/>
  <c r="D9" i="26"/>
  <c r="D18" i="47" s="1"/>
  <c r="F6" i="44"/>
  <c r="F15" i="42" s="1"/>
  <c r="F15" i="48" s="1"/>
  <c r="A37" i="44"/>
  <c r="I10" i="19"/>
  <c r="I19" i="35" s="1"/>
  <c r="G7" i="19"/>
  <c r="G16" i="35" s="1"/>
  <c r="G3" i="19"/>
  <c r="G12" i="35" s="1"/>
  <c r="I11" i="19"/>
  <c r="I20" i="35" s="1"/>
  <c r="Q45" i="47"/>
  <c r="H35" i="47"/>
  <c r="E21" i="26"/>
  <c r="E30" i="47" s="1"/>
  <c r="B49" i="19"/>
  <c r="B19" i="54"/>
  <c r="K49" i="19"/>
  <c r="B18" i="19"/>
  <c r="E18" i="17"/>
  <c r="E27" i="45" s="1"/>
  <c r="L18" i="36"/>
  <c r="B14" i="47"/>
  <c r="B49" i="47"/>
  <c r="K49" i="47"/>
  <c r="G7" i="17"/>
  <c r="G16" i="45" s="1"/>
  <c r="B65" i="41"/>
  <c r="K65" i="41"/>
  <c r="B30" i="41"/>
  <c r="L52" i="40"/>
  <c r="C52" i="40"/>
  <c r="C18" i="40"/>
  <c r="H13" i="20"/>
  <c r="H22" i="36" s="1"/>
  <c r="H22" i="16" s="1"/>
  <c r="Q22" i="36"/>
  <c r="Q22" i="16" s="1"/>
  <c r="G3" i="26"/>
  <c r="G12" i="47" s="1"/>
  <c r="K48" i="47"/>
  <c r="B13" i="47"/>
  <c r="B48" i="47"/>
  <c r="G8" i="19"/>
  <c r="G17" i="35" s="1"/>
  <c r="A42" i="17"/>
  <c r="F10" i="17"/>
  <c r="F19" i="45" s="1"/>
  <c r="N18" i="36"/>
  <c r="N18" i="16" s="1"/>
  <c r="E9" i="20"/>
  <c r="E18" i="36" s="1"/>
  <c r="E18" i="16" s="1"/>
  <c r="M31" i="36"/>
  <c r="M31" i="16" s="1"/>
  <c r="D22" i="20"/>
  <c r="D31" i="36" s="1"/>
  <c r="D31" i="16" s="1"/>
  <c r="F17" i="26"/>
  <c r="F26" i="47" s="1"/>
  <c r="A51" i="26"/>
  <c r="B9" i="54"/>
  <c r="B39" i="19"/>
  <c r="K39" i="19"/>
  <c r="B8" i="19"/>
  <c r="E6" i="26"/>
  <c r="E15" i="47" s="1"/>
  <c r="D6" i="26"/>
  <c r="D15" i="47" s="1"/>
  <c r="L40" i="40"/>
  <c r="C6" i="40"/>
  <c r="C40" i="40"/>
  <c r="K55" i="40"/>
  <c r="B21" i="40"/>
  <c r="B55" i="40"/>
  <c r="B52" i="41"/>
  <c r="B17" i="41"/>
  <c r="K52" i="41"/>
  <c r="B63" i="45"/>
  <c r="K63" i="45"/>
  <c r="F12" i="31"/>
  <c r="A43" i="31"/>
  <c r="A35" i="21"/>
  <c r="F4" i="21"/>
  <c r="C14" i="26"/>
  <c r="C48" i="26"/>
  <c r="L48" i="26"/>
  <c r="L54" i="20"/>
  <c r="C20" i="20"/>
  <c r="C54" i="20"/>
  <c r="B13" i="36"/>
  <c r="K48" i="36"/>
  <c r="B48" i="36"/>
  <c r="I11" i="35"/>
  <c r="R11" i="16"/>
  <c r="R46" i="35"/>
  <c r="R24" i="36"/>
  <c r="R24" i="16" s="1"/>
  <c r="I15" i="20"/>
  <c r="I24" i="36" s="1"/>
  <c r="I24" i="16" s="1"/>
  <c r="Q24" i="36"/>
  <c r="Q24" i="16" s="1"/>
  <c r="H15" i="20"/>
  <c r="H24" i="36" s="1"/>
  <c r="H24" i="16" s="1"/>
  <c r="F13" i="44"/>
  <c r="F22" i="42" s="1"/>
  <c r="F22" i="48" s="1"/>
  <c r="A44" i="44"/>
  <c r="B14" i="54"/>
  <c r="B13" i="19"/>
  <c r="B44" i="19"/>
  <c r="K44" i="19"/>
  <c r="B36" i="20"/>
  <c r="B46" i="36" s="1"/>
  <c r="B46" i="16" s="1"/>
  <c r="B2" i="20"/>
  <c r="K36" i="20"/>
  <c r="B56" i="20"/>
  <c r="B22" i="20"/>
  <c r="K56" i="20"/>
  <c r="O22" i="36"/>
  <c r="O22" i="16" s="1"/>
  <c r="F13" i="20"/>
  <c r="A47" i="20"/>
  <c r="I9" i="20"/>
  <c r="I18" i="36" s="1"/>
  <c r="R18" i="36"/>
  <c r="R18" i="16" s="1"/>
  <c r="E16" i="19"/>
  <c r="E25" i="35" s="1"/>
  <c r="H21" i="20"/>
  <c r="H30" i="36" s="1"/>
  <c r="H30" i="16" s="1"/>
  <c r="Q30" i="36"/>
  <c r="Q30" i="16" s="1"/>
  <c r="F15" i="19"/>
  <c r="F24" i="35" s="1"/>
  <c r="A46" i="19"/>
  <c r="N10" i="16"/>
  <c r="L34" i="19"/>
  <c r="C3" i="19"/>
  <c r="C4" i="54"/>
  <c r="C34" i="19"/>
  <c r="G11" i="47"/>
  <c r="P46" i="47"/>
  <c r="C37" i="26"/>
  <c r="C3" i="26"/>
  <c r="L37" i="26"/>
  <c r="C51" i="17"/>
  <c r="L51" i="17"/>
  <c r="C10" i="26"/>
  <c r="C44" i="26"/>
  <c r="L44" i="26"/>
  <c r="L55" i="47"/>
  <c r="C55" i="47"/>
  <c r="C20" i="47"/>
  <c r="B45" i="17"/>
  <c r="K45" i="17"/>
  <c r="B12" i="20"/>
  <c r="K46" i="20"/>
  <c r="B46" i="20"/>
  <c r="A34" i="31"/>
  <c r="F3" i="31"/>
  <c r="A47" i="19"/>
  <c r="F16" i="19"/>
  <c r="F25" i="35" s="1"/>
  <c r="L52" i="26"/>
  <c r="C52" i="26"/>
  <c r="C18" i="26"/>
  <c r="L57" i="47"/>
  <c r="C57" i="47"/>
  <c r="C22" i="47"/>
  <c r="M15" i="36"/>
  <c r="M15" i="16" s="1"/>
  <c r="D6" i="20"/>
  <c r="D15" i="36" s="1"/>
  <c r="D15" i="16" s="1"/>
  <c r="C12" i="41"/>
  <c r="L47" i="41"/>
  <c r="C47" i="41"/>
  <c r="I3" i="17"/>
  <c r="I12" i="45" s="1"/>
  <c r="I11" i="45"/>
  <c r="R46" i="45"/>
  <c r="R26" i="36"/>
  <c r="R26" i="16" s="1"/>
  <c r="I17" i="20"/>
  <c r="I26" i="36" s="1"/>
  <c r="I26" i="16" s="1"/>
  <c r="B52" i="26"/>
  <c r="K52" i="26"/>
  <c r="B18" i="26"/>
  <c r="P32" i="36"/>
  <c r="P32" i="16" s="1"/>
  <c r="G23" i="20"/>
  <c r="G32" i="36" s="1"/>
  <c r="G32" i="16" s="1"/>
  <c r="E13" i="26"/>
  <c r="E22" i="47" s="1"/>
  <c r="C38" i="40"/>
  <c r="L38" i="40"/>
  <c r="C4" i="40"/>
  <c r="K36" i="17"/>
  <c r="B36" i="17"/>
  <c r="P21" i="36"/>
  <c r="P21" i="16" s="1"/>
  <c r="G12" i="20"/>
  <c r="G21" i="36" s="1"/>
  <c r="K31" i="36"/>
  <c r="L47" i="26"/>
  <c r="C13" i="26"/>
  <c r="C47" i="26"/>
  <c r="E11" i="45"/>
  <c r="N46" i="45"/>
  <c r="F20" i="19"/>
  <c r="F29" i="35" s="1"/>
  <c r="A51" i="19"/>
  <c r="F8" i="40"/>
  <c r="O42" i="40"/>
  <c r="A42" i="40"/>
  <c r="E42" i="40" s="1"/>
  <c r="P41" i="40"/>
  <c r="G7" i="40"/>
  <c r="F7" i="21"/>
  <c r="A38" i="21"/>
  <c r="I5" i="20"/>
  <c r="I14" i="36" s="1"/>
  <c r="I14" i="16" s="1"/>
  <c r="R14" i="36"/>
  <c r="R14" i="16" s="1"/>
  <c r="O28" i="36"/>
  <c r="O28" i="16" s="1"/>
  <c r="F19" i="20"/>
  <c r="A53" i="20"/>
  <c r="D5" i="40"/>
  <c r="M39" i="40"/>
  <c r="P30" i="36"/>
  <c r="P30" i="16" s="1"/>
  <c r="G21" i="20"/>
  <c r="G30" i="36" s="1"/>
  <c r="G30" i="16" s="1"/>
  <c r="N43" i="40"/>
  <c r="E9" i="40"/>
  <c r="D7" i="40"/>
  <c r="M41" i="40"/>
  <c r="I4" i="19"/>
  <c r="I13" i="35" s="1"/>
  <c r="G21" i="40"/>
  <c r="P55" i="40"/>
  <c r="N27" i="36"/>
  <c r="N27" i="16" s="1"/>
  <c r="E18" i="20"/>
  <c r="E27" i="36" s="1"/>
  <c r="M38" i="40"/>
  <c r="D4" i="40"/>
  <c r="I36" i="16"/>
  <c r="G18" i="17"/>
  <c r="G27" i="45" s="1"/>
  <c r="B47" i="26"/>
  <c r="K47" i="26"/>
  <c r="B13" i="26"/>
  <c r="O50" i="40"/>
  <c r="F16" i="40"/>
  <c r="A50" i="40"/>
  <c r="E50" i="40" s="1"/>
  <c r="A55" i="40"/>
  <c r="E55" i="40" s="1"/>
  <c r="O55" i="40"/>
  <c r="F21" i="40"/>
  <c r="E12" i="40"/>
  <c r="N46" i="40"/>
  <c r="O49" i="40"/>
  <c r="F15" i="40"/>
  <c r="A49" i="40"/>
  <c r="E49" i="40" s="1"/>
  <c r="L55" i="45" l="1"/>
  <c r="H23" i="16"/>
  <c r="C16" i="42"/>
  <c r="L16" i="16"/>
  <c r="F14" i="42"/>
  <c r="F14" i="48" s="1"/>
  <c r="F21" i="42"/>
  <c r="F21" i="48" s="1"/>
  <c r="F19" i="42"/>
  <c r="F19" i="48" s="1"/>
  <c r="F16" i="42"/>
  <c r="F16" i="48" s="1"/>
  <c r="F13" i="42"/>
  <c r="F13" i="48" s="1"/>
  <c r="B19" i="42"/>
  <c r="K19" i="48"/>
  <c r="B17" i="42"/>
  <c r="K17" i="48"/>
  <c r="I29" i="16"/>
  <c r="E13" i="16"/>
  <c r="I21" i="16"/>
  <c r="D29" i="16"/>
  <c r="E30" i="16"/>
  <c r="G13" i="16"/>
  <c r="G25" i="16"/>
  <c r="E27" i="16"/>
  <c r="I18" i="16"/>
  <c r="H20" i="16"/>
  <c r="H18" i="16"/>
  <c r="G21" i="16"/>
  <c r="C30" i="16"/>
  <c r="H25" i="16"/>
  <c r="K54" i="16"/>
  <c r="E16" i="16"/>
  <c r="E26" i="16"/>
  <c r="I13" i="16"/>
  <c r="D17" i="16"/>
  <c r="I23" i="16"/>
  <c r="E14" i="16"/>
  <c r="D21" i="16"/>
  <c r="I28" i="16"/>
  <c r="I27" i="16"/>
  <c r="E28" i="16"/>
  <c r="E12" i="16"/>
  <c r="G18" i="16"/>
  <c r="I25" i="16"/>
  <c r="E25" i="16"/>
  <c r="I15" i="16"/>
  <c r="I20" i="16"/>
  <c r="E23" i="16"/>
  <c r="I19" i="16"/>
  <c r="D28" i="16"/>
  <c r="G16" i="16"/>
  <c r="G15" i="16"/>
  <c r="E22" i="16"/>
  <c r="E19" i="16"/>
  <c r="G20" i="16"/>
  <c r="D25" i="16"/>
  <c r="D12" i="16"/>
  <c r="E29" i="16"/>
  <c r="I12" i="16"/>
  <c r="G27" i="16"/>
  <c r="D30" i="16"/>
  <c r="D19" i="16"/>
  <c r="G19" i="16"/>
  <c r="D23" i="16"/>
  <c r="D13" i="16"/>
  <c r="G17" i="16"/>
  <c r="G14" i="16"/>
  <c r="G12" i="16"/>
  <c r="G22" i="16"/>
  <c r="E21" i="16"/>
  <c r="D14" i="16"/>
  <c r="E24" i="16"/>
  <c r="G26" i="16"/>
  <c r="E15" i="16"/>
  <c r="I17" i="16"/>
  <c r="D18" i="16"/>
  <c r="G29" i="16"/>
  <c r="D24" i="16"/>
  <c r="I16" i="16"/>
  <c r="E20" i="16"/>
  <c r="D26" i="16"/>
  <c r="L58" i="16"/>
  <c r="K59" i="16"/>
  <c r="L57" i="16"/>
  <c r="B24" i="16"/>
  <c r="R46" i="16"/>
  <c r="L65" i="16"/>
  <c r="K47" i="16"/>
  <c r="K55" i="16"/>
  <c r="H51" i="19"/>
  <c r="H64" i="35" s="1"/>
  <c r="G51" i="19"/>
  <c r="G64" i="35" s="1"/>
  <c r="F51" i="19"/>
  <c r="F64" i="35" s="1"/>
  <c r="E51" i="19"/>
  <c r="E64" i="35" s="1"/>
  <c r="D51" i="19"/>
  <c r="O51" i="19" s="1"/>
  <c r="O64" i="35" s="1"/>
  <c r="I51" i="19"/>
  <c r="I64" i="35" s="1"/>
  <c r="G42" i="40"/>
  <c r="I42" i="40"/>
  <c r="D42" i="40"/>
  <c r="F42" i="40"/>
  <c r="H42" i="40"/>
  <c r="E34" i="31"/>
  <c r="I34" i="31"/>
  <c r="G34" i="31"/>
  <c r="H34" i="31"/>
  <c r="F34" i="31"/>
  <c r="D34" i="31"/>
  <c r="L53" i="36"/>
  <c r="C18" i="36"/>
  <c r="C53" i="36"/>
  <c r="C58" i="16"/>
  <c r="C57" i="16"/>
  <c r="F48" i="26"/>
  <c r="F58" i="47" s="1"/>
  <c r="G48" i="26"/>
  <c r="G58" i="47" s="1"/>
  <c r="D48" i="26"/>
  <c r="P48" i="26" s="1"/>
  <c r="E48" i="26"/>
  <c r="E58" i="47" s="1"/>
  <c r="H48" i="26"/>
  <c r="H58" i="47" s="1"/>
  <c r="I48" i="26"/>
  <c r="I58" i="47" s="1"/>
  <c r="C47" i="16"/>
  <c r="F38" i="44"/>
  <c r="E38" i="44"/>
  <c r="D38" i="44"/>
  <c r="G38" i="44"/>
  <c r="H38" i="44"/>
  <c r="I38" i="44"/>
  <c r="B12" i="16"/>
  <c r="B13" i="16"/>
  <c r="B59" i="16"/>
  <c r="F41" i="40"/>
  <c r="H41" i="40"/>
  <c r="D41" i="40"/>
  <c r="G41" i="40"/>
  <c r="I41" i="40"/>
  <c r="D54" i="40"/>
  <c r="I54" i="40"/>
  <c r="G54" i="40"/>
  <c r="H54" i="40"/>
  <c r="F54" i="40"/>
  <c r="I44" i="31"/>
  <c r="E44" i="31"/>
  <c r="G44" i="31"/>
  <c r="D44" i="31"/>
  <c r="H44" i="31"/>
  <c r="F44" i="31"/>
  <c r="F23" i="36"/>
  <c r="F23" i="16" s="1"/>
  <c r="G48" i="20"/>
  <c r="G58" i="36" s="1"/>
  <c r="E48" i="20"/>
  <c r="E58" i="36" s="1"/>
  <c r="D48" i="20"/>
  <c r="I48" i="20"/>
  <c r="I58" i="36" s="1"/>
  <c r="F48" i="20"/>
  <c r="F58" i="36" s="1"/>
  <c r="H48" i="20"/>
  <c r="H58" i="36" s="1"/>
  <c r="L63" i="16"/>
  <c r="F52" i="19"/>
  <c r="F65" i="35" s="1"/>
  <c r="I52" i="19"/>
  <c r="I65" i="35" s="1"/>
  <c r="E52" i="19"/>
  <c r="E65" i="35" s="1"/>
  <c r="D52" i="19"/>
  <c r="D65" i="35" s="1"/>
  <c r="H52" i="19"/>
  <c r="H65" i="35" s="1"/>
  <c r="G52" i="19"/>
  <c r="G65" i="35" s="1"/>
  <c r="D11" i="16"/>
  <c r="F49" i="19"/>
  <c r="F62" i="35" s="1"/>
  <c r="I49" i="19"/>
  <c r="I62" i="35" s="1"/>
  <c r="H49" i="19"/>
  <c r="H62" i="35" s="1"/>
  <c r="D49" i="19"/>
  <c r="G49" i="19"/>
  <c r="G62" i="35" s="1"/>
  <c r="E49" i="19"/>
  <c r="E62" i="35" s="1"/>
  <c r="F25" i="36"/>
  <c r="F25" i="16" s="1"/>
  <c r="I50" i="20"/>
  <c r="I60" i="36" s="1"/>
  <c r="E50" i="20"/>
  <c r="E60" i="36" s="1"/>
  <c r="G50" i="20"/>
  <c r="G60" i="36" s="1"/>
  <c r="H50" i="20"/>
  <c r="H60" i="36" s="1"/>
  <c r="F50" i="20"/>
  <c r="F60" i="36" s="1"/>
  <c r="D50" i="20"/>
  <c r="G43" i="21"/>
  <c r="F43" i="21"/>
  <c r="E43" i="21"/>
  <c r="H43" i="21"/>
  <c r="D43" i="21"/>
  <c r="I43" i="21"/>
  <c r="H49" i="17"/>
  <c r="H61" i="45" s="1"/>
  <c r="E49" i="17"/>
  <c r="E61" i="45" s="1"/>
  <c r="G49" i="17"/>
  <c r="G61" i="45" s="1"/>
  <c r="F49" i="17"/>
  <c r="F61" i="45" s="1"/>
  <c r="I49" i="17"/>
  <c r="I61" i="45" s="1"/>
  <c r="D49" i="17"/>
  <c r="D61" i="45" s="1"/>
  <c r="E11" i="16"/>
  <c r="F45" i="44"/>
  <c r="I45" i="44"/>
  <c r="G45" i="44"/>
  <c r="H45" i="44"/>
  <c r="E45" i="44"/>
  <c r="D45" i="44"/>
  <c r="G37" i="19"/>
  <c r="G50" i="35" s="1"/>
  <c r="E37" i="19"/>
  <c r="E50" i="35" s="1"/>
  <c r="D37" i="19"/>
  <c r="H37" i="19"/>
  <c r="H50" i="35" s="1"/>
  <c r="I37" i="19"/>
  <c r="I50" i="35" s="1"/>
  <c r="F37" i="19"/>
  <c r="F50" i="35" s="1"/>
  <c r="B54" i="16"/>
  <c r="H41" i="26"/>
  <c r="H51" i="47" s="1"/>
  <c r="F41" i="26"/>
  <c r="F51" i="47" s="1"/>
  <c r="G41" i="26"/>
  <c r="G51" i="47" s="1"/>
  <c r="D41" i="26"/>
  <c r="E41" i="26"/>
  <c r="E51" i="47" s="1"/>
  <c r="I41" i="26"/>
  <c r="I51" i="47" s="1"/>
  <c r="C49" i="16"/>
  <c r="K63" i="16"/>
  <c r="F43" i="17"/>
  <c r="F55" i="45" s="1"/>
  <c r="D43" i="17"/>
  <c r="E43" i="17"/>
  <c r="E55" i="45" s="1"/>
  <c r="H43" i="17"/>
  <c r="H55" i="45" s="1"/>
  <c r="I43" i="17"/>
  <c r="I55" i="45" s="1"/>
  <c r="G43" i="17"/>
  <c r="G55" i="45" s="1"/>
  <c r="B60" i="16"/>
  <c r="L60" i="16"/>
  <c r="C17" i="16"/>
  <c r="F32" i="36"/>
  <c r="F32" i="16" s="1"/>
  <c r="E57" i="20"/>
  <c r="E67" i="36" s="1"/>
  <c r="E67" i="16" s="1"/>
  <c r="H57" i="20"/>
  <c r="H67" i="36" s="1"/>
  <c r="H67" i="16" s="1"/>
  <c r="D57" i="20"/>
  <c r="I57" i="20"/>
  <c r="I67" i="36" s="1"/>
  <c r="I67" i="16" s="1"/>
  <c r="G57" i="20"/>
  <c r="G67" i="36" s="1"/>
  <c r="G67" i="16" s="1"/>
  <c r="F57" i="20"/>
  <c r="F67" i="36" s="1"/>
  <c r="F67" i="16" s="1"/>
  <c r="L61" i="16"/>
  <c r="G52" i="40"/>
  <c r="F52" i="40"/>
  <c r="I52" i="40"/>
  <c r="D52" i="40"/>
  <c r="H52" i="40"/>
  <c r="F15" i="36"/>
  <c r="F15" i="16" s="1"/>
  <c r="F40" i="20"/>
  <c r="F50" i="36" s="1"/>
  <c r="I40" i="20"/>
  <c r="I50" i="36" s="1"/>
  <c r="G40" i="20"/>
  <c r="G50" i="36" s="1"/>
  <c r="E40" i="20"/>
  <c r="E50" i="36" s="1"/>
  <c r="H40" i="20"/>
  <c r="H50" i="36" s="1"/>
  <c r="D40" i="20"/>
  <c r="H46" i="31"/>
  <c r="E46" i="31"/>
  <c r="I46" i="31"/>
  <c r="F46" i="31"/>
  <c r="G46" i="31"/>
  <c r="D46" i="31"/>
  <c r="F35" i="44"/>
  <c r="H35" i="44"/>
  <c r="I35" i="44"/>
  <c r="G35" i="44"/>
  <c r="D35" i="44"/>
  <c r="E35" i="44"/>
  <c r="F12" i="36"/>
  <c r="F12" i="16" s="1"/>
  <c r="G37" i="20"/>
  <c r="G47" i="36" s="1"/>
  <c r="I37" i="20"/>
  <c r="I47" i="36" s="1"/>
  <c r="D37" i="20"/>
  <c r="M37" i="20" s="1"/>
  <c r="M47" i="36" s="1"/>
  <c r="H37" i="20"/>
  <c r="H47" i="36" s="1"/>
  <c r="F37" i="20"/>
  <c r="F47" i="36" s="1"/>
  <c r="E37" i="20"/>
  <c r="E47" i="36" s="1"/>
  <c r="B49" i="16"/>
  <c r="B20" i="16"/>
  <c r="B52" i="16"/>
  <c r="B51" i="36"/>
  <c r="K51" i="36"/>
  <c r="B16" i="36"/>
  <c r="B16" i="16" s="1"/>
  <c r="E44" i="17"/>
  <c r="E56" i="45" s="1"/>
  <c r="I44" i="17"/>
  <c r="I56" i="45" s="1"/>
  <c r="D44" i="17"/>
  <c r="F44" i="17"/>
  <c r="F56" i="45" s="1"/>
  <c r="G44" i="17"/>
  <c r="G56" i="45" s="1"/>
  <c r="H44" i="17"/>
  <c r="H56" i="45" s="1"/>
  <c r="B29" i="16"/>
  <c r="G41" i="17"/>
  <c r="G53" i="45" s="1"/>
  <c r="I41" i="17"/>
  <c r="I53" i="45" s="1"/>
  <c r="E41" i="17"/>
  <c r="E53" i="45" s="1"/>
  <c r="D41" i="17"/>
  <c r="O41" i="17" s="1"/>
  <c r="O53" i="45" s="1"/>
  <c r="H41" i="17"/>
  <c r="H53" i="45" s="1"/>
  <c r="F41" i="17"/>
  <c r="F53" i="45" s="1"/>
  <c r="K53" i="16"/>
  <c r="D55" i="26"/>
  <c r="F55" i="26"/>
  <c r="F65" i="47" s="1"/>
  <c r="H55" i="26"/>
  <c r="H65" i="47" s="1"/>
  <c r="G55" i="26"/>
  <c r="G65" i="47" s="1"/>
  <c r="I55" i="26"/>
  <c r="I65" i="47" s="1"/>
  <c r="E55" i="26"/>
  <c r="E65" i="47" s="1"/>
  <c r="B22" i="16"/>
  <c r="B23" i="16"/>
  <c r="C48" i="16"/>
  <c r="B65" i="16"/>
  <c r="R50" i="40"/>
  <c r="Q50" i="40"/>
  <c r="F36" i="31"/>
  <c r="E36" i="31"/>
  <c r="D36" i="31"/>
  <c r="G36" i="31"/>
  <c r="I36" i="31"/>
  <c r="H36" i="31"/>
  <c r="F21" i="36"/>
  <c r="F21" i="16" s="1"/>
  <c r="E46" i="20"/>
  <c r="E56" i="36" s="1"/>
  <c r="D46" i="20"/>
  <c r="H46" i="20"/>
  <c r="H56" i="36" s="1"/>
  <c r="G46" i="20"/>
  <c r="G56" i="36" s="1"/>
  <c r="I46" i="20"/>
  <c r="I56" i="36" s="1"/>
  <c r="F46" i="20"/>
  <c r="F56" i="36" s="1"/>
  <c r="D36" i="21"/>
  <c r="F36" i="21"/>
  <c r="H36" i="21"/>
  <c r="E36" i="21"/>
  <c r="G36" i="21"/>
  <c r="I36" i="21"/>
  <c r="G35" i="19"/>
  <c r="G48" i="35" s="1"/>
  <c r="F35" i="19"/>
  <c r="F48" i="35" s="1"/>
  <c r="H35" i="19"/>
  <c r="H48" i="35" s="1"/>
  <c r="D35" i="19"/>
  <c r="I35" i="19"/>
  <c r="I48" i="35" s="1"/>
  <c r="E35" i="19"/>
  <c r="E48" i="35" s="1"/>
  <c r="E40" i="21"/>
  <c r="G40" i="21"/>
  <c r="F40" i="21"/>
  <c r="I40" i="21"/>
  <c r="D40" i="21"/>
  <c r="H40" i="21"/>
  <c r="E39" i="21"/>
  <c r="G39" i="21"/>
  <c r="F39" i="21"/>
  <c r="I39" i="21"/>
  <c r="D39" i="21"/>
  <c r="H39" i="21"/>
  <c r="E48" i="19"/>
  <c r="E61" i="35" s="1"/>
  <c r="H48" i="19"/>
  <c r="H61" i="35" s="1"/>
  <c r="G48" i="19"/>
  <c r="G61" i="35" s="1"/>
  <c r="I48" i="19"/>
  <c r="I61" i="35" s="1"/>
  <c r="F48" i="19"/>
  <c r="F61" i="35" s="1"/>
  <c r="D48" i="19"/>
  <c r="E41" i="19"/>
  <c r="E54" i="35" s="1"/>
  <c r="H41" i="19"/>
  <c r="H54" i="35" s="1"/>
  <c r="I41" i="19"/>
  <c r="I54" i="35" s="1"/>
  <c r="D41" i="19"/>
  <c r="F41" i="19"/>
  <c r="F54" i="35" s="1"/>
  <c r="G41" i="19"/>
  <c r="G54" i="35" s="1"/>
  <c r="H49" i="26"/>
  <c r="H59" i="47" s="1"/>
  <c r="E49" i="26"/>
  <c r="E59" i="47" s="1"/>
  <c r="D49" i="26"/>
  <c r="F49" i="26"/>
  <c r="F59" i="47" s="1"/>
  <c r="I49" i="26"/>
  <c r="I59" i="47" s="1"/>
  <c r="G49" i="26"/>
  <c r="G59" i="47" s="1"/>
  <c r="C21" i="16"/>
  <c r="L50" i="16"/>
  <c r="L18" i="16"/>
  <c r="K62" i="16"/>
  <c r="Q38" i="40"/>
  <c r="R38" i="40"/>
  <c r="R41" i="40"/>
  <c r="Q41" i="40"/>
  <c r="E50" i="26"/>
  <c r="E60" i="47" s="1"/>
  <c r="H50" i="26"/>
  <c r="H60" i="47" s="1"/>
  <c r="F50" i="26"/>
  <c r="F60" i="47" s="1"/>
  <c r="I50" i="26"/>
  <c r="I60" i="47" s="1"/>
  <c r="G50" i="26"/>
  <c r="G60" i="47" s="1"/>
  <c r="D50" i="26"/>
  <c r="D60" i="47" s="1"/>
  <c r="D52" i="17"/>
  <c r="G52" i="17"/>
  <c r="G64" i="45" s="1"/>
  <c r="E52" i="17"/>
  <c r="E64" i="45" s="1"/>
  <c r="F52" i="17"/>
  <c r="F64" i="45" s="1"/>
  <c r="I52" i="17"/>
  <c r="I64" i="45" s="1"/>
  <c r="H52" i="17"/>
  <c r="H64" i="45" s="1"/>
  <c r="I38" i="31"/>
  <c r="E38" i="31"/>
  <c r="D38" i="31"/>
  <c r="F38" i="31"/>
  <c r="G38" i="31"/>
  <c r="H38" i="31"/>
  <c r="E44" i="19"/>
  <c r="E57" i="35" s="1"/>
  <c r="H44" i="19"/>
  <c r="H57" i="35" s="1"/>
  <c r="F44" i="19"/>
  <c r="F57" i="35" s="1"/>
  <c r="G44" i="19"/>
  <c r="G57" i="35" s="1"/>
  <c r="I44" i="19"/>
  <c r="I57" i="35" s="1"/>
  <c r="D44" i="19"/>
  <c r="I44" i="21"/>
  <c r="E44" i="21"/>
  <c r="G44" i="21"/>
  <c r="F44" i="21"/>
  <c r="D44" i="21"/>
  <c r="H44" i="21"/>
  <c r="C12" i="16"/>
  <c r="F13" i="36"/>
  <c r="F13" i="16" s="1"/>
  <c r="I38" i="20"/>
  <c r="I48" i="36" s="1"/>
  <c r="E38" i="20"/>
  <c r="E48" i="36" s="1"/>
  <c r="D38" i="20"/>
  <c r="G38" i="20"/>
  <c r="G48" i="36" s="1"/>
  <c r="H38" i="20"/>
  <c r="H48" i="36" s="1"/>
  <c r="F38" i="20"/>
  <c r="F48" i="36" s="1"/>
  <c r="I44" i="40"/>
  <c r="H44" i="40"/>
  <c r="D44" i="40"/>
  <c r="G44" i="40"/>
  <c r="F44" i="40"/>
  <c r="I39" i="44"/>
  <c r="I52" i="42" s="1"/>
  <c r="I52" i="48" s="1"/>
  <c r="H39" i="44"/>
  <c r="H52" i="42" s="1"/>
  <c r="H52" i="48" s="1"/>
  <c r="G39" i="44"/>
  <c r="G52" i="42" s="1"/>
  <c r="G52" i="48" s="1"/>
  <c r="D39" i="44"/>
  <c r="D52" i="42" s="1"/>
  <c r="D52" i="48" s="1"/>
  <c r="E39" i="44"/>
  <c r="E52" i="42" s="1"/>
  <c r="E52" i="48" s="1"/>
  <c r="F39" i="44"/>
  <c r="F52" i="42" s="1"/>
  <c r="F52" i="48" s="1"/>
  <c r="F37" i="31"/>
  <c r="H37" i="31"/>
  <c r="D37" i="31"/>
  <c r="E37" i="31"/>
  <c r="I37" i="31"/>
  <c r="G37" i="31"/>
  <c r="N46" i="16"/>
  <c r="F14" i="36"/>
  <c r="F14" i="16" s="1"/>
  <c r="D39" i="20"/>
  <c r="H39" i="20"/>
  <c r="H49" i="36" s="1"/>
  <c r="E39" i="20"/>
  <c r="E49" i="36" s="1"/>
  <c r="G39" i="20"/>
  <c r="G49" i="36" s="1"/>
  <c r="I39" i="20"/>
  <c r="I49" i="36" s="1"/>
  <c r="F39" i="20"/>
  <c r="F49" i="36" s="1"/>
  <c r="L49" i="16"/>
  <c r="B28" i="16"/>
  <c r="B25" i="16"/>
  <c r="F45" i="21"/>
  <c r="E45" i="21"/>
  <c r="I45" i="21"/>
  <c r="D45" i="21"/>
  <c r="G45" i="21"/>
  <c r="H45" i="21"/>
  <c r="G42" i="21"/>
  <c r="H42" i="21"/>
  <c r="I42" i="21"/>
  <c r="F42" i="21"/>
  <c r="D42" i="21"/>
  <c r="E42" i="21"/>
  <c r="C60" i="16"/>
  <c r="K50" i="36"/>
  <c r="K50" i="16" s="1"/>
  <c r="B15" i="36"/>
  <c r="B15" i="16" s="1"/>
  <c r="B50" i="36"/>
  <c r="E42" i="19"/>
  <c r="E55" i="35" s="1"/>
  <c r="H42" i="19"/>
  <c r="H55" i="35" s="1"/>
  <c r="G42" i="19"/>
  <c r="G55" i="35" s="1"/>
  <c r="I42" i="19"/>
  <c r="I55" i="35" s="1"/>
  <c r="F42" i="19"/>
  <c r="F55" i="35" s="1"/>
  <c r="D42" i="19"/>
  <c r="I53" i="17"/>
  <c r="I65" i="45" s="1"/>
  <c r="D53" i="17"/>
  <c r="M53" i="17" s="1"/>
  <c r="M65" i="45" s="1"/>
  <c r="F53" i="17"/>
  <c r="F65" i="45" s="1"/>
  <c r="H53" i="17"/>
  <c r="H65" i="45" s="1"/>
  <c r="E53" i="17"/>
  <c r="E65" i="45" s="1"/>
  <c r="G53" i="17"/>
  <c r="G65" i="45" s="1"/>
  <c r="D53" i="40"/>
  <c r="I53" i="40"/>
  <c r="H53" i="40"/>
  <c r="G53" i="40"/>
  <c r="F53" i="40"/>
  <c r="H38" i="40"/>
  <c r="D38" i="40"/>
  <c r="I38" i="40"/>
  <c r="G38" i="40"/>
  <c r="F38" i="40"/>
  <c r="C61" i="16"/>
  <c r="F19" i="36"/>
  <c r="F19" i="16" s="1"/>
  <c r="I44" i="20"/>
  <c r="I54" i="36" s="1"/>
  <c r="G44" i="20"/>
  <c r="G54" i="36" s="1"/>
  <c r="F44" i="20"/>
  <c r="F54" i="36" s="1"/>
  <c r="H44" i="20"/>
  <c r="H54" i="36" s="1"/>
  <c r="E44" i="20"/>
  <c r="E54" i="36" s="1"/>
  <c r="D44" i="20"/>
  <c r="D54" i="36" s="1"/>
  <c r="Q52" i="40"/>
  <c r="R52" i="40"/>
  <c r="D47" i="40"/>
  <c r="F47" i="40"/>
  <c r="I47" i="40"/>
  <c r="H47" i="40"/>
  <c r="G47" i="40"/>
  <c r="I43" i="44"/>
  <c r="I56" i="42" s="1"/>
  <c r="I56" i="48" s="1"/>
  <c r="E43" i="44"/>
  <c r="E56" i="42" s="1"/>
  <c r="E56" i="48" s="1"/>
  <c r="F43" i="44"/>
  <c r="F56" i="42" s="1"/>
  <c r="F56" i="48" s="1"/>
  <c r="G43" i="44"/>
  <c r="G56" i="42" s="1"/>
  <c r="G56" i="48" s="1"/>
  <c r="D43" i="44"/>
  <c r="D56" i="42" s="1"/>
  <c r="D56" i="48" s="1"/>
  <c r="H43" i="44"/>
  <c r="H56" i="42" s="1"/>
  <c r="H56" i="48" s="1"/>
  <c r="G51" i="40"/>
  <c r="F51" i="40"/>
  <c r="D51" i="40"/>
  <c r="H51" i="40"/>
  <c r="I51" i="40"/>
  <c r="D34" i="21"/>
  <c r="I34" i="21"/>
  <c r="G34" i="21"/>
  <c r="H34" i="21"/>
  <c r="F34" i="21"/>
  <c r="E34" i="21"/>
  <c r="F40" i="31"/>
  <c r="I40" i="31"/>
  <c r="D40" i="31"/>
  <c r="G40" i="31"/>
  <c r="H40" i="31"/>
  <c r="E40" i="31"/>
  <c r="B26" i="36"/>
  <c r="B26" i="16" s="1"/>
  <c r="K61" i="36"/>
  <c r="B61" i="36"/>
  <c r="B61" i="16" s="1"/>
  <c r="F45" i="26"/>
  <c r="F55" i="47" s="1"/>
  <c r="H45" i="26"/>
  <c r="H55" i="47" s="1"/>
  <c r="D45" i="26"/>
  <c r="E45" i="26"/>
  <c r="E55" i="47" s="1"/>
  <c r="G45" i="26"/>
  <c r="G55" i="47" s="1"/>
  <c r="I45" i="26"/>
  <c r="I55" i="47" s="1"/>
  <c r="G52" i="26"/>
  <c r="G62" i="47" s="1"/>
  <c r="D52" i="26"/>
  <c r="I52" i="26"/>
  <c r="I62" i="47" s="1"/>
  <c r="E52" i="26"/>
  <c r="E62" i="47" s="1"/>
  <c r="F52" i="26"/>
  <c r="F62" i="47" s="1"/>
  <c r="H52" i="26"/>
  <c r="H62" i="47" s="1"/>
  <c r="I35" i="31"/>
  <c r="E35" i="31"/>
  <c r="D35" i="31"/>
  <c r="F35" i="31"/>
  <c r="H35" i="31"/>
  <c r="G35" i="31"/>
  <c r="G51" i="17"/>
  <c r="G63" i="45" s="1"/>
  <c r="E51" i="17"/>
  <c r="E63" i="45" s="1"/>
  <c r="F51" i="17"/>
  <c r="F63" i="45" s="1"/>
  <c r="I51" i="17"/>
  <c r="I63" i="45" s="1"/>
  <c r="D51" i="17"/>
  <c r="O51" i="17" s="1"/>
  <c r="O63" i="45" s="1"/>
  <c r="H51" i="17"/>
  <c r="H63" i="45" s="1"/>
  <c r="F16" i="36"/>
  <c r="F16" i="16" s="1"/>
  <c r="I41" i="20"/>
  <c r="I51" i="36" s="1"/>
  <c r="G41" i="20"/>
  <c r="G51" i="36" s="1"/>
  <c r="D41" i="20"/>
  <c r="P41" i="20" s="1"/>
  <c r="E41" i="20"/>
  <c r="E51" i="36" s="1"/>
  <c r="H41" i="20"/>
  <c r="H51" i="36" s="1"/>
  <c r="F41" i="20"/>
  <c r="F51" i="36" s="1"/>
  <c r="I41" i="44"/>
  <c r="G41" i="44"/>
  <c r="H41" i="44"/>
  <c r="E41" i="44"/>
  <c r="D41" i="44"/>
  <c r="F41" i="44"/>
  <c r="F27" i="36"/>
  <c r="F27" i="16" s="1"/>
  <c r="F52" i="20"/>
  <c r="F62" i="36" s="1"/>
  <c r="D52" i="20"/>
  <c r="D62" i="36" s="1"/>
  <c r="G52" i="20"/>
  <c r="G62" i="36" s="1"/>
  <c r="H52" i="20"/>
  <c r="H62" i="36" s="1"/>
  <c r="I52" i="20"/>
  <c r="I62" i="36" s="1"/>
  <c r="E52" i="20"/>
  <c r="E62" i="36" s="1"/>
  <c r="B10" i="16"/>
  <c r="B35" i="16"/>
  <c r="K45" i="16"/>
  <c r="B14" i="16"/>
  <c r="C19" i="36"/>
  <c r="C54" i="36"/>
  <c r="L54" i="36"/>
  <c r="L54" i="16" s="1"/>
  <c r="K52" i="16"/>
  <c r="K64" i="16"/>
  <c r="B53" i="16"/>
  <c r="K51" i="16"/>
  <c r="I42" i="31"/>
  <c r="D42" i="31"/>
  <c r="H42" i="31"/>
  <c r="F42" i="31"/>
  <c r="G42" i="31"/>
  <c r="E42" i="31"/>
  <c r="K65" i="16"/>
  <c r="R43" i="40"/>
  <c r="Q43" i="40"/>
  <c r="D43" i="19"/>
  <c r="E43" i="19"/>
  <c r="E56" i="35" s="1"/>
  <c r="H43" i="19"/>
  <c r="H56" i="35" s="1"/>
  <c r="F43" i="19"/>
  <c r="F56" i="35" s="1"/>
  <c r="I43" i="19"/>
  <c r="I56" i="35" s="1"/>
  <c r="G43" i="19"/>
  <c r="G56" i="35" s="1"/>
  <c r="C20" i="16"/>
  <c r="F26" i="36"/>
  <c r="F26" i="16" s="1"/>
  <c r="H51" i="20"/>
  <c r="H61" i="36" s="1"/>
  <c r="E51" i="20"/>
  <c r="E61" i="36" s="1"/>
  <c r="F51" i="20"/>
  <c r="F61" i="36" s="1"/>
  <c r="D51" i="20"/>
  <c r="O51" i="20" s="1"/>
  <c r="O61" i="36" s="1"/>
  <c r="I51" i="20"/>
  <c r="I61" i="36" s="1"/>
  <c r="G51" i="20"/>
  <c r="G61" i="36" s="1"/>
  <c r="E39" i="31"/>
  <c r="F39" i="31"/>
  <c r="G39" i="31"/>
  <c r="D39" i="31"/>
  <c r="H39" i="31"/>
  <c r="I39" i="31"/>
  <c r="Q46" i="16"/>
  <c r="H36" i="44"/>
  <c r="H49" i="42" s="1"/>
  <c r="H49" i="48" s="1"/>
  <c r="E36" i="44"/>
  <c r="E49" i="42" s="1"/>
  <c r="E49" i="48" s="1"/>
  <c r="D36" i="44"/>
  <c r="D49" i="42" s="1"/>
  <c r="D49" i="48" s="1"/>
  <c r="F36" i="44"/>
  <c r="F49" i="42" s="1"/>
  <c r="F49" i="48" s="1"/>
  <c r="I36" i="44"/>
  <c r="I49" i="42" s="1"/>
  <c r="I49" i="48" s="1"/>
  <c r="G36" i="44"/>
  <c r="G49" i="42" s="1"/>
  <c r="G49" i="48" s="1"/>
  <c r="O46" i="16"/>
  <c r="H34" i="19"/>
  <c r="H47" i="35" s="1"/>
  <c r="E34" i="19"/>
  <c r="E47" i="35" s="1"/>
  <c r="F34" i="19"/>
  <c r="F47" i="35" s="1"/>
  <c r="D34" i="19"/>
  <c r="I34" i="19"/>
  <c r="I47" i="35" s="1"/>
  <c r="G34" i="19"/>
  <c r="G47" i="35" s="1"/>
  <c r="L64" i="16"/>
  <c r="B56" i="16"/>
  <c r="E37" i="17"/>
  <c r="E49" i="45" s="1"/>
  <c r="I37" i="17"/>
  <c r="I49" i="45" s="1"/>
  <c r="F37" i="17"/>
  <c r="F49" i="45" s="1"/>
  <c r="H37" i="17"/>
  <c r="H49" i="45" s="1"/>
  <c r="D37" i="17"/>
  <c r="G37" i="17"/>
  <c r="G49" i="45" s="1"/>
  <c r="C56" i="16"/>
  <c r="C50" i="16"/>
  <c r="H37" i="26"/>
  <c r="H47" i="47" s="1"/>
  <c r="E37" i="26"/>
  <c r="E47" i="47" s="1"/>
  <c r="F37" i="26"/>
  <c r="F47" i="47" s="1"/>
  <c r="G37" i="26"/>
  <c r="G47" i="47" s="1"/>
  <c r="D37" i="26"/>
  <c r="M37" i="26" s="1"/>
  <c r="M47" i="47" s="1"/>
  <c r="I37" i="26"/>
  <c r="I47" i="47" s="1"/>
  <c r="Q45" i="16"/>
  <c r="I40" i="40"/>
  <c r="G40" i="40"/>
  <c r="D40" i="40"/>
  <c r="F40" i="40"/>
  <c r="H40" i="40"/>
  <c r="Q49" i="40"/>
  <c r="R49" i="40"/>
  <c r="L53" i="16"/>
  <c r="B62" i="16"/>
  <c r="K66" i="36"/>
  <c r="K66" i="16" s="1"/>
  <c r="B31" i="36"/>
  <c r="B31" i="16" s="1"/>
  <c r="K31" i="16"/>
  <c r="B66" i="36"/>
  <c r="B66" i="16" s="1"/>
  <c r="D47" i="19"/>
  <c r="H47" i="19"/>
  <c r="H60" i="35" s="1"/>
  <c r="I47" i="19"/>
  <c r="I60" i="35" s="1"/>
  <c r="G47" i="19"/>
  <c r="G60" i="35" s="1"/>
  <c r="E47" i="19"/>
  <c r="E60" i="35" s="1"/>
  <c r="F47" i="19"/>
  <c r="F60" i="35" s="1"/>
  <c r="D49" i="40"/>
  <c r="H49" i="40"/>
  <c r="I49" i="40"/>
  <c r="G49" i="40"/>
  <c r="F49" i="40"/>
  <c r="H55" i="40"/>
  <c r="D55" i="40"/>
  <c r="I55" i="40"/>
  <c r="F55" i="40"/>
  <c r="G55" i="40"/>
  <c r="D50" i="40"/>
  <c r="G50" i="40"/>
  <c r="I50" i="40"/>
  <c r="H50" i="40"/>
  <c r="F50" i="40"/>
  <c r="F28" i="36"/>
  <c r="F28" i="16" s="1"/>
  <c r="I53" i="20"/>
  <c r="I63" i="36" s="1"/>
  <c r="H53" i="20"/>
  <c r="H63" i="36" s="1"/>
  <c r="E53" i="20"/>
  <c r="E63" i="36" s="1"/>
  <c r="F53" i="20"/>
  <c r="F63" i="36" s="1"/>
  <c r="G53" i="20"/>
  <c r="G63" i="36" s="1"/>
  <c r="D53" i="20"/>
  <c r="F38" i="21"/>
  <c r="H38" i="21"/>
  <c r="E38" i="21"/>
  <c r="D38" i="21"/>
  <c r="G38" i="21"/>
  <c r="I38" i="21"/>
  <c r="P46" i="20"/>
  <c r="G46" i="19"/>
  <c r="G59" i="35" s="1"/>
  <c r="E46" i="19"/>
  <c r="E59" i="35" s="1"/>
  <c r="H46" i="19"/>
  <c r="H59" i="35" s="1"/>
  <c r="D46" i="19"/>
  <c r="I46" i="19"/>
  <c r="I59" i="35" s="1"/>
  <c r="F46" i="19"/>
  <c r="F59" i="35" s="1"/>
  <c r="F35" i="21"/>
  <c r="G35" i="21"/>
  <c r="E35" i="21"/>
  <c r="H35" i="21"/>
  <c r="I35" i="21"/>
  <c r="D35" i="21"/>
  <c r="G51" i="26"/>
  <c r="G61" i="47" s="1"/>
  <c r="H51" i="26"/>
  <c r="H61" i="47" s="1"/>
  <c r="I51" i="26"/>
  <c r="I61" i="47" s="1"/>
  <c r="E51" i="26"/>
  <c r="E61" i="47" s="1"/>
  <c r="F51" i="26"/>
  <c r="F61" i="47" s="1"/>
  <c r="D51" i="26"/>
  <c r="O51" i="26" s="1"/>
  <c r="O61" i="47" s="1"/>
  <c r="D42" i="17"/>
  <c r="M42" i="17" s="1"/>
  <c r="M54" i="45" s="1"/>
  <c r="F42" i="17"/>
  <c r="F54" i="45" s="1"/>
  <c r="I42" i="17"/>
  <c r="I54" i="45" s="1"/>
  <c r="H42" i="17"/>
  <c r="H54" i="45" s="1"/>
  <c r="E42" i="17"/>
  <c r="E54" i="45" s="1"/>
  <c r="G42" i="17"/>
  <c r="G54" i="45" s="1"/>
  <c r="D38" i="17"/>
  <c r="D50" i="45" s="1"/>
  <c r="H38" i="17"/>
  <c r="H50" i="45" s="1"/>
  <c r="E38" i="17"/>
  <c r="E50" i="45" s="1"/>
  <c r="I38" i="17"/>
  <c r="I50" i="45" s="1"/>
  <c r="F38" i="17"/>
  <c r="F50" i="45" s="1"/>
  <c r="G38" i="17"/>
  <c r="G50" i="45" s="1"/>
  <c r="F31" i="36"/>
  <c r="F31" i="16" s="1"/>
  <c r="E56" i="20"/>
  <c r="E66" i="36" s="1"/>
  <c r="E66" i="16" s="1"/>
  <c r="G56" i="20"/>
  <c r="G66" i="36" s="1"/>
  <c r="G66" i="16" s="1"/>
  <c r="D56" i="20"/>
  <c r="N56" i="20" s="1"/>
  <c r="N66" i="36" s="1"/>
  <c r="N66" i="16" s="1"/>
  <c r="H56" i="20"/>
  <c r="H66" i="36" s="1"/>
  <c r="H66" i="16" s="1"/>
  <c r="F56" i="20"/>
  <c r="F66" i="36" s="1"/>
  <c r="F66" i="16" s="1"/>
  <c r="I56" i="20"/>
  <c r="I66" i="36" s="1"/>
  <c r="I66" i="16" s="1"/>
  <c r="E44" i="26"/>
  <c r="E54" i="47" s="1"/>
  <c r="I44" i="26"/>
  <c r="I54" i="47" s="1"/>
  <c r="D44" i="26"/>
  <c r="M44" i="26" s="1"/>
  <c r="M54" i="47" s="1"/>
  <c r="H44" i="26"/>
  <c r="H54" i="47" s="1"/>
  <c r="G44" i="26"/>
  <c r="G54" i="47" s="1"/>
  <c r="F44" i="26"/>
  <c r="F54" i="47" s="1"/>
  <c r="F17" i="36"/>
  <c r="F17" i="16" s="1"/>
  <c r="G42" i="20"/>
  <c r="G52" i="36" s="1"/>
  <c r="D42" i="20"/>
  <c r="N42" i="20" s="1"/>
  <c r="N52" i="36" s="1"/>
  <c r="I42" i="20"/>
  <c r="I52" i="36" s="1"/>
  <c r="F42" i="20"/>
  <c r="F52" i="36" s="1"/>
  <c r="E42" i="20"/>
  <c r="E52" i="36" s="1"/>
  <c r="H42" i="20"/>
  <c r="H52" i="36" s="1"/>
  <c r="D50" i="17"/>
  <c r="G50" i="17"/>
  <c r="G62" i="45" s="1"/>
  <c r="I50" i="17"/>
  <c r="I62" i="45" s="1"/>
  <c r="H50" i="17"/>
  <c r="H62" i="45" s="1"/>
  <c r="E50" i="17"/>
  <c r="E62" i="45" s="1"/>
  <c r="F50" i="17"/>
  <c r="F62" i="45" s="1"/>
  <c r="P46" i="16"/>
  <c r="L47" i="16"/>
  <c r="B48" i="16"/>
  <c r="Q51" i="40"/>
  <c r="R51" i="40"/>
  <c r="H45" i="40"/>
  <c r="I45" i="40"/>
  <c r="F45" i="40"/>
  <c r="D45" i="40"/>
  <c r="G45" i="40"/>
  <c r="Q37" i="40"/>
  <c r="R37" i="40"/>
  <c r="D43" i="40"/>
  <c r="G43" i="40"/>
  <c r="F43" i="40"/>
  <c r="I43" i="40"/>
  <c r="H43" i="40"/>
  <c r="B50" i="16"/>
  <c r="C28" i="16"/>
  <c r="F46" i="40"/>
  <c r="G46" i="40"/>
  <c r="D46" i="40"/>
  <c r="I46" i="40"/>
  <c r="H46" i="40"/>
  <c r="E36" i="19"/>
  <c r="E49" i="35" s="1"/>
  <c r="D36" i="19"/>
  <c r="D49" i="35" s="1"/>
  <c r="F36" i="19"/>
  <c r="F49" i="35" s="1"/>
  <c r="H36" i="19"/>
  <c r="H49" i="35" s="1"/>
  <c r="G36" i="19"/>
  <c r="G49" i="35" s="1"/>
  <c r="I36" i="19"/>
  <c r="I49" i="35" s="1"/>
  <c r="F24" i="36"/>
  <c r="F24" i="16" s="1"/>
  <c r="G49" i="20"/>
  <c r="G59" i="36" s="1"/>
  <c r="D49" i="20"/>
  <c r="H49" i="20"/>
  <c r="H59" i="36" s="1"/>
  <c r="F49" i="20"/>
  <c r="F59" i="36" s="1"/>
  <c r="I49" i="20"/>
  <c r="I59" i="36" s="1"/>
  <c r="E49" i="20"/>
  <c r="E59" i="36" s="1"/>
  <c r="I42" i="44"/>
  <c r="I55" i="42" s="1"/>
  <c r="I55" i="48" s="1"/>
  <c r="H42" i="44"/>
  <c r="H55" i="42" s="1"/>
  <c r="H55" i="48" s="1"/>
  <c r="E42" i="44"/>
  <c r="E55" i="42" s="1"/>
  <c r="E55" i="48" s="1"/>
  <c r="G42" i="44"/>
  <c r="G55" i="42" s="1"/>
  <c r="G55" i="48" s="1"/>
  <c r="F42" i="44"/>
  <c r="F55" i="42" s="1"/>
  <c r="F55" i="48" s="1"/>
  <c r="D42" i="44"/>
  <c r="D55" i="42" s="1"/>
  <c r="D55" i="48" s="1"/>
  <c r="G37" i="21"/>
  <c r="I37" i="21"/>
  <c r="D37" i="21"/>
  <c r="H37" i="21"/>
  <c r="F37" i="21"/>
  <c r="E37" i="21"/>
  <c r="N57" i="20"/>
  <c r="N67" i="36" s="1"/>
  <c r="N67" i="16" s="1"/>
  <c r="F18" i="36"/>
  <c r="F18" i="16" s="1"/>
  <c r="I43" i="20"/>
  <c r="I53" i="36" s="1"/>
  <c r="F43" i="20"/>
  <c r="F53" i="36" s="1"/>
  <c r="D43" i="20"/>
  <c r="H43" i="20"/>
  <c r="H53" i="36" s="1"/>
  <c r="G43" i="20"/>
  <c r="G53" i="36" s="1"/>
  <c r="E43" i="20"/>
  <c r="E53" i="36" s="1"/>
  <c r="F34" i="44"/>
  <c r="F47" i="42" s="1"/>
  <c r="F47" i="48" s="1"/>
  <c r="G34" i="44"/>
  <c r="G47" i="42" s="1"/>
  <c r="G47" i="48" s="1"/>
  <c r="E34" i="44"/>
  <c r="E47" i="42" s="1"/>
  <c r="E47" i="48" s="1"/>
  <c r="D34" i="44"/>
  <c r="D47" i="42" s="1"/>
  <c r="D47" i="48" s="1"/>
  <c r="H34" i="44"/>
  <c r="H47" i="42" s="1"/>
  <c r="H47" i="48" s="1"/>
  <c r="I34" i="44"/>
  <c r="I47" i="42" s="1"/>
  <c r="I47" i="48" s="1"/>
  <c r="K60" i="16"/>
  <c r="F41" i="21"/>
  <c r="G41" i="21"/>
  <c r="I41" i="21"/>
  <c r="E41" i="21"/>
  <c r="H41" i="21"/>
  <c r="D41" i="21"/>
  <c r="K61" i="16"/>
  <c r="I38" i="26"/>
  <c r="I48" i="47" s="1"/>
  <c r="F38" i="26"/>
  <c r="F48" i="47" s="1"/>
  <c r="G38" i="26"/>
  <c r="G48" i="47" s="1"/>
  <c r="D38" i="26"/>
  <c r="H38" i="26"/>
  <c r="H48" i="47" s="1"/>
  <c r="E38" i="26"/>
  <c r="E48" i="47" s="1"/>
  <c r="C52" i="16"/>
  <c r="C19" i="16"/>
  <c r="P39" i="20"/>
  <c r="F37" i="40"/>
  <c r="G37" i="40"/>
  <c r="D37" i="40"/>
  <c r="I37" i="40"/>
  <c r="H37" i="40"/>
  <c r="Q46" i="40"/>
  <c r="R46" i="40"/>
  <c r="C26" i="16"/>
  <c r="D38" i="19"/>
  <c r="F38" i="19"/>
  <c r="F51" i="35" s="1"/>
  <c r="E38" i="19"/>
  <c r="E51" i="35" s="1"/>
  <c r="I38" i="19"/>
  <c r="I51" i="35" s="1"/>
  <c r="H38" i="19"/>
  <c r="H51" i="35" s="1"/>
  <c r="G38" i="19"/>
  <c r="G51" i="35" s="1"/>
  <c r="H39" i="26"/>
  <c r="H49" i="47" s="1"/>
  <c r="I39" i="26"/>
  <c r="I49" i="47" s="1"/>
  <c r="E39" i="26"/>
  <c r="E49" i="47" s="1"/>
  <c r="F39" i="26"/>
  <c r="F49" i="47" s="1"/>
  <c r="D39" i="26"/>
  <c r="P39" i="26" s="1"/>
  <c r="G39" i="26"/>
  <c r="G49" i="47" s="1"/>
  <c r="P40" i="20"/>
  <c r="K49" i="16"/>
  <c r="B55" i="16"/>
  <c r="E43" i="26"/>
  <c r="E53" i="47" s="1"/>
  <c r="D43" i="26"/>
  <c r="P43" i="26" s="1"/>
  <c r="F43" i="26"/>
  <c r="F53" i="47" s="1"/>
  <c r="G43" i="26"/>
  <c r="G53" i="47" s="1"/>
  <c r="I43" i="26"/>
  <c r="I53" i="47" s="1"/>
  <c r="H43" i="26"/>
  <c r="H53" i="47" s="1"/>
  <c r="G39" i="17"/>
  <c r="G51" i="45" s="1"/>
  <c r="F39" i="17"/>
  <c r="F51" i="45" s="1"/>
  <c r="H39" i="17"/>
  <c r="H51" i="45" s="1"/>
  <c r="E39" i="17"/>
  <c r="E51" i="45" s="1"/>
  <c r="I39" i="17"/>
  <c r="I51" i="45" s="1"/>
  <c r="D39" i="17"/>
  <c r="K46" i="16"/>
  <c r="B51" i="16"/>
  <c r="D36" i="17"/>
  <c r="D48" i="45" s="1"/>
  <c r="F36" i="17"/>
  <c r="F48" i="45" s="1"/>
  <c r="G36" i="17"/>
  <c r="G48" i="45" s="1"/>
  <c r="I36" i="17"/>
  <c r="I48" i="45" s="1"/>
  <c r="E36" i="17"/>
  <c r="E48" i="45" s="1"/>
  <c r="H36" i="17"/>
  <c r="H48" i="45" s="1"/>
  <c r="K57" i="16"/>
  <c r="B58" i="16"/>
  <c r="L48" i="16"/>
  <c r="B30" i="16"/>
  <c r="N44" i="20"/>
  <c r="N54" i="36" s="1"/>
  <c r="O46" i="20"/>
  <c r="O56" i="36" s="1"/>
  <c r="G47" i="26"/>
  <c r="G57" i="47" s="1"/>
  <c r="F47" i="26"/>
  <c r="F57" i="47" s="1"/>
  <c r="I47" i="26"/>
  <c r="I57" i="47" s="1"/>
  <c r="H47" i="26"/>
  <c r="H57" i="47" s="1"/>
  <c r="E47" i="26"/>
  <c r="E57" i="47" s="1"/>
  <c r="D47" i="26"/>
  <c r="M44" i="20"/>
  <c r="M54" i="36" s="1"/>
  <c r="C55" i="16"/>
  <c r="G41" i="31"/>
  <c r="H41" i="31"/>
  <c r="F41" i="31"/>
  <c r="I41" i="31"/>
  <c r="E41" i="31"/>
  <c r="D41" i="31"/>
  <c r="G46" i="26"/>
  <c r="G56" i="47" s="1"/>
  <c r="I46" i="26"/>
  <c r="I56" i="47" s="1"/>
  <c r="D46" i="26"/>
  <c r="F46" i="26"/>
  <c r="F56" i="47" s="1"/>
  <c r="E46" i="26"/>
  <c r="E56" i="47" s="1"/>
  <c r="H46" i="26"/>
  <c r="H56" i="47" s="1"/>
  <c r="H11" i="16"/>
  <c r="C64" i="16"/>
  <c r="F54" i="26"/>
  <c r="F64" i="47" s="1"/>
  <c r="D54" i="26"/>
  <c r="P54" i="26" s="1"/>
  <c r="H54" i="26"/>
  <c r="H64" i="47" s="1"/>
  <c r="G54" i="26"/>
  <c r="G64" i="47" s="1"/>
  <c r="E54" i="26"/>
  <c r="E64" i="47" s="1"/>
  <c r="I54" i="26"/>
  <c r="I64" i="47" s="1"/>
  <c r="P51" i="20"/>
  <c r="B21" i="16"/>
  <c r="M51" i="20"/>
  <c r="M61" i="36" s="1"/>
  <c r="L56" i="16"/>
  <c r="H35" i="16"/>
  <c r="D39" i="40"/>
  <c r="I39" i="40"/>
  <c r="G39" i="40"/>
  <c r="F39" i="40"/>
  <c r="H39" i="40"/>
  <c r="Q48" i="40"/>
  <c r="R48" i="40"/>
  <c r="R39" i="40"/>
  <c r="Q39" i="40"/>
  <c r="R45" i="40"/>
  <c r="Q45" i="40"/>
  <c r="C53" i="16"/>
  <c r="B27" i="16"/>
  <c r="R47" i="40"/>
  <c r="Q47" i="40"/>
  <c r="Q55" i="40"/>
  <c r="R55" i="40"/>
  <c r="F22" i="36"/>
  <c r="F22" i="16" s="1"/>
  <c r="I47" i="20"/>
  <c r="I57" i="36" s="1"/>
  <c r="H47" i="20"/>
  <c r="H57" i="36" s="1"/>
  <c r="D47" i="20"/>
  <c r="N47" i="20" s="1"/>
  <c r="N57" i="36" s="1"/>
  <c r="F47" i="20"/>
  <c r="F57" i="36" s="1"/>
  <c r="G47" i="20"/>
  <c r="G57" i="36" s="1"/>
  <c r="E47" i="20"/>
  <c r="E57" i="36" s="1"/>
  <c r="F44" i="44"/>
  <c r="F57" i="42" s="1"/>
  <c r="F57" i="48" s="1"/>
  <c r="D44" i="44"/>
  <c r="D57" i="42" s="1"/>
  <c r="D57" i="48" s="1"/>
  <c r="E44" i="44"/>
  <c r="E57" i="42" s="1"/>
  <c r="E57" i="48" s="1"/>
  <c r="G44" i="44"/>
  <c r="G57" i="42" s="1"/>
  <c r="G57" i="48" s="1"/>
  <c r="H44" i="44"/>
  <c r="H57" i="42" s="1"/>
  <c r="H57" i="48" s="1"/>
  <c r="I44" i="44"/>
  <c r="I57" i="42" s="1"/>
  <c r="I57" i="48" s="1"/>
  <c r="I11" i="16"/>
  <c r="D43" i="31"/>
  <c r="F43" i="31"/>
  <c r="I43" i="31"/>
  <c r="G43" i="31"/>
  <c r="H43" i="31"/>
  <c r="E43" i="31"/>
  <c r="E37" i="44"/>
  <c r="E50" i="42" s="1"/>
  <c r="E50" i="48" s="1"/>
  <c r="D37" i="44"/>
  <c r="D50" i="42" s="1"/>
  <c r="D50" i="48" s="1"/>
  <c r="I37" i="44"/>
  <c r="I50" i="42" s="1"/>
  <c r="I50" i="48" s="1"/>
  <c r="F37" i="44"/>
  <c r="F50" i="42" s="1"/>
  <c r="F50" i="48" s="1"/>
  <c r="H37" i="44"/>
  <c r="H50" i="42" s="1"/>
  <c r="H50" i="48" s="1"/>
  <c r="G37" i="44"/>
  <c r="G50" i="42" s="1"/>
  <c r="G50" i="48" s="1"/>
  <c r="C22" i="16"/>
  <c r="C62" i="36"/>
  <c r="C62" i="16" s="1"/>
  <c r="L62" i="36"/>
  <c r="L62" i="16" s="1"/>
  <c r="C27" i="36"/>
  <c r="C27" i="16" s="1"/>
  <c r="C16" i="36"/>
  <c r="C51" i="36"/>
  <c r="C51" i="16" s="1"/>
  <c r="L51" i="36"/>
  <c r="L51" i="16" s="1"/>
  <c r="G11" i="16"/>
  <c r="G47" i="17"/>
  <c r="G59" i="45" s="1"/>
  <c r="F47" i="17"/>
  <c r="F59" i="45" s="1"/>
  <c r="E47" i="17"/>
  <c r="E59" i="45" s="1"/>
  <c r="D47" i="17"/>
  <c r="N47" i="17" s="1"/>
  <c r="N59" i="45" s="1"/>
  <c r="I47" i="17"/>
  <c r="I59" i="45" s="1"/>
  <c r="H47" i="17"/>
  <c r="H59" i="45" s="1"/>
  <c r="D45" i="31"/>
  <c r="I45" i="31"/>
  <c r="H45" i="31"/>
  <c r="F45" i="31"/>
  <c r="E45" i="31"/>
  <c r="G45" i="31"/>
  <c r="B47" i="16"/>
  <c r="K48" i="16"/>
  <c r="R42" i="40"/>
  <c r="Q42" i="40"/>
  <c r="I39" i="19"/>
  <c r="I52" i="35" s="1"/>
  <c r="H39" i="19"/>
  <c r="H52" i="35" s="1"/>
  <c r="E39" i="19"/>
  <c r="E52" i="35" s="1"/>
  <c r="F39" i="19"/>
  <c r="F52" i="35" s="1"/>
  <c r="G39" i="19"/>
  <c r="G52" i="35" s="1"/>
  <c r="D39" i="19"/>
  <c r="C63" i="16"/>
  <c r="M46" i="16"/>
  <c r="I45" i="17"/>
  <c r="I57" i="45" s="1"/>
  <c r="H45" i="17"/>
  <c r="H57" i="45" s="1"/>
  <c r="E45" i="17"/>
  <c r="E57" i="45" s="1"/>
  <c r="F45" i="17"/>
  <c r="F57" i="45" s="1"/>
  <c r="G45" i="17"/>
  <c r="G57" i="45" s="1"/>
  <c r="D45" i="17"/>
  <c r="D45" i="19"/>
  <c r="I45" i="19"/>
  <c r="I58" i="35" s="1"/>
  <c r="G45" i="19"/>
  <c r="G58" i="35" s="1"/>
  <c r="E45" i="19"/>
  <c r="E58" i="35" s="1"/>
  <c r="H45" i="19"/>
  <c r="H58" i="35" s="1"/>
  <c r="F45" i="19"/>
  <c r="F58" i="35" s="1"/>
  <c r="F29" i="36"/>
  <c r="F29" i="16" s="1"/>
  <c r="G54" i="20"/>
  <c r="G64" i="36" s="1"/>
  <c r="G64" i="16" s="1"/>
  <c r="H54" i="20"/>
  <c r="H64" i="36" s="1"/>
  <c r="H64" i="16" s="1"/>
  <c r="F54" i="20"/>
  <c r="F64" i="36" s="1"/>
  <c r="I54" i="20"/>
  <c r="I64" i="36" s="1"/>
  <c r="I64" i="16" s="1"/>
  <c r="E54" i="20"/>
  <c r="E64" i="36" s="1"/>
  <c r="D54" i="20"/>
  <c r="O54" i="20" s="1"/>
  <c r="O64" i="36" s="1"/>
  <c r="C24" i="36"/>
  <c r="C24" i="16" s="1"/>
  <c r="L59" i="36"/>
  <c r="C59" i="36"/>
  <c r="C59" i="16" s="1"/>
  <c r="B63" i="16"/>
  <c r="C25" i="16"/>
  <c r="D35" i="17"/>
  <c r="F35" i="17"/>
  <c r="F47" i="45" s="1"/>
  <c r="G35" i="17"/>
  <c r="G47" i="45" s="1"/>
  <c r="I35" i="17"/>
  <c r="I47" i="45" s="1"/>
  <c r="E35" i="17"/>
  <c r="E47" i="45" s="1"/>
  <c r="H35" i="17"/>
  <c r="H47" i="45" s="1"/>
  <c r="L52" i="16"/>
  <c r="C54" i="16"/>
  <c r="Q53" i="40"/>
  <c r="R53" i="40"/>
  <c r="R54" i="40"/>
  <c r="Q54" i="40"/>
  <c r="Q44" i="40"/>
  <c r="R44" i="40"/>
  <c r="G45" i="20"/>
  <c r="G55" i="36" s="1"/>
  <c r="G55" i="16" s="1"/>
  <c r="F20" i="36"/>
  <c r="F20" i="16" s="1"/>
  <c r="F45" i="20"/>
  <c r="F55" i="36" s="1"/>
  <c r="F55" i="16" s="1"/>
  <c r="E45" i="20"/>
  <c r="E55" i="36" s="1"/>
  <c r="E55" i="16" s="1"/>
  <c r="I45" i="20"/>
  <c r="I55" i="36" s="1"/>
  <c r="I55" i="16" s="1"/>
  <c r="H45" i="20"/>
  <c r="H55" i="36" s="1"/>
  <c r="H55" i="16" s="1"/>
  <c r="D45" i="20"/>
  <c r="M45" i="20" s="1"/>
  <c r="M55" i="36" s="1"/>
  <c r="O52" i="20"/>
  <c r="O62" i="36" s="1"/>
  <c r="F48" i="17"/>
  <c r="F60" i="45" s="1"/>
  <c r="E48" i="17"/>
  <c r="E60" i="45" s="1"/>
  <c r="I48" i="17"/>
  <c r="I60" i="45" s="1"/>
  <c r="D48" i="17"/>
  <c r="P48" i="17" s="1"/>
  <c r="G48" i="17"/>
  <c r="G60" i="45" s="1"/>
  <c r="H48" i="17"/>
  <c r="H60" i="45" s="1"/>
  <c r="G40" i="17"/>
  <c r="G52" i="45" s="1"/>
  <c r="F40" i="17"/>
  <c r="F52" i="45" s="1"/>
  <c r="I40" i="17"/>
  <c r="I52" i="45" s="1"/>
  <c r="H40" i="17"/>
  <c r="H52" i="45" s="1"/>
  <c r="E40" i="17"/>
  <c r="E52" i="45" s="1"/>
  <c r="D40" i="17"/>
  <c r="D52" i="45" s="1"/>
  <c r="C16" i="16"/>
  <c r="B64" i="16"/>
  <c r="B11" i="16"/>
  <c r="E40" i="44"/>
  <c r="E53" i="42" s="1"/>
  <c r="E53" i="48" s="1"/>
  <c r="G40" i="44"/>
  <c r="G53" i="42" s="1"/>
  <c r="G53" i="48" s="1"/>
  <c r="I40" i="44"/>
  <c r="I53" i="42" s="1"/>
  <c r="I53" i="48" s="1"/>
  <c r="D40" i="44"/>
  <c r="D53" i="42" s="1"/>
  <c r="D53" i="48" s="1"/>
  <c r="H40" i="44"/>
  <c r="H53" i="42" s="1"/>
  <c r="H53" i="48" s="1"/>
  <c r="F40" i="44"/>
  <c r="F53" i="42" s="1"/>
  <c r="F53" i="48" s="1"/>
  <c r="B18" i="16"/>
  <c r="F30" i="36"/>
  <c r="F30" i="16" s="1"/>
  <c r="F55" i="20"/>
  <c r="F65" i="36" s="1"/>
  <c r="F65" i="16" s="1"/>
  <c r="I55" i="20"/>
  <c r="I65" i="36" s="1"/>
  <c r="I65" i="16" s="1"/>
  <c r="E55" i="20"/>
  <c r="E65" i="36" s="1"/>
  <c r="E65" i="16" s="1"/>
  <c r="G55" i="20"/>
  <c r="G65" i="36" s="1"/>
  <c r="G65" i="16" s="1"/>
  <c r="H55" i="20"/>
  <c r="H65" i="36" s="1"/>
  <c r="H65" i="16" s="1"/>
  <c r="D55" i="20"/>
  <c r="M55" i="20" s="1"/>
  <c r="M65" i="36" s="1"/>
  <c r="E40" i="26"/>
  <c r="E50" i="47" s="1"/>
  <c r="G40" i="26"/>
  <c r="G50" i="47" s="1"/>
  <c r="I40" i="26"/>
  <c r="I50" i="47" s="1"/>
  <c r="D40" i="26"/>
  <c r="O40" i="26" s="1"/>
  <c r="O50" i="47" s="1"/>
  <c r="F40" i="26"/>
  <c r="F50" i="47" s="1"/>
  <c r="H40" i="26"/>
  <c r="H50" i="47" s="1"/>
  <c r="G42" i="26"/>
  <c r="G52" i="47" s="1"/>
  <c r="H42" i="26"/>
  <c r="H52" i="47" s="1"/>
  <c r="E42" i="26"/>
  <c r="E52" i="47" s="1"/>
  <c r="I42" i="26"/>
  <c r="I52" i="47" s="1"/>
  <c r="D42" i="26"/>
  <c r="D52" i="47" s="1"/>
  <c r="F42" i="26"/>
  <c r="F52" i="47" s="1"/>
  <c r="L59" i="16"/>
  <c r="B57" i="16"/>
  <c r="G48" i="40"/>
  <c r="D48" i="40"/>
  <c r="H48" i="40"/>
  <c r="I48" i="40"/>
  <c r="F48" i="40"/>
  <c r="K58" i="16"/>
  <c r="C13" i="16"/>
  <c r="Q40" i="40"/>
  <c r="R40" i="40"/>
  <c r="G50" i="19"/>
  <c r="G63" i="35" s="1"/>
  <c r="E50" i="19"/>
  <c r="E63" i="35" s="1"/>
  <c r="F50" i="19"/>
  <c r="F63" i="35" s="1"/>
  <c r="H50" i="19"/>
  <c r="H63" i="35" s="1"/>
  <c r="D50" i="19"/>
  <c r="I50" i="19"/>
  <c r="I63" i="35" s="1"/>
  <c r="L55" i="16"/>
  <c r="D46" i="17"/>
  <c r="D58" i="45" s="1"/>
  <c r="F46" i="17"/>
  <c r="F58" i="45" s="1"/>
  <c r="H46" i="17"/>
  <c r="H58" i="45" s="1"/>
  <c r="G46" i="17"/>
  <c r="G58" i="45" s="1"/>
  <c r="I46" i="17"/>
  <c r="I58" i="45" s="1"/>
  <c r="E46" i="17"/>
  <c r="E58" i="45" s="1"/>
  <c r="G40" i="19"/>
  <c r="G53" i="35" s="1"/>
  <c r="E40" i="19"/>
  <c r="E53" i="35" s="1"/>
  <c r="I40" i="19"/>
  <c r="I53" i="35" s="1"/>
  <c r="F40" i="19"/>
  <c r="F53" i="35" s="1"/>
  <c r="D40" i="19"/>
  <c r="H40" i="19"/>
  <c r="H53" i="35" s="1"/>
  <c r="F11" i="16"/>
  <c r="C29" i="16"/>
  <c r="K56" i="16"/>
  <c r="G53" i="26"/>
  <c r="G63" i="47" s="1"/>
  <c r="D53" i="26"/>
  <c r="E53" i="26"/>
  <c r="E63" i="47" s="1"/>
  <c r="I53" i="26"/>
  <c r="I63" i="47" s="1"/>
  <c r="F53" i="26"/>
  <c r="F63" i="47" s="1"/>
  <c r="H53" i="26"/>
  <c r="H63" i="47" s="1"/>
  <c r="C15" i="16"/>
  <c r="C18" i="16"/>
  <c r="F54" i="42" l="1"/>
  <c r="F54" i="48" s="1"/>
  <c r="G54" i="42"/>
  <c r="G54" i="48" s="1"/>
  <c r="E48" i="42"/>
  <c r="E48" i="48" s="1"/>
  <c r="H48" i="42"/>
  <c r="H48" i="48" s="1"/>
  <c r="D58" i="42"/>
  <c r="D58" i="48" s="1"/>
  <c r="I58" i="42"/>
  <c r="I58" i="48" s="1"/>
  <c r="G51" i="42"/>
  <c r="G51" i="48" s="1"/>
  <c r="D54" i="42"/>
  <c r="D54" i="48" s="1"/>
  <c r="I54" i="42"/>
  <c r="I54" i="48" s="1"/>
  <c r="D48" i="42"/>
  <c r="D48" i="48" s="1"/>
  <c r="F48" i="42"/>
  <c r="F48" i="48" s="1"/>
  <c r="E58" i="42"/>
  <c r="E58" i="48" s="1"/>
  <c r="F58" i="42"/>
  <c r="F58" i="48" s="1"/>
  <c r="D51" i="42"/>
  <c r="D51" i="48" s="1"/>
  <c r="E54" i="42"/>
  <c r="E54" i="48" s="1"/>
  <c r="G48" i="42"/>
  <c r="G48" i="48" s="1"/>
  <c r="H58" i="42"/>
  <c r="H58" i="48" s="1"/>
  <c r="I51" i="42"/>
  <c r="I51" i="48" s="1"/>
  <c r="E51" i="42"/>
  <c r="E51" i="48" s="1"/>
  <c r="H54" i="42"/>
  <c r="H54" i="48" s="1"/>
  <c r="I48" i="42"/>
  <c r="I48" i="48" s="1"/>
  <c r="G58" i="42"/>
  <c r="G58" i="48" s="1"/>
  <c r="H51" i="42"/>
  <c r="H51" i="48" s="1"/>
  <c r="F51" i="42"/>
  <c r="F51" i="48" s="1"/>
  <c r="B17" i="48"/>
  <c r="B17" i="16" s="1"/>
  <c r="K17" i="16"/>
  <c r="B19" i="48"/>
  <c r="B19" i="16" s="1"/>
  <c r="K19" i="16"/>
  <c r="F64" i="16"/>
  <c r="E64" i="16"/>
  <c r="P64" i="47"/>
  <c r="R54" i="26"/>
  <c r="R64" i="47" s="1"/>
  <c r="Q54" i="26"/>
  <c r="Q64" i="47" s="1"/>
  <c r="P53" i="47"/>
  <c r="R43" i="26"/>
  <c r="R53" i="47" s="1"/>
  <c r="Q43" i="26"/>
  <c r="Q53" i="47" s="1"/>
  <c r="P49" i="47"/>
  <c r="Q39" i="26"/>
  <c r="Q49" i="47" s="1"/>
  <c r="R39" i="26"/>
  <c r="R49" i="47" s="1"/>
  <c r="P58" i="47"/>
  <c r="R48" i="26"/>
  <c r="R58" i="47" s="1"/>
  <c r="Q48" i="26"/>
  <c r="Q58" i="47" s="1"/>
  <c r="D57" i="47"/>
  <c r="P47" i="26"/>
  <c r="N47" i="26"/>
  <c r="N57" i="47" s="1"/>
  <c r="O47" i="26"/>
  <c r="O57" i="47" s="1"/>
  <c r="D62" i="47"/>
  <c r="P52" i="26"/>
  <c r="O52" i="26"/>
  <c r="O62" i="47" s="1"/>
  <c r="D59" i="47"/>
  <c r="M49" i="26"/>
  <c r="M59" i="47" s="1"/>
  <c r="P49" i="26"/>
  <c r="D51" i="47"/>
  <c r="N41" i="26"/>
  <c r="N51" i="47" s="1"/>
  <c r="M41" i="26"/>
  <c r="M51" i="47" s="1"/>
  <c r="M54" i="26"/>
  <c r="M64" i="47" s="1"/>
  <c r="O42" i="26"/>
  <c r="O52" i="47" s="1"/>
  <c r="N50" i="26"/>
  <c r="N60" i="47" s="1"/>
  <c r="N49" i="26"/>
  <c r="N59" i="47" s="1"/>
  <c r="M47" i="26"/>
  <c r="M57" i="47" s="1"/>
  <c r="D56" i="47"/>
  <c r="O46" i="26"/>
  <c r="O56" i="47" s="1"/>
  <c r="N46" i="26"/>
  <c r="N56" i="47" s="1"/>
  <c r="M46" i="26"/>
  <c r="M56" i="47" s="1"/>
  <c r="F61" i="16"/>
  <c r="D55" i="47"/>
  <c r="P45" i="26"/>
  <c r="N45" i="26"/>
  <c r="N55" i="47" s="1"/>
  <c r="D65" i="47"/>
  <c r="P55" i="26"/>
  <c r="D58" i="47"/>
  <c r="O48" i="26"/>
  <c r="O58" i="47" s="1"/>
  <c r="P46" i="26"/>
  <c r="O50" i="26"/>
  <c r="O60" i="47" s="1"/>
  <c r="N52" i="26"/>
  <c r="N62" i="47" s="1"/>
  <c r="O37" i="26"/>
  <c r="O47" i="47" s="1"/>
  <c r="O45" i="26"/>
  <c r="O55" i="47" s="1"/>
  <c r="P42" i="26"/>
  <c r="M50" i="26"/>
  <c r="M60" i="47" s="1"/>
  <c r="N42" i="26"/>
  <c r="N52" i="47" s="1"/>
  <c r="D50" i="47"/>
  <c r="P40" i="26"/>
  <c r="N40" i="26"/>
  <c r="N50" i="47" s="1"/>
  <c r="D64" i="47"/>
  <c r="N54" i="26"/>
  <c r="N64" i="47" s="1"/>
  <c r="D53" i="47"/>
  <c r="M43" i="26"/>
  <c r="M53" i="47" s="1"/>
  <c r="N43" i="26"/>
  <c r="N53" i="47" s="1"/>
  <c r="D49" i="47"/>
  <c r="M39" i="26"/>
  <c r="M49" i="47" s="1"/>
  <c r="N39" i="26"/>
  <c r="N49" i="47" s="1"/>
  <c r="D48" i="47"/>
  <c r="M38" i="26"/>
  <c r="M48" i="47" s="1"/>
  <c r="N38" i="26"/>
  <c r="N48" i="47" s="1"/>
  <c r="O38" i="26"/>
  <c r="O48" i="47" s="1"/>
  <c r="G61" i="16"/>
  <c r="E61" i="16"/>
  <c r="P38" i="26"/>
  <c r="M42" i="26"/>
  <c r="M52" i="47" s="1"/>
  <c r="M48" i="26"/>
  <c r="M58" i="47" s="1"/>
  <c r="O49" i="26"/>
  <c r="O59" i="47" s="1"/>
  <c r="O55" i="26"/>
  <c r="O65" i="47" s="1"/>
  <c r="O39" i="26"/>
  <c r="O49" i="47" s="1"/>
  <c r="P50" i="26"/>
  <c r="P41" i="26"/>
  <c r="O54" i="26"/>
  <c r="O64" i="47" s="1"/>
  <c r="D63" i="47"/>
  <c r="P53" i="26"/>
  <c r="N53" i="26"/>
  <c r="N63" i="47" s="1"/>
  <c r="O53" i="26"/>
  <c r="O63" i="47" s="1"/>
  <c r="M53" i="26"/>
  <c r="M63" i="47" s="1"/>
  <c r="D54" i="47"/>
  <c r="N44" i="26"/>
  <c r="N54" i="47" s="1"/>
  <c r="O44" i="26"/>
  <c r="O54" i="47" s="1"/>
  <c r="D61" i="47"/>
  <c r="N51" i="26"/>
  <c r="N61" i="47" s="1"/>
  <c r="P51" i="26"/>
  <c r="D47" i="47"/>
  <c r="N37" i="26"/>
  <c r="N47" i="47" s="1"/>
  <c r="P37" i="26"/>
  <c r="I61" i="16"/>
  <c r="H61" i="16"/>
  <c r="P44" i="26"/>
  <c r="N55" i="26"/>
  <c r="N65" i="47" s="1"/>
  <c r="M45" i="26"/>
  <c r="M55" i="47" s="1"/>
  <c r="M40" i="26"/>
  <c r="M50" i="47" s="1"/>
  <c r="O43" i="26"/>
  <c r="O53" i="47" s="1"/>
  <c r="M51" i="26"/>
  <c r="M61" i="47" s="1"/>
  <c r="O41" i="26"/>
  <c r="O51" i="47" s="1"/>
  <c r="N48" i="26"/>
  <c r="N58" i="47" s="1"/>
  <c r="M52" i="26"/>
  <c r="M62" i="47" s="1"/>
  <c r="F57" i="16"/>
  <c r="N50" i="19"/>
  <c r="N63" i="35" s="1"/>
  <c r="D63" i="35"/>
  <c r="O39" i="19"/>
  <c r="O52" i="35" s="1"/>
  <c r="D52" i="35"/>
  <c r="E53" i="16"/>
  <c r="F53" i="16"/>
  <c r="F63" i="16"/>
  <c r="I56" i="16"/>
  <c r="E56" i="16"/>
  <c r="N37" i="19"/>
  <c r="N50" i="35" s="1"/>
  <c r="D50" i="35"/>
  <c r="G53" i="16"/>
  <c r="I53" i="16"/>
  <c r="E63" i="16"/>
  <c r="O47" i="19"/>
  <c r="O60" i="35" s="1"/>
  <c r="D60" i="35"/>
  <c r="O43" i="19"/>
  <c r="O56" i="35" s="1"/>
  <c r="D56" i="35"/>
  <c r="N44" i="19"/>
  <c r="N57" i="35" s="1"/>
  <c r="D57" i="35"/>
  <c r="N41" i="19"/>
  <c r="N54" i="35" s="1"/>
  <c r="D54" i="35"/>
  <c r="O48" i="19"/>
  <c r="O61" i="35" s="1"/>
  <c r="D61" i="35"/>
  <c r="N35" i="19"/>
  <c r="N48" i="35" s="1"/>
  <c r="D48" i="35"/>
  <c r="G56" i="16"/>
  <c r="O49" i="19"/>
  <c r="O62" i="35" s="1"/>
  <c r="D62" i="35"/>
  <c r="N49" i="19"/>
  <c r="N62" i="35" s="1"/>
  <c r="M37" i="19"/>
  <c r="M50" i="35" s="1"/>
  <c r="O38" i="19"/>
  <c r="O51" i="35" s="1"/>
  <c r="D51" i="35"/>
  <c r="H53" i="16"/>
  <c r="H63" i="16"/>
  <c r="O34" i="19"/>
  <c r="O47" i="35" s="1"/>
  <c r="D47" i="35"/>
  <c r="H56" i="16"/>
  <c r="O37" i="19"/>
  <c r="O50" i="35" s="1"/>
  <c r="M40" i="19"/>
  <c r="M53" i="35" s="1"/>
  <c r="D53" i="35"/>
  <c r="P45" i="19"/>
  <c r="P58" i="35" s="1"/>
  <c r="D58" i="35"/>
  <c r="O46" i="19"/>
  <c r="O59" i="35" s="1"/>
  <c r="D59" i="35"/>
  <c r="G63" i="16"/>
  <c r="I63" i="16"/>
  <c r="N42" i="19"/>
  <c r="N55" i="35" s="1"/>
  <c r="D55" i="35"/>
  <c r="F56" i="16"/>
  <c r="M51" i="19"/>
  <c r="M64" i="35" s="1"/>
  <c r="D64" i="35"/>
  <c r="P51" i="19"/>
  <c r="P64" i="35" s="1"/>
  <c r="H57" i="16"/>
  <c r="G57" i="16"/>
  <c r="I57" i="16"/>
  <c r="F59" i="16"/>
  <c r="E52" i="16"/>
  <c r="G52" i="16"/>
  <c r="E62" i="16"/>
  <c r="H51" i="16"/>
  <c r="I51" i="16"/>
  <c r="E54" i="16"/>
  <c r="I54" i="16"/>
  <c r="F49" i="16"/>
  <c r="H49" i="16"/>
  <c r="H48" i="16"/>
  <c r="I48" i="16"/>
  <c r="E47" i="16"/>
  <c r="I47" i="16"/>
  <c r="H50" i="16"/>
  <c r="F50" i="16"/>
  <c r="E60" i="16"/>
  <c r="F58" i="16"/>
  <c r="G58" i="16"/>
  <c r="H59" i="16"/>
  <c r="F52" i="16"/>
  <c r="I62" i="16"/>
  <c r="F62" i="16"/>
  <c r="E51" i="16"/>
  <c r="H54" i="16"/>
  <c r="I49" i="16"/>
  <c r="G48" i="16"/>
  <c r="F47" i="16"/>
  <c r="G47" i="16"/>
  <c r="E50" i="16"/>
  <c r="F60" i="16"/>
  <c r="I60" i="16"/>
  <c r="I58" i="16"/>
  <c r="P49" i="17"/>
  <c r="E59" i="16"/>
  <c r="I52" i="16"/>
  <c r="H62" i="16"/>
  <c r="F54" i="16"/>
  <c r="G49" i="16"/>
  <c r="H47" i="16"/>
  <c r="G50" i="16"/>
  <c r="H60" i="16"/>
  <c r="E57" i="16"/>
  <c r="I59" i="16"/>
  <c r="G59" i="16"/>
  <c r="H52" i="16"/>
  <c r="G62" i="16"/>
  <c r="F51" i="16"/>
  <c r="G51" i="16"/>
  <c r="G54" i="16"/>
  <c r="E49" i="16"/>
  <c r="F48" i="16"/>
  <c r="E48" i="16"/>
  <c r="I50" i="16"/>
  <c r="G60" i="16"/>
  <c r="H58" i="16"/>
  <c r="E58" i="16"/>
  <c r="N49" i="17"/>
  <c r="N61" i="45" s="1"/>
  <c r="Q45" i="19"/>
  <c r="Q58" i="35" s="1"/>
  <c r="R45" i="19"/>
  <c r="R58" i="35" s="1"/>
  <c r="P60" i="45"/>
  <c r="Q48" i="17"/>
  <c r="Q60" i="45" s="1"/>
  <c r="R48" i="17"/>
  <c r="R60" i="45" s="1"/>
  <c r="D57" i="45"/>
  <c r="M45" i="17"/>
  <c r="M57" i="45" s="1"/>
  <c r="P45" i="17"/>
  <c r="N45" i="17"/>
  <c r="N57" i="45" s="1"/>
  <c r="N57" i="16" s="1"/>
  <c r="O45" i="17"/>
  <c r="O57" i="45" s="1"/>
  <c r="D51" i="45"/>
  <c r="N39" i="17"/>
  <c r="N51" i="45" s="1"/>
  <c r="O39" i="17"/>
  <c r="O51" i="45" s="1"/>
  <c r="M39" i="17"/>
  <c r="M51" i="45" s="1"/>
  <c r="D62" i="45"/>
  <c r="D62" i="16" s="1"/>
  <c r="P50" i="17"/>
  <c r="N50" i="17"/>
  <c r="N62" i="45" s="1"/>
  <c r="D64" i="45"/>
  <c r="P52" i="17"/>
  <c r="D55" i="45"/>
  <c r="N43" i="17"/>
  <c r="N55" i="45" s="1"/>
  <c r="O52" i="19"/>
  <c r="O65" i="35" s="1"/>
  <c r="M52" i="19"/>
  <c r="M65" i="35" s="1"/>
  <c r="M65" i="16" s="1"/>
  <c r="M51" i="17"/>
  <c r="M63" i="45" s="1"/>
  <c r="P53" i="17"/>
  <c r="N36" i="17"/>
  <c r="N48" i="45" s="1"/>
  <c r="N40" i="17"/>
  <c r="N52" i="45" s="1"/>
  <c r="O47" i="17"/>
  <c r="O59" i="45" s="1"/>
  <c r="N46" i="17"/>
  <c r="N58" i="45" s="1"/>
  <c r="P39" i="17"/>
  <c r="P52" i="19"/>
  <c r="P65" i="35" s="1"/>
  <c r="Q51" i="19"/>
  <c r="Q64" i="35" s="1"/>
  <c r="R51" i="19"/>
  <c r="R64" i="35" s="1"/>
  <c r="P42" i="19"/>
  <c r="P55" i="35" s="1"/>
  <c r="M38" i="19"/>
  <c r="M51" i="35" s="1"/>
  <c r="M47" i="19"/>
  <c r="M60" i="35" s="1"/>
  <c r="D47" i="45"/>
  <c r="N35" i="17"/>
  <c r="N47" i="45" s="1"/>
  <c r="P36" i="19"/>
  <c r="P49" i="35" s="1"/>
  <c r="M36" i="19"/>
  <c r="M49" i="35" s="1"/>
  <c r="P46" i="19"/>
  <c r="P59" i="35" s="1"/>
  <c r="N46" i="19"/>
  <c r="N59" i="35" s="1"/>
  <c r="D49" i="45"/>
  <c r="O37" i="17"/>
  <c r="O49" i="45" s="1"/>
  <c r="M37" i="17"/>
  <c r="M49" i="45" s="1"/>
  <c r="P37" i="17"/>
  <c r="D65" i="45"/>
  <c r="N53" i="17"/>
  <c r="N65" i="45" s="1"/>
  <c r="O53" i="17"/>
  <c r="O65" i="45" s="1"/>
  <c r="D53" i="45"/>
  <c r="M41" i="17"/>
  <c r="M53" i="45" s="1"/>
  <c r="P41" i="17"/>
  <c r="N41" i="17"/>
  <c r="N53" i="45" s="1"/>
  <c r="D56" i="45"/>
  <c r="M44" i="17"/>
  <c r="M56" i="45" s="1"/>
  <c r="N44" i="17"/>
  <c r="N56" i="45" s="1"/>
  <c r="M43" i="17"/>
  <c r="M55" i="45" s="1"/>
  <c r="M55" i="16" s="1"/>
  <c r="N37" i="17"/>
  <c r="N49" i="45" s="1"/>
  <c r="P38" i="17"/>
  <c r="M36" i="17"/>
  <c r="M48" i="45" s="1"/>
  <c r="P46" i="17"/>
  <c r="P35" i="17"/>
  <c r="M40" i="17"/>
  <c r="M52" i="45" s="1"/>
  <c r="P36" i="17"/>
  <c r="P51" i="17"/>
  <c r="P43" i="17"/>
  <c r="M44" i="19"/>
  <c r="M57" i="35" s="1"/>
  <c r="N40" i="19"/>
  <c r="N53" i="35" s="1"/>
  <c r="O42" i="19"/>
  <c r="O55" i="35" s="1"/>
  <c r="M43" i="19"/>
  <c r="M56" i="35" s="1"/>
  <c r="P39" i="19"/>
  <c r="P52" i="35" s="1"/>
  <c r="M42" i="19"/>
  <c r="M55" i="35" s="1"/>
  <c r="P49" i="19"/>
  <c r="P62" i="35" s="1"/>
  <c r="M34" i="19"/>
  <c r="M47" i="35" s="1"/>
  <c r="N34" i="19"/>
  <c r="N47" i="35" s="1"/>
  <c r="N48" i="19"/>
  <c r="N61" i="35" s="1"/>
  <c r="O40" i="19"/>
  <c r="O53" i="35" s="1"/>
  <c r="O36" i="19"/>
  <c r="O49" i="35" s="1"/>
  <c r="D59" i="45"/>
  <c r="M47" i="17"/>
  <c r="M59" i="45" s="1"/>
  <c r="P50" i="19"/>
  <c r="P63" i="35" s="1"/>
  <c r="O50" i="19"/>
  <c r="O63" i="35" s="1"/>
  <c r="M50" i="19"/>
  <c r="M63" i="35" s="1"/>
  <c r="D60" i="45"/>
  <c r="O48" i="17"/>
  <c r="O60" i="45" s="1"/>
  <c r="M48" i="17"/>
  <c r="M60" i="45" s="1"/>
  <c r="N48" i="17"/>
  <c r="N60" i="45" s="1"/>
  <c r="D54" i="45"/>
  <c r="D54" i="16" s="1"/>
  <c r="P42" i="17"/>
  <c r="O44" i="17"/>
  <c r="O56" i="45" s="1"/>
  <c r="O56" i="16" s="1"/>
  <c r="P40" i="17"/>
  <c r="O49" i="17"/>
  <c r="O61" i="45" s="1"/>
  <c r="O61" i="16" s="1"/>
  <c r="N38" i="17"/>
  <c r="N50" i="45" s="1"/>
  <c r="O46" i="17"/>
  <c r="O58" i="45" s="1"/>
  <c r="M49" i="17"/>
  <c r="M61" i="45" s="1"/>
  <c r="M46" i="17"/>
  <c r="M58" i="45" s="1"/>
  <c r="M52" i="17"/>
  <c r="M64" i="45" s="1"/>
  <c r="P47" i="17"/>
  <c r="M50" i="17"/>
  <c r="M62" i="45" s="1"/>
  <c r="O52" i="17"/>
  <c r="O64" i="45" s="1"/>
  <c r="O64" i="16" s="1"/>
  <c r="P35" i="19"/>
  <c r="P48" i="35" s="1"/>
  <c r="M49" i="19"/>
  <c r="M62" i="35" s="1"/>
  <c r="N39" i="19"/>
  <c r="N52" i="35" s="1"/>
  <c r="P40" i="19"/>
  <c r="P53" i="35" s="1"/>
  <c r="P47" i="19"/>
  <c r="P60" i="35" s="1"/>
  <c r="N43" i="19"/>
  <c r="N56" i="35" s="1"/>
  <c r="N38" i="19"/>
  <c r="N51" i="35" s="1"/>
  <c r="M39" i="19"/>
  <c r="M52" i="35" s="1"/>
  <c r="P37" i="19"/>
  <c r="P50" i="35" s="1"/>
  <c r="P38" i="19"/>
  <c r="P51" i="35" s="1"/>
  <c r="O35" i="19"/>
  <c r="O48" i="35" s="1"/>
  <c r="P34" i="19"/>
  <c r="P47" i="35" s="1"/>
  <c r="N45" i="19"/>
  <c r="N58" i="35" s="1"/>
  <c r="M45" i="19"/>
  <c r="M58" i="35" s="1"/>
  <c r="D63" i="45"/>
  <c r="N51" i="17"/>
  <c r="N63" i="45" s="1"/>
  <c r="O41" i="19"/>
  <c r="O54" i="35" s="1"/>
  <c r="M41" i="19"/>
  <c r="M54" i="35" s="1"/>
  <c r="M54" i="16" s="1"/>
  <c r="P48" i="19"/>
  <c r="P61" i="35" s="1"/>
  <c r="M48" i="19"/>
  <c r="M61" i="35" s="1"/>
  <c r="O40" i="17"/>
  <c r="O52" i="45" s="1"/>
  <c r="O35" i="17"/>
  <c r="O47" i="45" s="1"/>
  <c r="P44" i="17"/>
  <c r="O42" i="17"/>
  <c r="O54" i="45" s="1"/>
  <c r="O38" i="17"/>
  <c r="O50" i="45" s="1"/>
  <c r="M35" i="17"/>
  <c r="M47" i="45" s="1"/>
  <c r="M47" i="16" s="1"/>
  <c r="N52" i="17"/>
  <c r="N64" i="45" s="1"/>
  <c r="O36" i="17"/>
  <c r="O48" i="45" s="1"/>
  <c r="N42" i="17"/>
  <c r="N54" i="45" s="1"/>
  <c r="N54" i="16" s="1"/>
  <c r="M38" i="17"/>
  <c r="M50" i="45" s="1"/>
  <c r="O43" i="17"/>
  <c r="O55" i="45" s="1"/>
  <c r="O50" i="17"/>
  <c r="O62" i="45" s="1"/>
  <c r="O62" i="16" s="1"/>
  <c r="P41" i="19"/>
  <c r="P54" i="35" s="1"/>
  <c r="M46" i="19"/>
  <c r="M59" i="35" s="1"/>
  <c r="O45" i="19"/>
  <c r="O58" i="35" s="1"/>
  <c r="O44" i="19"/>
  <c r="O57" i="35" s="1"/>
  <c r="M35" i="19"/>
  <c r="M48" i="35" s="1"/>
  <c r="N36" i="19"/>
  <c r="N49" i="35" s="1"/>
  <c r="P43" i="19"/>
  <c r="P56" i="35" s="1"/>
  <c r="N51" i="19"/>
  <c r="N64" i="35" s="1"/>
  <c r="N47" i="19"/>
  <c r="N60" i="35" s="1"/>
  <c r="P44" i="19"/>
  <c r="P57" i="35" s="1"/>
  <c r="N52" i="19"/>
  <c r="N65" i="35" s="1"/>
  <c r="Q41" i="20"/>
  <c r="Q51" i="36" s="1"/>
  <c r="P51" i="36"/>
  <c r="R41" i="20"/>
  <c r="R51" i="36" s="1"/>
  <c r="R51" i="20"/>
  <c r="R61" i="36" s="1"/>
  <c r="P61" i="36"/>
  <c r="Q51" i="20"/>
  <c r="Q61" i="36" s="1"/>
  <c r="D50" i="36"/>
  <c r="D50" i="16" s="1"/>
  <c r="O40" i="20"/>
  <c r="O50" i="36" s="1"/>
  <c r="M40" i="20"/>
  <c r="M50" i="36" s="1"/>
  <c r="N40" i="20"/>
  <c r="N50" i="36" s="1"/>
  <c r="N50" i="16" s="1"/>
  <c r="D67" i="36"/>
  <c r="D67" i="16" s="1"/>
  <c r="O57" i="20"/>
  <c r="O67" i="36" s="1"/>
  <c r="O67" i="16" s="1"/>
  <c r="M57" i="20"/>
  <c r="M67" i="36" s="1"/>
  <c r="M67" i="16" s="1"/>
  <c r="D60" i="36"/>
  <c r="D60" i="16" s="1"/>
  <c r="M50" i="20"/>
  <c r="M60" i="36" s="1"/>
  <c r="M60" i="16" s="1"/>
  <c r="N50" i="20"/>
  <c r="N60" i="36" s="1"/>
  <c r="O50" i="20"/>
  <c r="O60" i="36" s="1"/>
  <c r="O60" i="16" s="1"/>
  <c r="P50" i="20"/>
  <c r="P57" i="20"/>
  <c r="O44" i="20"/>
  <c r="O54" i="36" s="1"/>
  <c r="O54" i="16" s="1"/>
  <c r="D65" i="36"/>
  <c r="D65" i="16" s="1"/>
  <c r="P55" i="20"/>
  <c r="O55" i="20"/>
  <c r="O65" i="36" s="1"/>
  <c r="O65" i="16" s="1"/>
  <c r="D57" i="36"/>
  <c r="D57" i="16" s="1"/>
  <c r="O47" i="20"/>
  <c r="O57" i="36" s="1"/>
  <c r="O57" i="16" s="1"/>
  <c r="P47" i="20"/>
  <c r="D59" i="36"/>
  <c r="D59" i="16" s="1"/>
  <c r="N49" i="20"/>
  <c r="N59" i="36" s="1"/>
  <c r="N59" i="16" s="1"/>
  <c r="P49" i="20"/>
  <c r="D52" i="36"/>
  <c r="D52" i="16" s="1"/>
  <c r="P42" i="20"/>
  <c r="M42" i="20"/>
  <c r="M52" i="36" s="1"/>
  <c r="M52" i="16" s="1"/>
  <c r="D66" i="36"/>
  <c r="D66" i="16" s="1"/>
  <c r="M56" i="20"/>
  <c r="M66" i="36" s="1"/>
  <c r="M66" i="16" s="1"/>
  <c r="P56" i="20"/>
  <c r="D63" i="36"/>
  <c r="D63" i="16" s="1"/>
  <c r="M53" i="20"/>
  <c r="M63" i="36" s="1"/>
  <c r="M63" i="16" s="1"/>
  <c r="N53" i="20"/>
  <c r="N63" i="36" s="1"/>
  <c r="N63" i="16" s="1"/>
  <c r="P53" i="20"/>
  <c r="O53" i="20"/>
  <c r="O63" i="36" s="1"/>
  <c r="O63" i="16" s="1"/>
  <c r="D49" i="36"/>
  <c r="D49" i="16" s="1"/>
  <c r="M39" i="20"/>
  <c r="M49" i="36" s="1"/>
  <c r="M49" i="16" s="1"/>
  <c r="N39" i="20"/>
  <c r="N49" i="36" s="1"/>
  <c r="N49" i="16" s="1"/>
  <c r="D56" i="36"/>
  <c r="D56" i="16" s="1"/>
  <c r="M46" i="20"/>
  <c r="M56" i="36" s="1"/>
  <c r="M56" i="16" s="1"/>
  <c r="N46" i="20"/>
  <c r="N56" i="36" s="1"/>
  <c r="N56" i="16" s="1"/>
  <c r="M47" i="20"/>
  <c r="M57" i="36" s="1"/>
  <c r="M57" i="16" s="1"/>
  <c r="O49" i="20"/>
  <c r="O59" i="36" s="1"/>
  <c r="O59" i="16" s="1"/>
  <c r="D55" i="36"/>
  <c r="D55" i="16" s="1"/>
  <c r="P45" i="20"/>
  <c r="N45" i="20"/>
  <c r="N55" i="36" s="1"/>
  <c r="N55" i="16" s="1"/>
  <c r="O45" i="20"/>
  <c r="O55" i="36" s="1"/>
  <c r="O55" i="16" s="1"/>
  <c r="D64" i="36"/>
  <c r="D64" i="16" s="1"/>
  <c r="P54" i="20"/>
  <c r="M54" i="20"/>
  <c r="M64" i="36" s="1"/>
  <c r="M64" i="16" s="1"/>
  <c r="N54" i="20"/>
  <c r="N64" i="36" s="1"/>
  <c r="N64" i="16" s="1"/>
  <c r="R40" i="20"/>
  <c r="R50" i="36" s="1"/>
  <c r="P50" i="36"/>
  <c r="Q40" i="20"/>
  <c r="Q50" i="36" s="1"/>
  <c r="N55" i="20"/>
  <c r="N65" i="36" s="1"/>
  <c r="N65" i="16" s="1"/>
  <c r="D53" i="36"/>
  <c r="D53" i="16" s="1"/>
  <c r="P43" i="20"/>
  <c r="O43" i="20"/>
  <c r="O53" i="36" s="1"/>
  <c r="O53" i="16" s="1"/>
  <c r="R46" i="20"/>
  <c r="R56" i="36" s="1"/>
  <c r="P56" i="36"/>
  <c r="Q46" i="20"/>
  <c r="Q56" i="36" s="1"/>
  <c r="D51" i="36"/>
  <c r="D51" i="16" s="1"/>
  <c r="M41" i="20"/>
  <c r="M51" i="36" s="1"/>
  <c r="M51" i="16" s="1"/>
  <c r="N41" i="20"/>
  <c r="N51" i="36" s="1"/>
  <c r="N51" i="16" s="1"/>
  <c r="P44" i="20"/>
  <c r="M49" i="20"/>
  <c r="M59" i="36" s="1"/>
  <c r="M59" i="16" s="1"/>
  <c r="D47" i="36"/>
  <c r="D47" i="16" s="1"/>
  <c r="N37" i="20"/>
  <c r="N47" i="36" s="1"/>
  <c r="N47" i="16" s="1"/>
  <c r="O37" i="20"/>
  <c r="O47" i="36" s="1"/>
  <c r="O47" i="16" s="1"/>
  <c r="P37" i="20"/>
  <c r="P52" i="20"/>
  <c r="D58" i="36"/>
  <c r="D58" i="16" s="1"/>
  <c r="O48" i="20"/>
  <c r="O58" i="36" s="1"/>
  <c r="O58" i="16" s="1"/>
  <c r="P48" i="20"/>
  <c r="M48" i="20"/>
  <c r="M58" i="36" s="1"/>
  <c r="M58" i="16" s="1"/>
  <c r="N48" i="20"/>
  <c r="N58" i="36" s="1"/>
  <c r="N58" i="16" s="1"/>
  <c r="N52" i="20"/>
  <c r="N62" i="36" s="1"/>
  <c r="N62" i="16" s="1"/>
  <c r="O39" i="20"/>
  <c r="O49" i="36" s="1"/>
  <c r="O49" i="16" s="1"/>
  <c r="O41" i="20"/>
  <c r="O51" i="36" s="1"/>
  <c r="O51" i="16" s="1"/>
  <c r="P49" i="36"/>
  <c r="Q39" i="20"/>
  <c r="Q49" i="36" s="1"/>
  <c r="R39" i="20"/>
  <c r="R49" i="36" s="1"/>
  <c r="N43" i="20"/>
  <c r="N53" i="36" s="1"/>
  <c r="N53" i="16" s="1"/>
  <c r="D61" i="36"/>
  <c r="D61" i="16" s="1"/>
  <c r="N51" i="20"/>
  <c r="N61" i="36" s="1"/>
  <c r="N61" i="16" s="1"/>
  <c r="D48" i="36"/>
  <c r="D48" i="16" s="1"/>
  <c r="M38" i="20"/>
  <c r="M48" i="36" s="1"/>
  <c r="M48" i="16" s="1"/>
  <c r="N38" i="20"/>
  <c r="N48" i="36" s="1"/>
  <c r="N48" i="16" s="1"/>
  <c r="P38" i="20"/>
  <c r="M43" i="20"/>
  <c r="M53" i="36" s="1"/>
  <c r="M53" i="16" s="1"/>
  <c r="M52" i="20"/>
  <c r="M62" i="36" s="1"/>
  <c r="M62" i="16" s="1"/>
  <c r="O56" i="20"/>
  <c r="O66" i="36" s="1"/>
  <c r="O66" i="16" s="1"/>
  <c r="O38" i="20"/>
  <c r="O48" i="36" s="1"/>
  <c r="O48" i="16" s="1"/>
  <c r="O42" i="20"/>
  <c r="O52" i="36" s="1"/>
  <c r="O52" i="16" s="1"/>
  <c r="P48" i="47" l="1"/>
  <c r="R38" i="26"/>
  <c r="R48" i="47" s="1"/>
  <c r="Q38" i="26"/>
  <c r="Q48" i="47" s="1"/>
  <c r="P50" i="47"/>
  <c r="Q40" i="26"/>
  <c r="Q50" i="47" s="1"/>
  <c r="R40" i="26"/>
  <c r="R50" i="47" s="1"/>
  <c r="P52" i="47"/>
  <c r="Q42" i="26"/>
  <c r="Q52" i="47" s="1"/>
  <c r="R42" i="26"/>
  <c r="R52" i="47" s="1"/>
  <c r="P65" i="47"/>
  <c r="Q55" i="26"/>
  <c r="Q65" i="47" s="1"/>
  <c r="R55" i="26"/>
  <c r="R65" i="47" s="1"/>
  <c r="P61" i="47"/>
  <c r="Q51" i="26"/>
  <c r="Q61" i="47" s="1"/>
  <c r="R51" i="26"/>
  <c r="R61" i="47" s="1"/>
  <c r="P51" i="47"/>
  <c r="R41" i="26"/>
  <c r="R51" i="47" s="1"/>
  <c r="Q41" i="26"/>
  <c r="Q51" i="47" s="1"/>
  <c r="P56" i="47"/>
  <c r="R46" i="26"/>
  <c r="R56" i="47" s="1"/>
  <c r="Q46" i="26"/>
  <c r="Q56" i="47" s="1"/>
  <c r="P47" i="47"/>
  <c r="Q37" i="26"/>
  <c r="Q47" i="47" s="1"/>
  <c r="R37" i="26"/>
  <c r="R47" i="47" s="1"/>
  <c r="P63" i="47"/>
  <c r="R53" i="26"/>
  <c r="R63" i="47" s="1"/>
  <c r="Q53" i="26"/>
  <c r="Q63" i="47" s="1"/>
  <c r="P60" i="47"/>
  <c r="R50" i="26"/>
  <c r="R60" i="47" s="1"/>
  <c r="Q50" i="26"/>
  <c r="Q60" i="47" s="1"/>
  <c r="P59" i="47"/>
  <c r="Q49" i="26"/>
  <c r="Q59" i="47" s="1"/>
  <c r="R49" i="26"/>
  <c r="R59" i="47" s="1"/>
  <c r="P62" i="47"/>
  <c r="R52" i="26"/>
  <c r="R62" i="47" s="1"/>
  <c r="Q52" i="26"/>
  <c r="Q62" i="47" s="1"/>
  <c r="P57" i="47"/>
  <c r="R47" i="26"/>
  <c r="R57" i="47" s="1"/>
  <c r="Q47" i="26"/>
  <c r="Q57" i="47" s="1"/>
  <c r="P54" i="47"/>
  <c r="Q44" i="26"/>
  <c r="Q54" i="47" s="1"/>
  <c r="R44" i="26"/>
  <c r="R54" i="47" s="1"/>
  <c r="P55" i="47"/>
  <c r="Q45" i="26"/>
  <c r="Q55" i="47" s="1"/>
  <c r="R45" i="26"/>
  <c r="R55" i="47" s="1"/>
  <c r="M50" i="16"/>
  <c r="N60" i="16"/>
  <c r="O50" i="16"/>
  <c r="M61" i="16"/>
  <c r="N52" i="16"/>
  <c r="P61" i="45"/>
  <c r="P61" i="16" s="1"/>
  <c r="R49" i="17"/>
  <c r="R61" i="45" s="1"/>
  <c r="Q49" i="17"/>
  <c r="Q61" i="45" s="1"/>
  <c r="Q34" i="19"/>
  <c r="Q47" i="35" s="1"/>
  <c r="R34" i="19"/>
  <c r="R47" i="35" s="1"/>
  <c r="Q40" i="19"/>
  <c r="Q53" i="35" s="1"/>
  <c r="R40" i="19"/>
  <c r="R53" i="35" s="1"/>
  <c r="Q36" i="17"/>
  <c r="Q48" i="45" s="1"/>
  <c r="P48" i="45"/>
  <c r="R36" i="17"/>
  <c r="R48" i="45" s="1"/>
  <c r="Q41" i="17"/>
  <c r="Q53" i="45" s="1"/>
  <c r="P53" i="45"/>
  <c r="R41" i="17"/>
  <c r="R53" i="45" s="1"/>
  <c r="P62" i="45"/>
  <c r="R50" i="17"/>
  <c r="R62" i="45" s="1"/>
  <c r="Q50" i="17"/>
  <c r="Q62" i="45" s="1"/>
  <c r="P57" i="45"/>
  <c r="Q45" i="17"/>
  <c r="Q57" i="45" s="1"/>
  <c r="R45" i="17"/>
  <c r="R57" i="45" s="1"/>
  <c r="Q43" i="19"/>
  <c r="Q56" i="35" s="1"/>
  <c r="R43" i="19"/>
  <c r="R56" i="35" s="1"/>
  <c r="Q44" i="17"/>
  <c r="Q56" i="45" s="1"/>
  <c r="P56" i="45"/>
  <c r="P56" i="16" s="1"/>
  <c r="R44" i="17"/>
  <c r="R56" i="45" s="1"/>
  <c r="Q48" i="19"/>
  <c r="Q61" i="35" s="1"/>
  <c r="Q61" i="16" s="1"/>
  <c r="R48" i="19"/>
  <c r="R61" i="35" s="1"/>
  <c r="Q40" i="17"/>
  <c r="Q52" i="45" s="1"/>
  <c r="P52" i="45"/>
  <c r="R40" i="17"/>
  <c r="R52" i="45" s="1"/>
  <c r="Q39" i="19"/>
  <c r="Q52" i="35" s="1"/>
  <c r="R39" i="19"/>
  <c r="R52" i="35" s="1"/>
  <c r="Q38" i="17"/>
  <c r="Q50" i="45" s="1"/>
  <c r="P50" i="45"/>
  <c r="P50" i="16" s="1"/>
  <c r="R38" i="17"/>
  <c r="R50" i="45" s="1"/>
  <c r="Q36" i="19"/>
  <c r="Q49" i="35" s="1"/>
  <c r="R36" i="19"/>
  <c r="R49" i="35" s="1"/>
  <c r="Q52" i="19"/>
  <c r="Q65" i="35" s="1"/>
  <c r="R52" i="19"/>
  <c r="R65" i="35" s="1"/>
  <c r="P64" i="45"/>
  <c r="Q52" i="17"/>
  <c r="Q64" i="45" s="1"/>
  <c r="R52" i="17"/>
  <c r="R64" i="45" s="1"/>
  <c r="Q44" i="19"/>
  <c r="Q57" i="35" s="1"/>
  <c r="R44" i="19"/>
  <c r="R57" i="35" s="1"/>
  <c r="Q38" i="19"/>
  <c r="Q51" i="35" s="1"/>
  <c r="R38" i="19"/>
  <c r="R51" i="35" s="1"/>
  <c r="P59" i="45"/>
  <c r="R47" i="17"/>
  <c r="R59" i="45" s="1"/>
  <c r="Q47" i="17"/>
  <c r="Q59" i="45" s="1"/>
  <c r="Q43" i="17"/>
  <c r="Q55" i="45" s="1"/>
  <c r="P55" i="45"/>
  <c r="R43" i="17"/>
  <c r="R55" i="45" s="1"/>
  <c r="Q35" i="17"/>
  <c r="Q47" i="45" s="1"/>
  <c r="P47" i="45"/>
  <c r="R35" i="17"/>
  <c r="R47" i="45" s="1"/>
  <c r="Q37" i="17"/>
  <c r="Q49" i="45" s="1"/>
  <c r="Q49" i="16" s="1"/>
  <c r="P49" i="45"/>
  <c r="P49" i="16" s="1"/>
  <c r="R37" i="17"/>
  <c r="R49" i="45" s="1"/>
  <c r="Q42" i="19"/>
  <c r="Q55" i="35" s="1"/>
  <c r="R42" i="19"/>
  <c r="R55" i="35" s="1"/>
  <c r="Q39" i="17"/>
  <c r="Q51" i="45" s="1"/>
  <c r="Q51" i="16" s="1"/>
  <c r="P51" i="45"/>
  <c r="P51" i="16" s="1"/>
  <c r="R39" i="17"/>
  <c r="R51" i="45" s="1"/>
  <c r="Q41" i="19"/>
  <c r="Q54" i="35" s="1"/>
  <c r="R41" i="19"/>
  <c r="R54" i="35" s="1"/>
  <c r="Q37" i="19"/>
  <c r="Q50" i="35" s="1"/>
  <c r="R37" i="19"/>
  <c r="R50" i="35" s="1"/>
  <c r="Q47" i="19"/>
  <c r="Q60" i="35" s="1"/>
  <c r="R47" i="19"/>
  <c r="R60" i="35" s="1"/>
  <c r="Q35" i="19"/>
  <c r="Q48" i="35" s="1"/>
  <c r="R35" i="19"/>
  <c r="R48" i="35" s="1"/>
  <c r="Q42" i="17"/>
  <c r="Q54" i="45" s="1"/>
  <c r="P54" i="45"/>
  <c r="R42" i="17"/>
  <c r="R54" i="45" s="1"/>
  <c r="Q50" i="19"/>
  <c r="Q63" i="35" s="1"/>
  <c r="R50" i="19"/>
  <c r="R63" i="35" s="1"/>
  <c r="Q49" i="19"/>
  <c r="Q62" i="35" s="1"/>
  <c r="R49" i="19"/>
  <c r="R62" i="35" s="1"/>
  <c r="P63" i="45"/>
  <c r="Q51" i="17"/>
  <c r="Q63" i="45" s="1"/>
  <c r="R51" i="17"/>
  <c r="R63" i="45" s="1"/>
  <c r="P58" i="45"/>
  <c r="R46" i="17"/>
  <c r="R58" i="45" s="1"/>
  <c r="Q46" i="17"/>
  <c r="Q58" i="45" s="1"/>
  <c r="Q46" i="19"/>
  <c r="Q59" i="35" s="1"/>
  <c r="R46" i="19"/>
  <c r="R59" i="35" s="1"/>
  <c r="P65" i="45"/>
  <c r="R53" i="17"/>
  <c r="R65" i="45" s="1"/>
  <c r="Q53" i="17"/>
  <c r="Q65" i="45" s="1"/>
  <c r="P62" i="36"/>
  <c r="P62" i="16" s="1"/>
  <c r="Q52" i="20"/>
  <c r="Q62" i="36" s="1"/>
  <c r="R52" i="20"/>
  <c r="R62" i="36" s="1"/>
  <c r="P58" i="36"/>
  <c r="R48" i="20"/>
  <c r="R58" i="36" s="1"/>
  <c r="R58" i="16" s="1"/>
  <c r="Q48" i="20"/>
  <c r="Q58" i="36" s="1"/>
  <c r="P47" i="36"/>
  <c r="Q37" i="20"/>
  <c r="Q47" i="36" s="1"/>
  <c r="Q47" i="16" s="1"/>
  <c r="R37" i="20"/>
  <c r="R47" i="36" s="1"/>
  <c r="R47" i="16" s="1"/>
  <c r="P63" i="36"/>
  <c r="P63" i="16" s="1"/>
  <c r="Q53" i="20"/>
  <c r="Q63" i="36" s="1"/>
  <c r="Q63" i="16" s="1"/>
  <c r="R53" i="20"/>
  <c r="R63" i="36" s="1"/>
  <c r="R56" i="20"/>
  <c r="R66" i="36" s="1"/>
  <c r="R66" i="16" s="1"/>
  <c r="Q56" i="20"/>
  <c r="Q66" i="36" s="1"/>
  <c r="Q66" i="16" s="1"/>
  <c r="P66" i="36"/>
  <c r="P66" i="16" s="1"/>
  <c r="R42" i="20"/>
  <c r="R52" i="36" s="1"/>
  <c r="R52" i="16" s="1"/>
  <c r="P52" i="36"/>
  <c r="P52" i="16" s="1"/>
  <c r="Q42" i="20"/>
  <c r="Q52" i="36" s="1"/>
  <c r="Q52" i="16" s="1"/>
  <c r="P67" i="36"/>
  <c r="P67" i="16" s="1"/>
  <c r="Q57" i="20"/>
  <c r="Q67" i="36" s="1"/>
  <c r="Q67" i="16" s="1"/>
  <c r="R57" i="20"/>
  <c r="R67" i="36" s="1"/>
  <c r="R67" i="16" s="1"/>
  <c r="P48" i="36"/>
  <c r="P48" i="16" s="1"/>
  <c r="Q38" i="20"/>
  <c r="Q48" i="36" s="1"/>
  <c r="Q48" i="16" s="1"/>
  <c r="R38" i="20"/>
  <c r="R48" i="36" s="1"/>
  <c r="R48" i="16" s="1"/>
  <c r="P54" i="36"/>
  <c r="P54" i="16" s="1"/>
  <c r="R44" i="20"/>
  <c r="R54" i="36" s="1"/>
  <c r="Q44" i="20"/>
  <c r="Q54" i="36" s="1"/>
  <c r="Q54" i="16" s="1"/>
  <c r="P53" i="36"/>
  <c r="P53" i="16" s="1"/>
  <c r="Q43" i="20"/>
  <c r="Q53" i="36" s="1"/>
  <c r="Q53" i="16" s="1"/>
  <c r="R43" i="20"/>
  <c r="R53" i="36" s="1"/>
  <c r="R53" i="16" s="1"/>
  <c r="R54" i="20"/>
  <c r="R64" i="36" s="1"/>
  <c r="R64" i="16" s="1"/>
  <c r="Q54" i="20"/>
  <c r="Q64" i="36" s="1"/>
  <c r="Q64" i="16" s="1"/>
  <c r="P64" i="36"/>
  <c r="P64" i="16" s="1"/>
  <c r="P55" i="36"/>
  <c r="P55" i="16" s="1"/>
  <c r="R45" i="20"/>
  <c r="R55" i="36" s="1"/>
  <c r="R55" i="16" s="1"/>
  <c r="Q45" i="20"/>
  <c r="Q55" i="36" s="1"/>
  <c r="Q55" i="16" s="1"/>
  <c r="Q47" i="20"/>
  <c r="Q57" i="36" s="1"/>
  <c r="Q57" i="16" s="1"/>
  <c r="R47" i="20"/>
  <c r="R57" i="36" s="1"/>
  <c r="R57" i="16" s="1"/>
  <c r="P57" i="36"/>
  <c r="P57" i="16" s="1"/>
  <c r="Q55" i="20"/>
  <c r="Q65" i="36" s="1"/>
  <c r="Q65" i="16" s="1"/>
  <c r="P65" i="36"/>
  <c r="P65" i="16" s="1"/>
  <c r="R55" i="20"/>
  <c r="R65" i="36" s="1"/>
  <c r="R65" i="16" s="1"/>
  <c r="P60" i="36"/>
  <c r="P60" i="16" s="1"/>
  <c r="Q50" i="20"/>
  <c r="Q60" i="36" s="1"/>
  <c r="Q60" i="16" s="1"/>
  <c r="R50" i="20"/>
  <c r="R60" i="36" s="1"/>
  <c r="R60" i="16" s="1"/>
  <c r="P59" i="36"/>
  <c r="P59" i="16" s="1"/>
  <c r="R49" i="20"/>
  <c r="R59" i="36" s="1"/>
  <c r="R59" i="16" s="1"/>
  <c r="Q49" i="20"/>
  <c r="Q59" i="36" s="1"/>
  <c r="Q59" i="16" s="1"/>
  <c r="R54" i="16" l="1"/>
  <c r="R61" i="16"/>
  <c r="P47" i="16"/>
  <c r="P58" i="16"/>
  <c r="R62" i="16"/>
  <c r="R51" i="16"/>
  <c r="R56" i="16"/>
  <c r="Q58" i="16"/>
  <c r="Q62" i="16"/>
  <c r="R50" i="16"/>
  <c r="Q56" i="16"/>
  <c r="R49" i="16"/>
  <c r="R63" i="16"/>
  <c r="Q50" i="16"/>
</calcChain>
</file>

<file path=xl/sharedStrings.xml><?xml version="1.0" encoding="utf-8"?>
<sst xmlns="http://schemas.openxmlformats.org/spreadsheetml/2006/main" count="3177" uniqueCount="667">
  <si>
    <t>Wochenteiler</t>
  </si>
  <si>
    <t>Bund-O</t>
  </si>
  <si>
    <t>VKA-O</t>
  </si>
  <si>
    <t>TdL-O</t>
  </si>
  <si>
    <t>Arbeitszeit</t>
  </si>
  <si>
    <t>EG 1 - 9 (bis Vb BAT-O)</t>
  </si>
  <si>
    <t>EG</t>
  </si>
  <si>
    <t>Stufe 1</t>
  </si>
  <si>
    <t>Stufe 2</t>
  </si>
  <si>
    <t>Stufe 3</t>
  </si>
  <si>
    <t>Stufe 4</t>
  </si>
  <si>
    <t>Stufe 5</t>
  </si>
  <si>
    <t>Stufe 6</t>
  </si>
  <si>
    <t>15Ü</t>
  </si>
  <si>
    <t>2Ü</t>
  </si>
  <si>
    <t>-</t>
  </si>
  <si>
    <t>13Ü</t>
  </si>
  <si>
    <t xml:space="preserve"> =RUNDEN(Tabellenentgelt/(Wochenteiler*Wochenarbeitszeit);2)</t>
  </si>
  <si>
    <t>Stundenbetrag</t>
  </si>
  <si>
    <t>TV-L</t>
  </si>
  <si>
    <t>Divisor</t>
  </si>
  <si>
    <t>Sonntagsarbeit</t>
  </si>
  <si>
    <t>Überstundenentgelt</t>
  </si>
  <si>
    <t>Stundenentgelt</t>
  </si>
  <si>
    <t>Zeitzuschläge</t>
  </si>
  <si>
    <t>TVöD Bund</t>
  </si>
  <si>
    <t>TVöD VKA</t>
  </si>
  <si>
    <t>ab 1.10.2005</t>
  </si>
  <si>
    <t>ab 1.01.2008</t>
  </si>
  <si>
    <t>ab 1.01.2010</t>
  </si>
  <si>
    <t>ab 1.11.2006</t>
  </si>
  <si>
    <t>vom 1.10.2005 bis 30.06.2006</t>
  </si>
  <si>
    <t>vom 1.07.2006 bis 30.06.2007</t>
  </si>
  <si>
    <t>ab 1.07.2007</t>
  </si>
  <si>
    <t>TVöD VKA-Kr</t>
  </si>
  <si>
    <t>TdL Baden-Württemberg</t>
  </si>
  <si>
    <t>TdL Bayern</t>
  </si>
  <si>
    <t>TdL Hamburg</t>
  </si>
  <si>
    <t>TdL Niedersachsen</t>
  </si>
  <si>
    <t>TdL Rheinland-Pfalz</t>
  </si>
  <si>
    <t>TdL Saarland</t>
  </si>
  <si>
    <t>TdL Schleswig-Holstein</t>
  </si>
  <si>
    <t>TdL Bremen</t>
  </si>
  <si>
    <t>TdL Mecklenburg-Vorpommern</t>
  </si>
  <si>
    <t>TdL Brandenburg</t>
  </si>
  <si>
    <t>TdL Sachsen-Anhalt</t>
  </si>
  <si>
    <t>TdL Thüringen</t>
  </si>
  <si>
    <t>TdL Sachsen</t>
  </si>
  <si>
    <t>1.1.</t>
  </si>
  <si>
    <t>2.1.</t>
  </si>
  <si>
    <t>2.2.</t>
  </si>
  <si>
    <t>2.3.</t>
  </si>
  <si>
    <t>3.1.</t>
  </si>
  <si>
    <t>3.2.</t>
  </si>
  <si>
    <t>4.1.</t>
  </si>
  <si>
    <t>4.2.</t>
  </si>
  <si>
    <t>West</t>
  </si>
  <si>
    <t>Ost</t>
  </si>
  <si>
    <t>3.3.</t>
  </si>
  <si>
    <t>AV Hamburg (39,00 Std)</t>
  </si>
  <si>
    <t>KAV Niedersachsen (39,00 Std)</t>
  </si>
  <si>
    <t>KAV Baden-Württemberg (39,00 Std)</t>
  </si>
  <si>
    <t>VKA, Ost (40,00 Std)</t>
  </si>
  <si>
    <t>Bund, West (39 Std)</t>
  </si>
  <si>
    <t>Bund, Ost (39 Std)</t>
  </si>
  <si>
    <t xml:space="preserve"> =C4</t>
  </si>
  <si>
    <t>EG Kr</t>
  </si>
  <si>
    <t>Anhebung</t>
  </si>
  <si>
    <t>TdL-W</t>
  </si>
  <si>
    <t>VKA-W</t>
  </si>
  <si>
    <t>ab 1.05.2008</t>
  </si>
  <si>
    <t>5.2.</t>
  </si>
  <si>
    <t>5.3.</t>
  </si>
  <si>
    <t>5.5.</t>
  </si>
  <si>
    <t>5.6.</t>
  </si>
  <si>
    <t>5.7.</t>
  </si>
  <si>
    <t>5.8.</t>
  </si>
  <si>
    <t>5.9.</t>
  </si>
  <si>
    <t>5.10.</t>
  </si>
  <si>
    <t>5.1.</t>
  </si>
  <si>
    <t>5.4.</t>
  </si>
  <si>
    <t>bis 31.12.07</t>
  </si>
  <si>
    <t>vom 1.01.08 bis 30.04.08</t>
  </si>
  <si>
    <t>ab 1.05.08</t>
  </si>
  <si>
    <t>7.1.</t>
  </si>
  <si>
    <t>7.2.</t>
  </si>
  <si>
    <t>TdL Lehrer (West)</t>
  </si>
  <si>
    <t>TdL Lehrer (Ost)</t>
  </si>
  <si>
    <t>KAV Hessen (39,00 Std)</t>
  </si>
  <si>
    <t>KAV Schleswig-Holstein (39,0 Std)</t>
  </si>
  <si>
    <t xml:space="preserve"> =(((3*365)+366)/4)/7/12</t>
  </si>
  <si>
    <t>Info: B5 ist</t>
  </si>
  <si>
    <t>Info: C4 ist</t>
  </si>
  <si>
    <t>ist Tarifgebiet</t>
  </si>
  <si>
    <t xml:space="preserve">ist Tarif </t>
  </si>
  <si>
    <t>Bund</t>
  </si>
  <si>
    <t>Gemeinde</t>
  </si>
  <si>
    <t>Gemeinde-Ost</t>
  </si>
  <si>
    <t>TdL Nordrhein-Westfalen</t>
  </si>
  <si>
    <t xml:space="preserve"> =D4</t>
  </si>
  <si>
    <t xml:space="preserve"> =B4</t>
  </si>
  <si>
    <t>laut Eingabe "Maske"</t>
  </si>
  <si>
    <t>"Maske"</t>
  </si>
  <si>
    <t>Bitte auf DIN A4 ausdrucken und absenden an:</t>
  </si>
  <si>
    <t>10117 Berlin</t>
  </si>
  <si>
    <t>EG 1 - 9 (bis IVb BAT-O)</t>
  </si>
  <si>
    <t>TV-L (Pflege)</t>
  </si>
  <si>
    <t>TdL Kr (West)</t>
  </si>
  <si>
    <t>TdL Kr (Ost)</t>
  </si>
  <si>
    <t>ab 1.04.2008</t>
  </si>
  <si>
    <t>EG 10 - 15Ü</t>
  </si>
  <si>
    <t>EG 9 (ab IVb BAT-O) - 15Ü</t>
  </si>
  <si>
    <t>EG Kr 9d - 3a</t>
  </si>
  <si>
    <t>VKA, West (39 Std)</t>
  </si>
  <si>
    <t xml:space="preserve"> +50 +3,1%</t>
  </si>
  <si>
    <t xml:space="preserve"> +2,8%</t>
  </si>
  <si>
    <t>ab 1.01.2009</t>
  </si>
  <si>
    <t>3.4.</t>
  </si>
  <si>
    <t xml:space="preserve"> +50 +1,6%</t>
  </si>
  <si>
    <t>BT-K Beschäftigte außerhalb der Pflege</t>
  </si>
  <si>
    <t>Tarifgebiet</t>
  </si>
  <si>
    <t>TVöD ( Bund )</t>
  </si>
  <si>
    <t>TVöD ( VKA )</t>
  </si>
  <si>
    <t>BT-B Kr</t>
  </si>
  <si>
    <t xml:space="preserve"> +4,32%</t>
  </si>
  <si>
    <t>Formel alt mit +4,3%</t>
  </si>
  <si>
    <t>6.1.</t>
  </si>
  <si>
    <t>BT-K Kr</t>
  </si>
  <si>
    <t>BT-K</t>
  </si>
  <si>
    <t>BT-B</t>
  </si>
  <si>
    <t>Anl G Teil III zu § 46 Abs 4 BT-K</t>
  </si>
  <si>
    <t>VGr Kr</t>
  </si>
  <si>
    <t xml:space="preserve">  15Ü</t>
  </si>
  <si>
    <t>Sockel</t>
  </si>
  <si>
    <t>linear</t>
  </si>
  <si>
    <t>ab 1.03.2009</t>
  </si>
  <si>
    <t>Eingabe hier</t>
  </si>
  <si>
    <t>TdL</t>
  </si>
  <si>
    <t>ab 1.03.2010</t>
  </si>
  <si>
    <t>1,012</t>
  </si>
  <si>
    <t>1,006</t>
  </si>
  <si>
    <t>S 9</t>
  </si>
  <si>
    <t>S 8</t>
  </si>
  <si>
    <t>S 7</t>
  </si>
  <si>
    <t>S 6</t>
  </si>
  <si>
    <t>S 5</t>
  </si>
  <si>
    <t>S 4</t>
  </si>
  <si>
    <t>S 3</t>
  </si>
  <si>
    <t>S 2</t>
  </si>
  <si>
    <t>SuED</t>
  </si>
  <si>
    <t>1,005</t>
  </si>
  <si>
    <t>ab Jan 2011</t>
  </si>
  <si>
    <t>ab Aug 2011</t>
  </si>
  <si>
    <t>2.4.</t>
  </si>
  <si>
    <t>2.5.</t>
  </si>
  <si>
    <t xml:space="preserve">  S 10</t>
  </si>
  <si>
    <t xml:space="preserve">  S 11</t>
  </si>
  <si>
    <t xml:space="preserve">    S 11Ü</t>
  </si>
  <si>
    <t xml:space="preserve">  S 12</t>
  </si>
  <si>
    <t xml:space="preserve">    S 12Ü</t>
  </si>
  <si>
    <t xml:space="preserve">  S 13</t>
  </si>
  <si>
    <t xml:space="preserve">    S 13Ü</t>
  </si>
  <si>
    <t xml:space="preserve">  S 14</t>
  </si>
  <si>
    <t xml:space="preserve">  S 15</t>
  </si>
  <si>
    <t xml:space="preserve">  S 16</t>
  </si>
  <si>
    <t xml:space="preserve">    S 16Ü</t>
  </si>
  <si>
    <t xml:space="preserve">  S 17</t>
  </si>
  <si>
    <t xml:space="preserve">  S 18</t>
  </si>
  <si>
    <t>VKA, BT-K, West (38,5 Std)</t>
  </si>
  <si>
    <t>TV-V</t>
  </si>
  <si>
    <t>ab 1.01.2011</t>
  </si>
  <si>
    <t>VKA</t>
  </si>
  <si>
    <t>ab 1.08.2011</t>
  </si>
  <si>
    <t>1.2.</t>
  </si>
  <si>
    <t>2.6.</t>
  </si>
  <si>
    <t>2.7.</t>
  </si>
  <si>
    <t>2.8.</t>
  </si>
  <si>
    <t>2.9.</t>
  </si>
  <si>
    <t>2.10.</t>
  </si>
  <si>
    <t>3.5.</t>
  </si>
  <si>
    <t>3.6.</t>
  </si>
  <si>
    <t>3.7.</t>
  </si>
  <si>
    <t>3.8.</t>
  </si>
  <si>
    <t>4.3.</t>
  </si>
  <si>
    <t>4.4.</t>
  </si>
  <si>
    <t>Anl G Teil II zu § 46 Abs 4 BT-B</t>
  </si>
  <si>
    <t>Anlage E Teil B zu § 43 Nr 5</t>
  </si>
  <si>
    <t>aus L Tab</t>
  </si>
  <si>
    <t xml:space="preserve"> ( + 50 Euro    + 3,10 % ) </t>
  </si>
  <si>
    <t xml:space="preserve"> ( + 40 Euro    + 3,00 % ) </t>
  </si>
  <si>
    <t>Feiertagsarbeit
mit Freizeitausgeich</t>
  </si>
  <si>
    <t>Feiertagsarbeit
ohne Freizeitausgleich</t>
  </si>
  <si>
    <t>Zeitzuschläge in  %  vom
Stundenentgelt in Stufe 3</t>
  </si>
  <si>
    <t>8.1.</t>
  </si>
  <si>
    <t>Land Hessen</t>
  </si>
  <si>
    <t>Stand 1.04.2011</t>
  </si>
  <si>
    <t>aus Para</t>
  </si>
  <si>
    <t>Stand 1.01.2012</t>
  </si>
  <si>
    <t>ab 1.04.2011</t>
  </si>
  <si>
    <t>ab 1.01.2012</t>
  </si>
  <si>
    <t>9.1.</t>
  </si>
  <si>
    <t>Hessen</t>
  </si>
  <si>
    <t>ab 1.03.2012</t>
  </si>
  <si>
    <t>Stand 1.03.2012</t>
  </si>
  <si>
    <t>TdL / He</t>
  </si>
  <si>
    <t>He</t>
  </si>
  <si>
    <t>ab Mrz 2012</t>
  </si>
  <si>
    <t>1,035</t>
  </si>
  <si>
    <t>ab Jan 2013</t>
  </si>
  <si>
    <t>1,014</t>
  </si>
  <si>
    <t>2013 I</t>
  </si>
  <si>
    <t>2013 II</t>
  </si>
  <si>
    <t>ab Aug 2013</t>
  </si>
  <si>
    <t>Stand 1.01.2013</t>
  </si>
  <si>
    <t>Stand 1.08.2013</t>
  </si>
  <si>
    <t>ab 1.01.2013</t>
  </si>
  <si>
    <t>ab 1.08.2013</t>
  </si>
  <si>
    <t>Auswahl</t>
  </si>
  <si>
    <t>bis 29.02.2012</t>
  </si>
  <si>
    <t>bis 31.03.2011</t>
  </si>
  <si>
    <t>West I Ost</t>
  </si>
  <si>
    <t>30%
15%</t>
  </si>
  <si>
    <t>SuE Beschäftigte</t>
  </si>
  <si>
    <t xml:space="preserve"> ( + 3,50 % ) </t>
  </si>
  <si>
    <t xml:space="preserve"> ( + 1,40 % ) </t>
  </si>
  <si>
    <t>dbb beamtenbund und tarifunion</t>
  </si>
  <si>
    <t>Geschäftsbereich Tarif</t>
  </si>
  <si>
    <t>030.40 81-54 00</t>
  </si>
  <si>
    <t xml:space="preserve">per Fax    </t>
  </si>
  <si>
    <t xml:space="preserve">per E-Mail    </t>
  </si>
  <si>
    <t>ab 1.01.2014</t>
  </si>
  <si>
    <t>Stand 1.01.2014</t>
  </si>
  <si>
    <t>TV-H</t>
  </si>
  <si>
    <t>vor</t>
  </si>
  <si>
    <t>nach</t>
  </si>
  <si>
    <t>Berlin ( &lt; 100 % )</t>
  </si>
  <si>
    <t>Berlin ( = 100 % )</t>
  </si>
  <si>
    <t>ab 1.07.2013</t>
  </si>
  <si>
    <t>ab 1.04.2014</t>
  </si>
  <si>
    <t>Stand 1.07.2013</t>
  </si>
  <si>
    <t>Stand 1.04.2014</t>
  </si>
  <si>
    <t>zu § 42 Nr 6</t>
  </si>
  <si>
    <t>TVöD</t>
  </si>
  <si>
    <t>I</t>
  </si>
  <si>
    <t xml:space="preserve"> - TVöD ( Bund )</t>
  </si>
  <si>
    <t xml:space="preserve"> - TVöD ( VKA )</t>
  </si>
  <si>
    <t xml:space="preserve"> - TV-L ( Länder der TdL )</t>
  </si>
  <si>
    <t xml:space="preserve"> - TV-H ( Land Hessen )</t>
  </si>
  <si>
    <t>1</t>
  </si>
  <si>
    <t>ab Jan 2014</t>
  </si>
  <si>
    <t>2014 I</t>
  </si>
  <si>
    <t>9b</t>
  </si>
  <si>
    <t>9a</t>
  </si>
  <si>
    <t>ab Mrz 2014</t>
  </si>
  <si>
    <t>2014 II</t>
  </si>
  <si>
    <t xml:space="preserve"> (gilt bis 31.12.2011)</t>
  </si>
  <si>
    <t xml:space="preserve"> (gilt bis 29.02.2012)</t>
  </si>
  <si>
    <t xml:space="preserve"> (gilt bis 31.12.2012)</t>
  </si>
  <si>
    <t xml:space="preserve"> (gilt bis 31.07.2013)</t>
  </si>
  <si>
    <t xml:space="preserve"> (gilt bis 31.12.2013)</t>
  </si>
  <si>
    <t xml:space="preserve"> (gilt bis 31.03.2014)</t>
  </si>
  <si>
    <t xml:space="preserve"> (gilt bis 30.06.2013)</t>
  </si>
  <si>
    <t>1,03</t>
  </si>
  <si>
    <t>ab Mrz 2015</t>
  </si>
  <si>
    <t>1,024</t>
  </si>
  <si>
    <t>ab 1.03.2014</t>
  </si>
  <si>
    <t>Stand 1.03.2014</t>
  </si>
  <si>
    <t xml:space="preserve"> (gilt bis 28.02.2015)</t>
  </si>
  <si>
    <t>ab 1.03.2015</t>
  </si>
  <si>
    <t>Stand 1.03.2015</t>
  </si>
  <si>
    <t xml:space="preserve"> ( + 3,0 % mind 90 Euro ) </t>
  </si>
  <si>
    <t xml:space="preserve"> ( + 2,40 % ) </t>
  </si>
  <si>
    <t>TV AVH</t>
  </si>
  <si>
    <t>ab Jan 2010</t>
  </si>
  <si>
    <t>EG S</t>
  </si>
  <si>
    <t>16Ü</t>
  </si>
  <si>
    <t xml:space="preserve"> Entgeltgruppe</t>
  </si>
  <si>
    <t xml:space="preserve">  Entgeltgruppe</t>
  </si>
  <si>
    <t xml:space="preserve">    Entgeltgruppe</t>
  </si>
  <si>
    <t>12a</t>
  </si>
  <si>
    <t>11b</t>
  </si>
  <si>
    <t>11a</t>
  </si>
  <si>
    <t>10a</t>
  </si>
  <si>
    <t>9d</t>
  </si>
  <si>
    <t>9c</t>
  </si>
  <si>
    <t>8a</t>
  </si>
  <si>
    <t>7a</t>
  </si>
  <si>
    <t>4a</t>
  </si>
  <si>
    <t>3a</t>
  </si>
  <si>
    <t>Vergütungsgruppe</t>
  </si>
  <si>
    <t>XIII</t>
  </si>
  <si>
    <t>XII</t>
  </si>
  <si>
    <t>XI</t>
  </si>
  <si>
    <t>X</t>
  </si>
  <si>
    <t>IX</t>
  </si>
  <si>
    <t>VIII</t>
  </si>
  <si>
    <t>VII</t>
  </si>
  <si>
    <t>VI</t>
  </si>
  <si>
    <t>Va</t>
  </si>
  <si>
    <t>V</t>
  </si>
  <si>
    <t>IV</t>
  </si>
  <si>
    <t>III</t>
  </si>
  <si>
    <t>II</t>
  </si>
  <si>
    <t xml:space="preserve"> (mind. bis 31.12.2016)</t>
  </si>
  <si>
    <t>5.11.</t>
  </si>
  <si>
    <t>5.12.</t>
  </si>
  <si>
    <t>5.13.</t>
  </si>
  <si>
    <t>5.14.</t>
  </si>
  <si>
    <t>5.15.</t>
  </si>
  <si>
    <t>5.16.</t>
  </si>
  <si>
    <t>5.17.</t>
  </si>
  <si>
    <t>5.18.</t>
  </si>
  <si>
    <t>5.19.</t>
  </si>
  <si>
    <t>5.20.</t>
  </si>
  <si>
    <t>6.2.</t>
  </si>
  <si>
    <t>7.3.</t>
  </si>
  <si>
    <t>7.4.</t>
  </si>
  <si>
    <t>8.2.</t>
  </si>
  <si>
    <t>9.2.</t>
  </si>
  <si>
    <t>ab 1.04.2016</t>
  </si>
  <si>
    <t>ab 1.03.2016</t>
  </si>
  <si>
    <t>Stand 1.03.2016</t>
  </si>
  <si>
    <t xml:space="preserve"> (gilt bis 29.02.2016)</t>
  </si>
  <si>
    <t>Stand 1.04.2016</t>
  </si>
  <si>
    <t xml:space="preserve"> (gilt bis 31.03.2016)</t>
  </si>
  <si>
    <t>MindBetrag</t>
  </si>
  <si>
    <t>bis EG 9</t>
  </si>
  <si>
    <t>Dyna Sonst</t>
  </si>
  <si>
    <t>Anlage D Teil B zu § 43 Nr 5</t>
  </si>
  <si>
    <t>TdL Berlin (ab Dez 2017)</t>
  </si>
  <si>
    <t>ab Jul 2015</t>
  </si>
  <si>
    <t>8b</t>
  </si>
  <si>
    <t>12 Zulage</t>
  </si>
  <si>
    <t>11 Zulage</t>
  </si>
  <si>
    <t>Friedrichstraße 169, 10117 Berlin</t>
  </si>
  <si>
    <t>Friedrichstraße 169</t>
  </si>
  <si>
    <t>2015 I</t>
  </si>
  <si>
    <t>2015 II</t>
  </si>
  <si>
    <t>S 18</t>
  </si>
  <si>
    <t>S 17</t>
  </si>
  <si>
    <t>S 16Ü</t>
  </si>
  <si>
    <t>S 16</t>
  </si>
  <si>
    <t>S 15</t>
  </si>
  <si>
    <t>S 14</t>
  </si>
  <si>
    <t>S 13Ü</t>
  </si>
  <si>
    <t>S 13</t>
  </si>
  <si>
    <t>S 12 Zulage</t>
  </si>
  <si>
    <t>S 12</t>
  </si>
  <si>
    <t>S 11 Zulage</t>
  </si>
  <si>
    <t>S 11b</t>
  </si>
  <si>
    <t>S 11a</t>
  </si>
  <si>
    <t>S 10</t>
  </si>
  <si>
    <t>S 8b</t>
  </si>
  <si>
    <t>S 8a</t>
  </si>
  <si>
    <t>ab Mrz 2016</t>
  </si>
  <si>
    <t>ab Jan 2017</t>
  </si>
  <si>
    <t>ab Feb 2017</t>
  </si>
  <si>
    <t>P 16**</t>
  </si>
  <si>
    <t>P 15**</t>
  </si>
  <si>
    <t>P 14**</t>
  </si>
  <si>
    <t>P 13**</t>
  </si>
  <si>
    <t>P 12**</t>
  </si>
  <si>
    <t>P 11**</t>
  </si>
  <si>
    <t>P 10**</t>
  </si>
  <si>
    <t>P 9**</t>
  </si>
  <si>
    <t>P 8*</t>
  </si>
  <si>
    <t>P 7*</t>
  </si>
  <si>
    <t>P 6</t>
  </si>
  <si>
    <t>P 5</t>
  </si>
  <si>
    <t>1,033</t>
  </si>
  <si>
    <t>ab 1.01.2017</t>
  </si>
  <si>
    <t xml:space="preserve"> ( + 2,35 % ) </t>
  </si>
  <si>
    <t>ab 1.02.2017</t>
  </si>
  <si>
    <t>Stand 1.02.2017</t>
  </si>
  <si>
    <t xml:space="preserve"> (mind. bis 28.02.2018)</t>
  </si>
  <si>
    <t xml:space="preserve"> (gilt bis 31.01.2017)</t>
  </si>
  <si>
    <t>1,0235</t>
  </si>
  <si>
    <t>Stand 1.01.2017</t>
  </si>
  <si>
    <t xml:space="preserve"> (gilt bis 31.12.2016)</t>
  </si>
  <si>
    <t>3.9.</t>
  </si>
  <si>
    <t>3.10.</t>
  </si>
  <si>
    <t>3.11.</t>
  </si>
  <si>
    <t>3.12.</t>
  </si>
  <si>
    <t>4.5.</t>
  </si>
  <si>
    <t>4.6.</t>
  </si>
  <si>
    <t>AT alt</t>
  </si>
  <si>
    <t>AT neu</t>
  </si>
  <si>
    <t>EG P</t>
  </si>
  <si>
    <t>BT-K Schatten</t>
  </si>
  <si>
    <t>BT-B Schatten</t>
  </si>
  <si>
    <t>TVöD ( BT-K )</t>
  </si>
  <si>
    <t>TVöD ( BT-B )</t>
  </si>
  <si>
    <t>Nachtarbeit ( 21 - 06 Uhr )
Samstagsarbeit ( 13 - 21 Uhr )</t>
  </si>
  <si>
    <t>Arbeit am 24. / 31.12.
( ab 06 Uhr )</t>
  </si>
  <si>
    <t>Samstagsarbeit ( 13 - 21 Uhr )
Festbetrag Angestellte:
0,64 €  ( West  I  Ost )</t>
  </si>
  <si>
    <t>Nachtarbeit ( 21 - 06 Uhr )</t>
  </si>
  <si>
    <t>Arbeit am 24. / 31.12.
( ab 6 Uhr )</t>
  </si>
  <si>
    <t xml:space="preserve"> (Redaktionsvorbehalt)</t>
  </si>
  <si>
    <t>Entgelttabellen           I             Stundenentgelt             I              Zeitzuschläge            I               Überstundenentgelte               I                 Beträge ohne Gewähr und Anspruch auf Vollständigkeit</t>
  </si>
  <si>
    <t>2018 / 1</t>
  </si>
  <si>
    <t>2018 / 2</t>
  </si>
  <si>
    <t xml:space="preserve"> (gilt bis 31.12.2017)</t>
  </si>
  <si>
    <t>ab 1.01.2018</t>
  </si>
  <si>
    <t>Stand 1.01.2018</t>
  </si>
  <si>
    <t xml:space="preserve"> (gilt bis 30.09.2018)</t>
  </si>
  <si>
    <t>ab 1.10.2018</t>
  </si>
  <si>
    <t>Stand 1.10.2018</t>
  </si>
  <si>
    <t>ab 1.03.2017</t>
  </si>
  <si>
    <t>Stand 1.03.2017</t>
  </si>
  <si>
    <t xml:space="preserve"> (gilt bis 31.01.2018)</t>
  </si>
  <si>
    <t>ab 1.02.2018</t>
  </si>
  <si>
    <t>Stand 1.02.2018</t>
  </si>
  <si>
    <t>5.22.</t>
  </si>
  <si>
    <t>5.21.</t>
  </si>
  <si>
    <t>5.23.</t>
  </si>
  <si>
    <t>5.24.</t>
  </si>
  <si>
    <t>5.25.</t>
  </si>
  <si>
    <t>5.26.</t>
  </si>
  <si>
    <t>5.27.</t>
  </si>
  <si>
    <t>5.28.</t>
  </si>
  <si>
    <t>5.29.</t>
  </si>
  <si>
    <t>5.30.</t>
  </si>
  <si>
    <t>5.31.</t>
  </si>
  <si>
    <t>5.32.</t>
  </si>
  <si>
    <t>6.3.</t>
  </si>
  <si>
    <t>6.4.</t>
  </si>
  <si>
    <t>6.5.</t>
  </si>
  <si>
    <t>6.6.</t>
  </si>
  <si>
    <t>2017 / 1</t>
  </si>
  <si>
    <t>2017 / 2</t>
  </si>
  <si>
    <t xml:space="preserve"> </t>
  </si>
  <si>
    <t>9 kl (Ang)</t>
  </si>
  <si>
    <t>9 kl (Arb)</t>
  </si>
  <si>
    <t>9a (Ang)</t>
  </si>
  <si>
    <t>9a (Arb)</t>
  </si>
  <si>
    <t>AVH</t>
  </si>
  <si>
    <t>TV-AVH</t>
  </si>
  <si>
    <t xml:space="preserve"> ( Einführung Stufe 6 ab EG 9a )</t>
  </si>
  <si>
    <t>8.3.</t>
  </si>
  <si>
    <t>( EntgO ab 1.01.2017 )</t>
  </si>
  <si>
    <t xml:space="preserve"> - TV-AVH ( AV Hamburg )</t>
  </si>
  <si>
    <t>TV-AVH ( AV Hamburg )</t>
  </si>
  <si>
    <t>2018 / 3</t>
  </si>
  <si>
    <t>H &gt; nach Redaktion</t>
  </si>
  <si>
    <t>J &gt; nach Redaktion</t>
  </si>
  <si>
    <t>K &gt; nach Redaktion</t>
  </si>
  <si>
    <t>( ab 1.01.2017 )</t>
  </si>
  <si>
    <t>( ab 1.01.2018 )</t>
  </si>
  <si>
    <t>( ab 1.10.2018 )</t>
  </si>
  <si>
    <t>( ab 1.04.2011 )</t>
  </si>
  <si>
    <t>( ab 1.01.2012 )</t>
  </si>
  <si>
    <t>( ab 1.01.2013 )</t>
  </si>
  <si>
    <t>( ab 1.01.2014 )</t>
  </si>
  <si>
    <t>( ab 1.03.2015 )</t>
  </si>
  <si>
    <t>( ab 1.03.2016 )</t>
  </si>
  <si>
    <t>( ab 1.02.2017 )</t>
  </si>
  <si>
    <t>( ab 1.03.2012 )</t>
  </si>
  <si>
    <t>( ab 1.07.2013 )</t>
  </si>
  <si>
    <t>( ab 1.04.2014 )</t>
  </si>
  <si>
    <t>( ab 1.04.2016 )</t>
  </si>
  <si>
    <t>( ab 1.03.2017 )</t>
  </si>
  <si>
    <t>( ab 1.02.2018 )</t>
  </si>
  <si>
    <t>( ab 1.08.2013 )</t>
  </si>
  <si>
    <t>( ab 1.03.2014 )</t>
  </si>
  <si>
    <t>Enthalten sind Entgelttabellen und Anwendungstabellen mit den jeweiligen Tarifständen wie folgt zum</t>
  </si>
  <si>
    <t>( ab 1.01.2018 - Redaktionsvorbehalt )</t>
  </si>
  <si>
    <r>
      <t xml:space="preserve">↑ </t>
    </r>
    <r>
      <rPr>
        <b/>
        <sz val="8"/>
        <color indexed="9"/>
        <rFont val="Arial"/>
        <family val="2"/>
      </rPr>
      <t>Exzenter für B1 in C1</t>
    </r>
    <r>
      <rPr>
        <b/>
        <sz val="12"/>
        <color indexed="9"/>
        <rFont val="Arial"/>
        <family val="2"/>
      </rPr>
      <t xml:space="preserve"> ↑</t>
    </r>
  </si>
  <si>
    <r>
      <t xml:space="preserve">↑ </t>
    </r>
    <r>
      <rPr>
        <b/>
        <sz val="8"/>
        <color indexed="9"/>
        <rFont val="Arial"/>
        <family val="2"/>
      </rPr>
      <t>Exzenter für ArbZeit</t>
    </r>
    <r>
      <rPr>
        <b/>
        <sz val="12"/>
        <color indexed="9"/>
        <rFont val="Arial"/>
        <family val="2"/>
      </rPr>
      <t xml:space="preserve"> ↑</t>
    </r>
  </si>
  <si>
    <t>ab 1.03.2018</t>
  </si>
  <si>
    <t>ab 1.04.2019</t>
  </si>
  <si>
    <t>ab 1.03.2020</t>
  </si>
  <si>
    <t>( ab 1.03.2018 )</t>
  </si>
  <si>
    <t>( ab 1.04.2019 )</t>
  </si>
  <si>
    <t>( ab 1.03.2020 )</t>
  </si>
  <si>
    <t>Stand 1.03.2018</t>
  </si>
  <si>
    <t>Stand 1.04.2019</t>
  </si>
  <si>
    <t>Stand 1.03.2020</t>
  </si>
  <si>
    <t xml:space="preserve"> (gilt bis 31.03.2019)</t>
  </si>
  <si>
    <t>1.3.</t>
  </si>
  <si>
    <t>West und Ost ( ab 1.03.2020 )</t>
  </si>
  <si>
    <t>Ost SuE ( ab 1.03.2020 )</t>
  </si>
  <si>
    <t>West AT ( ab 1.03.2020 )</t>
  </si>
  <si>
    <t>Ost AT ( ab 1.03.2020 )</t>
  </si>
  <si>
    <t>West SuE ( ab 1.03.2020 )</t>
  </si>
  <si>
    <t>2.11.</t>
  </si>
  <si>
    <t>2.12.</t>
  </si>
  <si>
    <t xml:space="preserve"> ( Erhöhung Stufe 6 ab EG 9a )</t>
  </si>
  <si>
    <t>ab Mrz 2018</t>
  </si>
  <si>
    <t>ab Mrz 2020</t>
  </si>
  <si>
    <t>2020 I</t>
  </si>
  <si>
    <t xml:space="preserve"> (gilt bis 29.02.2020)</t>
  </si>
  <si>
    <t>1,0319</t>
  </si>
  <si>
    <t>1,0309</t>
  </si>
  <si>
    <t>1,0106</t>
  </si>
  <si>
    <t>SuE</t>
  </si>
  <si>
    <t>ab Apr 2019</t>
  </si>
  <si>
    <t xml:space="preserve"> ( Ø Plus von 3,19 % ) </t>
  </si>
  <si>
    <t xml:space="preserve"> ( Ø Plus von 3,09 % )</t>
  </si>
  <si>
    <t>Überstunde in EG 1 - 9b
Überstunde in EG 9c - 15</t>
  </si>
  <si>
    <t>2020 / 1</t>
  </si>
  <si>
    <t>ab Mrz 2019</t>
  </si>
  <si>
    <t>1,029</t>
  </si>
  <si>
    <t>1,0338</t>
  </si>
  <si>
    <t>1,0096</t>
  </si>
  <si>
    <t xml:space="preserve"> ( Ø Plus von 2,90 % ) </t>
  </si>
  <si>
    <t>Pflege West ( ab 1.03.2020 )</t>
  </si>
  <si>
    <t>Pflege Ost ( ab 1.03.2020 )</t>
  </si>
  <si>
    <t xml:space="preserve"> (gilt bis 28.02.2019)</t>
  </si>
  <si>
    <t>ab 1.03.2019</t>
  </si>
  <si>
    <t>( ab 1.03.2019 )</t>
  </si>
  <si>
    <t>Stand 1.03.2019</t>
  </si>
  <si>
    <r>
      <rPr>
        <b/>
        <sz val="8"/>
        <color indexed="9"/>
        <rFont val="Calibri"/>
        <family val="2"/>
      </rPr>
      <t>↓</t>
    </r>
    <r>
      <rPr>
        <b/>
        <sz val="8"/>
        <color indexed="9"/>
        <rFont val="Arial"/>
        <family val="2"/>
      </rPr>
      <t xml:space="preserve"> </t>
    </r>
    <r>
      <rPr>
        <b/>
        <sz val="8"/>
        <color indexed="9"/>
        <rFont val="Arial"/>
        <family val="2"/>
      </rPr>
      <t>Exzenter für B1 in C1 ↓</t>
    </r>
  </si>
  <si>
    <t>Überstunde in EG P 5 - 11
Überstunde in EG P 12 - 16</t>
  </si>
  <si>
    <t>030.40 81 - 43 99</t>
  </si>
  <si>
    <t xml:space="preserve">   Entgeltgruppe</t>
  </si>
  <si>
    <t>außerhalb Pflege West ( ab 1.03.2020 )</t>
  </si>
  <si>
    <t>außerhalb Pflege Ost ( ab 1.03.2020 )</t>
  </si>
  <si>
    <t xml:space="preserve"> (gilt bis 31.12.2019)</t>
  </si>
  <si>
    <t xml:space="preserve"> (gilt bis 31.12.2020)</t>
  </si>
  <si>
    <t>ab 1.01.2019</t>
  </si>
  <si>
    <t>ab 1.01.2020</t>
  </si>
  <si>
    <t>ab 1.01.2021</t>
  </si>
  <si>
    <t>( ab 1.01.2019 )</t>
  </si>
  <si>
    <t>( ab 1.01.2020 )</t>
  </si>
  <si>
    <t>( ab 1.01.2021 )</t>
  </si>
  <si>
    <t>Stand 1.01.2019</t>
  </si>
  <si>
    <t>Stand 1.01.2020</t>
  </si>
  <si>
    <t>Stand 1.01.2021</t>
  </si>
  <si>
    <t>Baden-Württemberg</t>
  </si>
  <si>
    <t>Bayern</t>
  </si>
  <si>
    <t>Bremen</t>
  </si>
  <si>
    <t>Hamburg</t>
  </si>
  <si>
    <t>Niedersachsen</t>
  </si>
  <si>
    <t>Nordrhein-Westfalen</t>
  </si>
  <si>
    <t>Rheinland-Pfalz</t>
  </si>
  <si>
    <t>Saarland</t>
  </si>
  <si>
    <t>Schleswig-Holstein</t>
  </si>
  <si>
    <t>Berlin</t>
  </si>
  <si>
    <t>5.33.</t>
  </si>
  <si>
    <t>Tarifgebiet Ost</t>
  </si>
  <si>
    <t>Land ( TdL )</t>
  </si>
  <si>
    <t>TV dataport</t>
  </si>
  <si>
    <t>9.3.</t>
  </si>
  <si>
    <t xml:space="preserve"> (mind bis 30.09.2021)</t>
  </si>
  <si>
    <t xml:space="preserve"> (mind bis 31.12.2018)</t>
  </si>
  <si>
    <t xml:space="preserve"> (mind bis 31.12.2014)</t>
  </si>
  <si>
    <t xml:space="preserve"> (mind bis 28.02.2018)</t>
  </si>
  <si>
    <t xml:space="preserve"> (mind bis 29.02.2016)</t>
  </si>
  <si>
    <t xml:space="preserve"> (mind bis 28.02.2014)</t>
  </si>
  <si>
    <t xml:space="preserve"> (mind bis 31.12.2016)</t>
  </si>
  <si>
    <t>Länder ( TdL )</t>
  </si>
  <si>
    <t>KR 17</t>
  </si>
  <si>
    <t>KR 16</t>
  </si>
  <si>
    <t>KR 15</t>
  </si>
  <si>
    <t>KR 14</t>
  </si>
  <si>
    <t>KR 13</t>
  </si>
  <si>
    <t>KR 12</t>
  </si>
  <si>
    <t>KR 11</t>
  </si>
  <si>
    <t>KR 10</t>
  </si>
  <si>
    <t>KR 9</t>
  </si>
  <si>
    <t>KR 8</t>
  </si>
  <si>
    <t>KR 7</t>
  </si>
  <si>
    <t>KR 6</t>
  </si>
  <si>
    <t>KR 5</t>
  </si>
  <si>
    <t>TV-L  Kr ( Anlage C )</t>
  </si>
  <si>
    <t>TV-L  AT ( Anlage B )</t>
  </si>
  <si>
    <t>KR - Entgelttabelle  ( + 3,12 % )</t>
  </si>
  <si>
    <t>KR - Entgelttabelle  ( + 1,29 % )</t>
  </si>
  <si>
    <t>KR - Entgelttabelle  ( + 3,01 % )</t>
  </si>
  <si>
    <t xml:space="preserve"> - TV dataport</t>
  </si>
  <si>
    <t>Die Tabellen beruhen auf der Tarifeinigung vom 2.03.2019 mit den Ländern der TdL, die bei 33 Monaten Laufzeit vom 1.01.2019 bis mindestens 30.09.2021 gilt</t>
  </si>
  <si>
    <t>Überstunde EG Kr   5 - 12
Überstunde EG Kr 13 - 17</t>
  </si>
  <si>
    <t>Die Tabellen beruhen auf der Tarifeinigung vom 1.04.2019 mit dataport AÖR, die bei 33 Monaten Laufzeit vom 1.01.2019 bis mindestens 30.09.2021 gilt</t>
  </si>
  <si>
    <t>Die Tabellen beruhen auf der Tarifeinigung vom 29.03.2019 mit dem Land Hessen, die bei 33 Monaten Laufzeit vom 1.01.2019 bis mindestens 30.09.2021 gilt</t>
  </si>
  <si>
    <t>2019 / 1</t>
  </si>
  <si>
    <t xml:space="preserve"> (gilt bis 31.07.2019)</t>
  </si>
  <si>
    <t>ab 1.08.2019</t>
  </si>
  <si>
    <t>( ab 1.08.2019 )</t>
  </si>
  <si>
    <t>Stand 1.08.2019</t>
  </si>
  <si>
    <t xml:space="preserve"> (gilt bis 31.01.2020)</t>
  </si>
  <si>
    <t>ab 1.02.2020</t>
  </si>
  <si>
    <t>( ab 1.02.2020 )</t>
  </si>
  <si>
    <t>Stand 1.02.2020</t>
  </si>
  <si>
    <t>2019 / 2</t>
  </si>
  <si>
    <t>( Einführung EG 9b und EG 9a )</t>
  </si>
  <si>
    <t>dataport</t>
  </si>
  <si>
    <t>( Einbau LOB )</t>
  </si>
  <si>
    <t>dataport AöR ( ab 1.01.2019 )</t>
  </si>
  <si>
    <t>dataport AöR ( ab 1.01.2020 )</t>
  </si>
  <si>
    <t>dataport AöR ( ab 1.01.2021 )</t>
  </si>
  <si>
    <t>dataport AöR</t>
  </si>
  <si>
    <t>Schatten</t>
  </si>
  <si>
    <t>TV-L  SuE ( Anlage G )</t>
  </si>
  <si>
    <t>9.4.</t>
  </si>
  <si>
    <t>10.1.</t>
  </si>
  <si>
    <t>10.2.</t>
  </si>
  <si>
    <t>10.3.</t>
  </si>
  <si>
    <t>7.7.</t>
  </si>
  <si>
    <t>7.6.</t>
  </si>
  <si>
    <t>7.8.</t>
  </si>
  <si>
    <t>7.9.</t>
  </si>
  <si>
    <t>7.10.</t>
  </si>
  <si>
    <t>7.11.</t>
  </si>
  <si>
    <t>7.12.</t>
  </si>
  <si>
    <t>7.13.</t>
  </si>
  <si>
    <t>7.14.</t>
  </si>
  <si>
    <t>7.17.</t>
  </si>
  <si>
    <t>7.16.</t>
  </si>
  <si>
    <t>7.18.</t>
  </si>
  <si>
    <t>7.19.</t>
  </si>
  <si>
    <t>7.20.</t>
  </si>
  <si>
    <t>7.21.</t>
  </si>
  <si>
    <t>7.22.</t>
  </si>
  <si>
    <t>Hamburg ( AVH )</t>
  </si>
  <si>
    <t>S 2 ( EG 3 AT )</t>
  </si>
  <si>
    <t>SuE - Tabelle  ( + 3,01 % sowie + 3,12 % )</t>
  </si>
  <si>
    <t>SuE - Tabelle  ( + 1,29 % )</t>
  </si>
  <si>
    <t>Um die Nutzung dieses Excel-Tools zu erleichtern, geben wir folgende Anwendungshinweise:</t>
  </si>
  <si>
    <t>TV-H  AT ( Hessen )</t>
  </si>
  <si>
    <t>ab Apr 2021</t>
  </si>
  <si>
    <t>ab Apr 2022</t>
  </si>
  <si>
    <t>1,018</t>
  </si>
  <si>
    <t xml:space="preserve"> ( + 1,80 % ) </t>
  </si>
  <si>
    <t xml:space="preserve"> ( + 1,40 % mind 50 Euro ) </t>
  </si>
  <si>
    <t xml:space="preserve"> ( bis 31.03.2021 )</t>
  </si>
  <si>
    <t>ab 1.04.2021</t>
  </si>
  <si>
    <t>ab 1.04.2022</t>
  </si>
  <si>
    <t xml:space="preserve"> ( mind bis 31.12.2022 )</t>
  </si>
  <si>
    <t xml:space="preserve"> ( bis 31.03.2022 )</t>
  </si>
  <si>
    <t>Stand 1.04.2021</t>
  </si>
  <si>
    <t>Stand 1.04.2022</t>
  </si>
  <si>
    <t>( ab 1.04.2021 )</t>
  </si>
  <si>
    <t>( ab 1.04.2022 )</t>
  </si>
  <si>
    <t xml:space="preserve"> ( Ø Plus von 1,06 % )</t>
  </si>
  <si>
    <t>West und Ost ( ab 1.04.2021 )</t>
  </si>
  <si>
    <t>West und Ost ( ab 1.04.2022 )</t>
  </si>
  <si>
    <t>West AT ( ab 1.04.2021 )</t>
  </si>
  <si>
    <t>Ost AT ( ab 1.04.2021 )</t>
  </si>
  <si>
    <t>West SuE ( ab 1.04.2021 )</t>
  </si>
  <si>
    <t>Ost SuE ( ab 1.04.2021 )</t>
  </si>
  <si>
    <t>West AT ( ab 1.04.2022 )</t>
  </si>
  <si>
    <t>Ost AT ( ab 1.04.2022 )</t>
  </si>
  <si>
    <t>West SuE ( ab 1.04.2022 )</t>
  </si>
  <si>
    <t>Ost SuE ( ab 1.04.2022 )</t>
  </si>
  <si>
    <t>Pflege West ( ab 1.04.2021 )</t>
  </si>
  <si>
    <t>Pflege Ost ( ab 1.04.2021 )</t>
  </si>
  <si>
    <t>außerhalb Pflege West ( ab 1.04.2022 )</t>
  </si>
  <si>
    <t>außerhalb Pflege Ost ( ab 1.04.2022 )</t>
  </si>
  <si>
    <t>außerhalb Pflege West ( ab 1.04.2021 )</t>
  </si>
  <si>
    <t>außerhalb Pflege Ost ( ab 1.04.2021 )</t>
  </si>
  <si>
    <t>Pflege West ( ab 1.04.2022 )</t>
  </si>
  <si>
    <t>Pflege Ost ( ab 1.04.2022 )</t>
  </si>
  <si>
    <t>VKA-AT</t>
  </si>
  <si>
    <t>VKA-SuE</t>
  </si>
  <si>
    <t>VKA-P</t>
  </si>
  <si>
    <t xml:space="preserve"> ( Ø Plus von 1,04 % )</t>
  </si>
  <si>
    <t xml:space="preserve"> ( Ø Plus von 3,30 % )</t>
  </si>
  <si>
    <t xml:space="preserve"> ( gilt bis 31.03.2021 )</t>
  </si>
  <si>
    <t xml:space="preserve"> ( gilt bis 31.03.2022 )</t>
  </si>
  <si>
    <t>Geschäftsbereich 2 - Tarif</t>
  </si>
  <si>
    <r>
      <t xml:space="preserve">Die jeweiligen Tabellen werden durch Angaben zu „Tarif“, „Tarifgebiet“ und „Vollzeit“ angesteuert. Der Ausdruck erfolgt auf einer Seite DIN A4.
Zusammen mit der ausgewählten Entgelttabelle werden die einschlägigen Stundenentgelte, Zeitzuschläge sowie Überstundenentgelte bzw die Bereitschaftsdienstentgelte dargestellt. Die Angaben sind steuerbar insbesondere nach Maßgabe der Bestimmungen des TV-L zur wöchentlichen Arbeitszeit in den Ländern.
</t>
    </r>
    <r>
      <rPr>
        <b/>
        <sz val="9"/>
        <rFont val="Arial"/>
        <family val="2"/>
      </rPr>
      <t>Die Angaben sind ohne Gewähr:</t>
    </r>
    <r>
      <rPr>
        <sz val="9"/>
        <rFont val="Arial"/>
        <family val="2"/>
      </rPr>
      <t xml:space="preserve"> Diese Datei ist gewissenhaft nach dem jeweils ausgewählten Tarif und Stand erstellt, ohne Anspruch auf Vollständigkeit zu erheben. Rechtsansprüche jeglicher Art gegenüber dem Herausgeber aus der Anwendung bzw aus dem Inhalt dieser Datei sind ausgeschlossen.
dbb beamtenbund und tarifunion
Geschäftsbereich 2 - Tarif
Friedrichstraße 169, 10117 Berlin</t>
    </r>
  </si>
  <si>
    <t xml:space="preserve"> TVöD   I   TV-L   2020 - 2022</t>
  </si>
  <si>
    <r>
      <t xml:space="preserve">Unter dem Dach des </t>
    </r>
    <r>
      <rPr>
        <b/>
        <sz val="8"/>
        <color indexed="63"/>
        <rFont val="Arial Narrow"/>
        <family val="2"/>
      </rPr>
      <t>dbb beamtenbund und tarifunion</t>
    </r>
    <r>
      <rPr>
        <sz val="8"/>
        <color indexed="63"/>
        <rFont val="Arial Narrow"/>
        <family val="2"/>
      </rPr>
      <t xml:space="preserve"> bieten 40 kompetente Mitgliedsgewerkschaften mit insgesamt über 1,3 Millionen Mitgliedern den Beschäftigten des Öffentlichen Diensts und seiner privatisierten Bereiche Unterstützung sowohl in tarifvertraglichen und beamtenrechtlichen Fragen, als auch im Falle von beruflichen Rechtsstreitigkeiten. Nur Nähe mit einer persönlich überzeugenden Ansprache jedes Mitglieds schafft auch das nötige Vertrauen in die Durchsetzungskraft einer Solidargemeinschaft. Der </t>
    </r>
    <r>
      <rPr>
        <b/>
        <sz val="8"/>
        <color indexed="63"/>
        <rFont val="Arial Narrow"/>
        <family val="2"/>
      </rPr>
      <t>dbb beamtenbund und tarifunion</t>
    </r>
    <r>
      <rPr>
        <sz val="8"/>
        <color indexed="63"/>
        <rFont val="Arial Narrow"/>
        <family val="2"/>
      </rPr>
      <t xml:space="preserve"> weiß um die Besonderheiten im Öffentlichen Dienst und seiner privatisierten Bereiche. Nähe zu den Mitgliedern ist die Stärke des dbb. Wir informieren schnell und vor Ort über </t>
    </r>
    <r>
      <rPr>
        <b/>
        <sz val="8"/>
        <color indexed="63"/>
        <rFont val="Arial Narrow"/>
        <family val="2"/>
      </rPr>
      <t>www.dbb.de</t>
    </r>
    <r>
      <rPr>
        <sz val="8"/>
        <color indexed="63"/>
        <rFont val="Arial Narrow"/>
        <family val="2"/>
      </rPr>
      <t xml:space="preserve">, über die Flugblätter </t>
    </r>
    <r>
      <rPr>
        <b/>
        <sz val="8"/>
        <color indexed="63"/>
        <rFont val="Arial Narrow"/>
        <family val="2"/>
      </rPr>
      <t>dbb aktuell</t>
    </r>
    <r>
      <rPr>
        <sz val="8"/>
        <color indexed="63"/>
        <rFont val="Arial Narrow"/>
        <family val="2"/>
      </rPr>
      <t xml:space="preserve"> und unsere Magazine </t>
    </r>
    <r>
      <rPr>
        <b/>
        <sz val="8"/>
        <color indexed="63"/>
        <rFont val="Arial Narrow"/>
        <family val="2"/>
      </rPr>
      <t>dbb magazin</t>
    </r>
    <r>
      <rPr>
        <sz val="8"/>
        <color indexed="63"/>
        <rFont val="Arial Narrow"/>
        <family val="2"/>
      </rPr>
      <t xml:space="preserve"> und </t>
    </r>
    <r>
      <rPr>
        <b/>
        <sz val="8"/>
        <color indexed="63"/>
        <rFont val="Arial Narrow"/>
        <family val="2"/>
      </rPr>
      <t>tacheles</t>
    </r>
    <r>
      <rPr>
        <sz val="8"/>
        <color indexed="63"/>
        <rFont val="Arial Narrow"/>
        <family val="2"/>
      </rPr>
      <t xml:space="preserve">. Mitglied werden und Mitglied bleiben in Ihrer zuständigen Fachgewerkschaft von </t>
    </r>
    <r>
      <rPr>
        <b/>
        <sz val="8"/>
        <color indexed="63"/>
        <rFont val="Arial Narrow"/>
        <family val="2"/>
      </rPr>
      <t>dbb beamtenbund und tarifunion</t>
    </r>
    <r>
      <rPr>
        <sz val="8"/>
        <color indexed="63"/>
        <rFont val="Arial Narrow"/>
        <family val="2"/>
      </rPr>
      <t xml:space="preserve"> – es lohnt sich!</t>
    </r>
  </si>
  <si>
    <t>1,0156</t>
  </si>
  <si>
    <t>Benutzerhinweise   [Stand 24.03.2021]</t>
  </si>
  <si>
    <t>Die Tabellen beruhen auf der Tarifeinigung vom 25.10.2020 mit Bund und Kommunen, die bei 28 Monaten Laufzeit vom 1.09.2020 bis mindestens 31.12.2022 gilt</t>
  </si>
  <si>
    <t>Die Tabellen beruhen auf der Tarifeinigung vom 25.10.2020 mit der Arbeitsrechtlichen Vereinigung Hamburg (AVH), die bei 28 Monaten Laufzeit vom 1.09.2020 bis mindestens 31.12.2022 gilt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</si>
</sst>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64" formatCode="General&quot; Std&quot;"/>
    <numFmt numFmtId="165" formatCode="General&quot; min&quot;"/>
    <numFmt numFmtId="166" formatCode="#,##0.000"/>
    <numFmt numFmtId="167" formatCode="0.0%"/>
    <numFmt numFmtId="168" formatCode="0.0"/>
    <numFmt numFmtId="169" formatCode="0.00&quot; Std&quot;"/>
    <numFmt numFmtId="170" formatCode="00&quot; Std&quot;"/>
    <numFmt numFmtId="171" formatCode="&quot;=   &quot;00&quot; Std&quot;"/>
    <numFmt numFmtId="172" formatCode="0.000000"/>
    <numFmt numFmtId="173" formatCode="\+\ 0.00\ %"/>
    <numFmt numFmtId="174" formatCode="&quot;ab &quot;d/mm/yyyy"/>
    <numFmt numFmtId="175" formatCode="0.0000"/>
    <numFmt numFmtId="176" formatCode="\+\ _-* #,##0.00\ _€_-;\-* #,##0.00\ _€_-;_-* &quot;-&quot;??\ _€_-;_-@_-"/>
    <numFmt numFmtId="177" formatCode="@\ *."/>
    <numFmt numFmtId="178" formatCode="\ \ \ \ \ \ \ \ \ \ @\ *."/>
    <numFmt numFmtId="179" formatCode="\ \ \ \ \ \ \ \ \ \ \ \ @\ *."/>
    <numFmt numFmtId="180" formatCode="\ \ \ \ \ \ \ \ \ \ \ \ @"/>
    <numFmt numFmtId="181" formatCode="\ \ \ \ \ \ \ \ \ \ \ \ \ @\ *."/>
    <numFmt numFmtId="182" formatCode="\ @\ *."/>
    <numFmt numFmtId="183" formatCode="\ @"/>
    <numFmt numFmtId="184" formatCode="\ \ @\ *."/>
    <numFmt numFmtId="185" formatCode="\ \ @"/>
    <numFmt numFmtId="186" formatCode="\ \ \ @\ *."/>
    <numFmt numFmtId="187" formatCode="\ \ \ @"/>
    <numFmt numFmtId="188" formatCode="\ \ \ \ @\ *."/>
    <numFmt numFmtId="189" formatCode="\ \ \ \ @"/>
    <numFmt numFmtId="190" formatCode="\ \ \ \ \ \ @\ *."/>
    <numFmt numFmtId="191" formatCode="\ \ \ \ \ \ @"/>
    <numFmt numFmtId="192" formatCode="\ \ \ \ \ \ \ @\ *."/>
    <numFmt numFmtId="193" formatCode="\ \ \ \ \ \ \ \ \ @\ *."/>
    <numFmt numFmtId="194" formatCode="\ \ \ \ \ \ \ \ \ @"/>
    <numFmt numFmtId="195" formatCode="&quot;P &gt; &quot;#,##0.00"/>
    <numFmt numFmtId="196" formatCode="\+_-* #,##0.00\ _€_-;\-* #,##0.00\ _€_-;_-* &quot;-&quot;??\ _€_-;_-@_-"/>
    <numFmt numFmtId="197" formatCode="#,##0.00\ _€"/>
  </numFmts>
  <fonts count="91">
    <font>
      <sz val="10"/>
      <name val="TheSansOffice"/>
    </font>
    <font>
      <sz val="10"/>
      <name val="Arial"/>
      <family val="2"/>
    </font>
    <font>
      <u/>
      <sz val="10"/>
      <color indexed="12"/>
      <name val="Arial"/>
      <family val="2"/>
    </font>
    <font>
      <sz val="8"/>
      <name val="TheSansOffice"/>
      <family val="2"/>
    </font>
    <font>
      <sz val="8"/>
      <name val="Arial"/>
      <family val="2"/>
    </font>
    <font>
      <b/>
      <sz val="8"/>
      <name val="Arial"/>
      <family val="2"/>
    </font>
    <font>
      <b/>
      <sz val="8"/>
      <color indexed="61"/>
      <name val="Arial"/>
      <family val="2"/>
    </font>
    <font>
      <i/>
      <sz val="8"/>
      <name val="Arial"/>
      <family val="2"/>
    </font>
    <font>
      <sz val="5"/>
      <name val="Arial"/>
      <family val="2"/>
    </font>
    <font>
      <sz val="5"/>
      <name val="TheSansOffice"/>
      <family val="2"/>
    </font>
    <font>
      <sz val="6"/>
      <name val="Arial"/>
      <family val="2"/>
    </font>
    <font>
      <b/>
      <sz val="6"/>
      <name val="Arial"/>
      <family val="2"/>
    </font>
    <font>
      <sz val="12"/>
      <name val="Arial"/>
      <family val="2"/>
    </font>
    <font>
      <sz val="10"/>
      <name val="TheSansOffice"/>
      <family val="2"/>
    </font>
    <font>
      <sz val="9"/>
      <name val="Arial"/>
      <family val="2"/>
    </font>
    <font>
      <b/>
      <sz val="9"/>
      <name val="Arial"/>
      <family val="2"/>
    </font>
    <font>
      <b/>
      <sz val="8"/>
      <color indexed="9"/>
      <name val="Arial"/>
      <family val="2"/>
    </font>
    <font>
      <sz val="11"/>
      <color indexed="8"/>
      <name val="Calibri"/>
      <family val="2"/>
    </font>
    <font>
      <sz val="10"/>
      <name val="MS Sans Serif"/>
      <family val="2"/>
    </font>
    <font>
      <sz val="10"/>
      <color indexed="64"/>
      <name val="Arial"/>
      <family val="2"/>
    </font>
    <font>
      <sz val="7"/>
      <name val="Arial"/>
      <family val="2"/>
    </font>
    <font>
      <b/>
      <sz val="10"/>
      <name val="Arial"/>
      <family val="2"/>
    </font>
    <font>
      <i/>
      <sz val="7"/>
      <name val="Arial"/>
      <family val="2"/>
    </font>
    <font>
      <u/>
      <sz val="9"/>
      <color indexed="12"/>
      <name val="Arial"/>
      <family val="2"/>
    </font>
    <font>
      <sz val="8"/>
      <color indexed="63"/>
      <name val="Arial Narrow"/>
      <family val="2"/>
    </font>
    <font>
      <b/>
      <sz val="8"/>
      <color indexed="63"/>
      <name val="Arial Narrow"/>
      <family val="2"/>
    </font>
    <font>
      <sz val="10"/>
      <name val="Arial Narrow"/>
      <family val="2"/>
    </font>
    <font>
      <sz val="8"/>
      <name val="Arial Narrow"/>
      <family val="2"/>
    </font>
    <font>
      <b/>
      <sz val="8"/>
      <name val="Arial Narrow"/>
      <family val="2"/>
    </font>
    <font>
      <sz val="9"/>
      <name val="Arial Narrow"/>
      <family val="2"/>
    </font>
    <font>
      <i/>
      <sz val="8"/>
      <name val="Arial Narrow"/>
      <family val="2"/>
    </font>
    <font>
      <sz val="7"/>
      <name val="Letter Gothic CE"/>
      <family val="3"/>
      <charset val="238"/>
    </font>
    <font>
      <b/>
      <sz val="12"/>
      <color indexed="9"/>
      <name val="Arial"/>
      <family val="2"/>
    </font>
    <font>
      <b/>
      <sz val="8"/>
      <color indexed="9"/>
      <name val="Calibri"/>
      <family val="2"/>
    </font>
    <font>
      <sz val="11"/>
      <color theme="1"/>
      <name val="Calibri"/>
      <family val="2"/>
      <scheme val="minor"/>
    </font>
    <font>
      <sz val="11"/>
      <color rgb="FF006100"/>
      <name val="Calibri"/>
      <family val="2"/>
      <scheme val="minor"/>
    </font>
    <font>
      <b/>
      <sz val="6"/>
      <color rgb="FFFF0000"/>
      <name val="Arial"/>
      <family val="2"/>
    </font>
    <font>
      <sz val="8"/>
      <color rgb="FFC00000"/>
      <name val="Arial"/>
      <family val="2"/>
    </font>
    <font>
      <b/>
      <u/>
      <sz val="9"/>
      <color rgb="FFCC3399"/>
      <name val="Arial"/>
      <family val="2"/>
    </font>
    <font>
      <sz val="10"/>
      <color rgb="FF993366"/>
      <name val="Arial"/>
      <family val="2"/>
    </font>
    <font>
      <sz val="8"/>
      <color rgb="FFC30174"/>
      <name val="Arial"/>
      <family val="2"/>
    </font>
    <font>
      <b/>
      <sz val="9"/>
      <color rgb="FFC30174"/>
      <name val="Arial"/>
      <family val="2"/>
    </font>
    <font>
      <sz val="8"/>
      <color theme="1" tint="0.249977111117893"/>
      <name val="Arial"/>
      <family val="2"/>
    </font>
    <font>
      <b/>
      <sz val="8"/>
      <color theme="1" tint="0.249977111117893"/>
      <name val="Arial"/>
      <family val="2"/>
    </font>
    <font>
      <b/>
      <sz val="8"/>
      <color rgb="FFC30174"/>
      <name val="Arial"/>
      <family val="2"/>
    </font>
    <font>
      <sz val="8"/>
      <color theme="0"/>
      <name val="Arial"/>
      <family val="2"/>
    </font>
    <font>
      <sz val="8"/>
      <color rgb="FFFF0000"/>
      <name val="Arial"/>
      <family val="2"/>
    </font>
    <font>
      <sz val="8"/>
      <color theme="6"/>
      <name val="Arial"/>
      <family val="2"/>
    </font>
    <font>
      <sz val="10"/>
      <color theme="0" tint="-0.249977111117893"/>
      <name val="Wingdings"/>
      <charset val="2"/>
    </font>
    <font>
      <sz val="8"/>
      <color theme="0" tint="-0.14999847407452621"/>
      <name val="Arial"/>
      <family val="2"/>
    </font>
    <font>
      <u/>
      <sz val="12"/>
      <color rgb="FF993366"/>
      <name val="Arial"/>
      <family val="2"/>
    </font>
    <font>
      <sz val="12"/>
      <color rgb="FF993366"/>
      <name val="Arial"/>
      <family val="2"/>
    </font>
    <font>
      <b/>
      <sz val="9"/>
      <color rgb="FF993366"/>
      <name val="Arial"/>
      <family val="2"/>
    </font>
    <font>
      <b/>
      <sz val="9"/>
      <color rgb="FFCC3399"/>
      <name val="Arial"/>
      <family val="2"/>
    </font>
    <font>
      <i/>
      <sz val="8"/>
      <color rgb="FFC00000"/>
      <name val="Arial"/>
      <family val="2"/>
    </font>
    <font>
      <sz val="8"/>
      <color theme="1" tint="0.249977111117893"/>
      <name val="Arial Narrow"/>
      <family val="2"/>
    </font>
    <font>
      <sz val="8"/>
      <color theme="1" tint="0.499984740745262"/>
      <name val="Arial Narrow"/>
      <family val="2"/>
    </font>
    <font>
      <b/>
      <sz val="8"/>
      <color theme="1" tint="0.249977111117893"/>
      <name val="Arial Narrow"/>
      <family val="2"/>
    </font>
    <font>
      <sz val="8"/>
      <color rgb="FFFF0000"/>
      <name val="Arial Narrow"/>
      <family val="2"/>
    </font>
    <font>
      <sz val="8"/>
      <color theme="9" tint="-0.249977111117893"/>
      <name val="Arial Narrow"/>
      <family val="2"/>
    </font>
    <font>
      <i/>
      <sz val="8"/>
      <color theme="1"/>
      <name val="Arial"/>
      <family val="2"/>
    </font>
    <font>
      <sz val="8"/>
      <color theme="1"/>
      <name val="Arial"/>
      <family val="2"/>
    </font>
    <font>
      <i/>
      <sz val="8"/>
      <color rgb="FFFF0000"/>
      <name val="Arial"/>
      <family val="2"/>
    </font>
    <font>
      <i/>
      <sz val="8"/>
      <color rgb="FFFFFF00"/>
      <name val="Arial"/>
      <family val="2"/>
    </font>
    <font>
      <sz val="8"/>
      <color rgb="FF006100"/>
      <name val="Arial"/>
      <family val="2"/>
    </font>
    <font>
      <sz val="6"/>
      <color theme="1"/>
      <name val="Arial"/>
      <family val="2"/>
    </font>
    <font>
      <sz val="8"/>
      <color rgb="FFCC0099"/>
      <name val="Arial"/>
      <family val="2"/>
    </font>
    <font>
      <sz val="5"/>
      <color theme="1"/>
      <name val="Arial"/>
      <family val="2"/>
    </font>
    <font>
      <sz val="8"/>
      <color theme="1"/>
      <name val="Arial Narrow"/>
      <family val="2"/>
    </font>
    <font>
      <sz val="8"/>
      <color theme="0" tint="-0.499984740745262"/>
      <name val="Arial"/>
      <family val="2"/>
    </font>
    <font>
      <sz val="8"/>
      <color rgb="FF00B050"/>
      <name val="Arial"/>
      <family val="2"/>
    </font>
    <font>
      <sz val="8"/>
      <color theme="0" tint="-0.34998626667073579"/>
      <name val="Arial"/>
      <family val="2"/>
    </font>
    <font>
      <b/>
      <sz val="12"/>
      <color theme="0"/>
      <name val="Arial"/>
      <family val="2"/>
    </font>
    <font>
      <sz val="8"/>
      <color rgb="FFFF00FF"/>
      <name val="Arial"/>
      <family val="2"/>
    </font>
    <font>
      <sz val="8"/>
      <color rgb="FFFF00FF"/>
      <name val="Arial Narrow"/>
      <family val="2"/>
    </font>
    <font>
      <sz val="6"/>
      <color rgb="FF00B050"/>
      <name val="Arial"/>
      <family val="2"/>
    </font>
    <font>
      <b/>
      <sz val="8"/>
      <color theme="0"/>
      <name val="Arial"/>
      <family val="2"/>
    </font>
    <font>
      <sz val="8"/>
      <color rgb="FF00B050"/>
      <name val="Arial Narrow"/>
      <family val="2"/>
    </font>
    <font>
      <i/>
      <sz val="8"/>
      <color theme="0" tint="-0.499984740745262"/>
      <name val="Arial"/>
      <family val="2"/>
    </font>
    <font>
      <b/>
      <sz val="8"/>
      <color rgb="FFC00000"/>
      <name val="Arial Narrow"/>
      <family val="2"/>
    </font>
    <font>
      <sz val="5"/>
      <color rgb="FFFF0000"/>
      <name val="Arial"/>
      <family val="2"/>
    </font>
    <font>
      <b/>
      <sz val="8"/>
      <color theme="1"/>
      <name val="Arial"/>
      <family val="2"/>
    </font>
    <font>
      <sz val="6"/>
      <color rgb="FFFF0000"/>
      <name val="Arial"/>
      <family val="2"/>
    </font>
    <font>
      <sz val="8"/>
      <color rgb="FFCC0099"/>
      <name val="Arial Narrow"/>
      <family val="2"/>
    </font>
    <font>
      <sz val="10"/>
      <color theme="1" tint="0.249977111117893"/>
      <name val="Arial Narrow"/>
      <family val="2"/>
    </font>
    <font>
      <b/>
      <sz val="9"/>
      <color theme="0"/>
      <name val="Arial"/>
      <family val="2"/>
    </font>
    <font>
      <sz val="9"/>
      <color theme="0"/>
      <name val="Arial"/>
      <family val="2"/>
    </font>
    <font>
      <sz val="8"/>
      <color theme="1"/>
      <name val="TheSansOffice"/>
      <family val="2"/>
    </font>
    <font>
      <sz val="10"/>
      <color theme="1"/>
      <name val="TheSansOffice"/>
      <family val="2"/>
    </font>
    <font>
      <sz val="10"/>
      <color theme="1"/>
      <name val="Arial Narrow"/>
      <family val="2"/>
    </font>
    <font>
      <sz val="10"/>
      <color rgb="FFFF0000"/>
      <name val="Arial Narrow"/>
      <family val="2"/>
    </font>
  </fonts>
  <fills count="2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50"/>
        <bgColor indexed="64"/>
      </patternFill>
    </fill>
    <fill>
      <patternFill patternType="gray0625"/>
    </fill>
    <fill>
      <patternFill patternType="solid">
        <fgColor rgb="FFC6EFCE"/>
      </patternFill>
    </fill>
    <fill>
      <patternFill patternType="solid">
        <fgColor theme="0"/>
        <bgColor indexed="64"/>
      </patternFill>
    </fill>
    <fill>
      <patternFill patternType="solid">
        <fgColor rgb="FFC30174"/>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99"/>
        <bgColor indexed="64"/>
      </patternFill>
    </fill>
    <fill>
      <patternFill patternType="solid">
        <fgColor rgb="FFC2006A"/>
        <bgColor indexed="64"/>
      </patternFill>
    </fill>
    <fill>
      <patternFill patternType="solid">
        <fgColor theme="1" tint="0.499984740745262"/>
        <bgColor indexed="64"/>
      </patternFill>
    </fill>
    <fill>
      <patternFill patternType="solid">
        <fgColor rgb="FFC2006A"/>
        <bgColor indexed="36"/>
      </patternFill>
    </fill>
  </fills>
  <borders count="30">
    <border>
      <left/>
      <right/>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bottom style="dotted">
        <color theme="0" tint="-0.24994659260841701"/>
      </bottom>
      <diagonal/>
    </border>
  </borders>
  <cellStyleXfs count="35">
    <xf numFmtId="0" fontId="0" fillId="0" borderId="0"/>
    <xf numFmtId="177" fontId="4" fillId="0" borderId="0"/>
    <xf numFmtId="49" fontId="4" fillId="0" borderId="0"/>
    <xf numFmtId="178" fontId="4" fillId="0" borderId="0">
      <alignment horizontal="center"/>
    </xf>
    <xf numFmtId="179" fontId="4" fillId="0" borderId="0"/>
    <xf numFmtId="180" fontId="4" fillId="0" borderId="0"/>
    <xf numFmtId="181" fontId="4" fillId="0" borderId="0"/>
    <xf numFmtId="182" fontId="31" fillId="0" borderId="0"/>
    <xf numFmtId="183" fontId="31" fillId="0" borderId="0"/>
    <xf numFmtId="184" fontId="20" fillId="0" borderId="0"/>
    <xf numFmtId="185" fontId="31" fillId="0" borderId="0"/>
    <xf numFmtId="186" fontId="4" fillId="0" borderId="0"/>
    <xf numFmtId="187" fontId="31" fillId="0" borderId="0"/>
    <xf numFmtId="188" fontId="20" fillId="0" borderId="0"/>
    <xf numFmtId="189" fontId="31" fillId="0" borderId="0"/>
    <xf numFmtId="190" fontId="4" fillId="0" borderId="0"/>
    <xf numFmtId="191" fontId="4" fillId="0" borderId="0">
      <alignment horizontal="center"/>
    </xf>
    <xf numFmtId="192" fontId="4" fillId="0" borderId="0">
      <alignment horizontal="center"/>
    </xf>
    <xf numFmtId="193" fontId="4" fillId="0" borderId="0"/>
    <xf numFmtId="194" fontId="4" fillId="0" borderId="0">
      <alignment horizontal="center"/>
    </xf>
    <xf numFmtId="0" fontId="4" fillId="0" borderId="1"/>
    <xf numFmtId="0" fontId="18" fillId="0" borderId="0">
      <alignment horizontal="center"/>
    </xf>
    <xf numFmtId="0" fontId="35" fillId="7" borderId="0" applyNumberFormat="0" applyBorder="0" applyAlignment="0" applyProtection="0"/>
    <xf numFmtId="0" fontId="2" fillId="0" borderId="0" applyNumberFormat="0" applyFill="0" applyBorder="0" applyAlignment="0" applyProtection="0">
      <alignment vertical="top"/>
      <protection locked="0"/>
    </xf>
    <xf numFmtId="177" fontId="31" fillId="0" borderId="0"/>
    <xf numFmtId="49" fontId="31" fillId="0" borderId="0"/>
    <xf numFmtId="0" fontId="13" fillId="0" borderId="0"/>
    <xf numFmtId="0" fontId="17" fillId="0" borderId="0"/>
    <xf numFmtId="0" fontId="17" fillId="0" borderId="0"/>
    <xf numFmtId="0" fontId="1" fillId="0" borderId="0"/>
    <xf numFmtId="0" fontId="19" fillId="0" borderId="0"/>
    <xf numFmtId="0" fontId="13" fillId="0" borderId="0"/>
    <xf numFmtId="0" fontId="13" fillId="0" borderId="0"/>
    <xf numFmtId="0" fontId="34" fillId="0" borderId="0"/>
    <xf numFmtId="0" fontId="1" fillId="0" borderId="0"/>
  </cellStyleXfs>
  <cellXfs count="698">
    <xf numFmtId="0" fontId="0" fillId="0" borderId="0" xfId="0"/>
    <xf numFmtId="170" fontId="5" fillId="2" borderId="0" xfId="0" applyNumberFormat="1" applyFont="1" applyFill="1" applyProtection="1">
      <protection hidden="1"/>
    </xf>
    <xf numFmtId="0" fontId="8" fillId="2" borderId="0" xfId="0" applyFont="1" applyFill="1" applyBorder="1" applyAlignment="1" applyProtection="1">
      <alignment horizontal="center" vertical="center"/>
      <protection hidden="1"/>
    </xf>
    <xf numFmtId="2" fontId="8" fillId="2" borderId="0" xfId="0" applyNumberFormat="1" applyFont="1" applyFill="1" applyBorder="1" applyAlignment="1" applyProtection="1">
      <alignment horizontal="center" vertical="center"/>
      <protection hidden="1"/>
    </xf>
    <xf numFmtId="164" fontId="8" fillId="2" borderId="0" xfId="0" applyNumberFormat="1" applyFont="1" applyFill="1" applyBorder="1" applyAlignment="1" applyProtection="1">
      <alignment horizontal="center" vertical="center"/>
      <protection hidden="1"/>
    </xf>
    <xf numFmtId="0" fontId="8" fillId="2" borderId="0" xfId="0" applyFont="1" applyFill="1" applyProtection="1">
      <protection hidden="1"/>
    </xf>
    <xf numFmtId="165" fontId="8" fillId="2" borderId="0" xfId="0" applyNumberFormat="1" applyFont="1" applyFill="1" applyBorder="1" applyAlignment="1" applyProtection="1">
      <alignment horizontal="center" vertical="center"/>
      <protection hidden="1"/>
    </xf>
    <xf numFmtId="0" fontId="8" fillId="2" borderId="0" xfId="0" applyNumberFormat="1" applyFont="1" applyFill="1" applyBorder="1" applyAlignment="1" applyProtection="1">
      <alignment horizontal="center" vertical="center"/>
      <protection hidden="1"/>
    </xf>
    <xf numFmtId="0" fontId="9" fillId="2" borderId="0" xfId="0" applyFont="1" applyFill="1"/>
    <xf numFmtId="0" fontId="3" fillId="2" borderId="0" xfId="0" applyFont="1" applyFill="1" applyAlignment="1">
      <alignment horizontal="center"/>
    </xf>
    <xf numFmtId="0" fontId="3" fillId="2" borderId="0" xfId="0" applyFont="1" applyFill="1"/>
    <xf numFmtId="0" fontId="8" fillId="3" borderId="0" xfId="0" applyFont="1" applyFill="1" applyBorder="1" applyAlignment="1" applyProtection="1">
      <alignment horizontal="center" vertical="center"/>
      <protection hidden="1"/>
    </xf>
    <xf numFmtId="164" fontId="8" fillId="3"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horizontal="center" vertical="center"/>
      <protection hidden="1"/>
    </xf>
    <xf numFmtId="164" fontId="8" fillId="4" borderId="0" xfId="0" applyNumberFormat="1" applyFont="1" applyFill="1" applyBorder="1" applyAlignment="1" applyProtection="1">
      <alignment horizontal="center" vertical="center"/>
      <protection hidden="1"/>
    </xf>
    <xf numFmtId="165" fontId="5" fillId="0" borderId="0" xfId="0" applyNumberFormat="1" applyFont="1" applyAlignment="1">
      <alignment horizontal="left" vertical="center"/>
    </xf>
    <xf numFmtId="0" fontId="10" fillId="0" borderId="0" xfId="0" applyFont="1" applyAlignment="1">
      <alignment horizontal="center"/>
    </xf>
    <xf numFmtId="165" fontId="11" fillId="0" borderId="0" xfId="0" applyNumberFormat="1" applyFont="1" applyAlignment="1">
      <alignment horizontal="left"/>
    </xf>
    <xf numFmtId="0" fontId="10" fillId="0" borderId="0" xfId="0" applyFont="1"/>
    <xf numFmtId="0" fontId="10" fillId="0" borderId="0" xfId="0" applyFont="1" applyAlignment="1">
      <alignment horizontal="right"/>
    </xf>
    <xf numFmtId="0" fontId="11" fillId="0" borderId="0" xfId="0" applyFont="1"/>
    <xf numFmtId="170" fontId="5" fillId="0" borderId="0" xfId="0" applyNumberFormat="1" applyFont="1"/>
    <xf numFmtId="165" fontId="5" fillId="0" borderId="0" xfId="0" applyNumberFormat="1" applyFont="1" applyAlignment="1">
      <alignment horizontal="left"/>
    </xf>
    <xf numFmtId="0" fontId="10" fillId="0" borderId="0" xfId="0" applyFont="1" applyAlignment="1">
      <alignment horizontal="left"/>
    </xf>
    <xf numFmtId="49" fontId="10" fillId="0" borderId="0" xfId="0" applyNumberFormat="1" applyFont="1"/>
    <xf numFmtId="169" fontId="10" fillId="0" borderId="0" xfId="0" applyNumberFormat="1" applyFont="1" applyBorder="1" applyAlignment="1">
      <alignment horizontal="left"/>
    </xf>
    <xf numFmtId="0" fontId="10" fillId="0" borderId="0" xfId="0" applyFont="1" applyBorder="1"/>
    <xf numFmtId="0" fontId="10" fillId="0" borderId="0" xfId="0" applyFont="1" applyBorder="1" applyAlignment="1">
      <alignment horizontal="left"/>
    </xf>
    <xf numFmtId="49" fontId="10" fillId="0" borderId="0" xfId="0" applyNumberFormat="1" applyFont="1" applyBorder="1" applyAlignment="1">
      <alignment horizontal="left"/>
    </xf>
    <xf numFmtId="49" fontId="10" fillId="0" borderId="0" xfId="0" applyNumberFormat="1" applyFont="1" applyAlignment="1">
      <alignment horizontal="left"/>
    </xf>
    <xf numFmtId="0" fontId="10" fillId="0" borderId="2" xfId="0" applyFont="1" applyBorder="1"/>
    <xf numFmtId="0" fontId="5" fillId="0" borderId="0" xfId="0" applyFont="1" applyAlignment="1">
      <alignment horizontal="center"/>
    </xf>
    <xf numFmtId="0" fontId="9" fillId="2" borderId="0" xfId="0" applyFont="1" applyFill="1" applyBorder="1"/>
    <xf numFmtId="0" fontId="8" fillId="2" borderId="0" xfId="0" applyFont="1" applyFill="1" applyBorder="1" applyProtection="1">
      <protection hidden="1"/>
    </xf>
    <xf numFmtId="0" fontId="3" fillId="2" borderId="0" xfId="0" applyFont="1" applyFill="1" applyAlignment="1">
      <alignment horizontal="left"/>
    </xf>
    <xf numFmtId="0" fontId="5" fillId="0" borderId="0" xfId="0" applyFont="1" applyFill="1" applyBorder="1" applyAlignment="1">
      <alignment horizontal="center" vertical="center" wrapText="1"/>
    </xf>
    <xf numFmtId="0" fontId="4" fillId="0" borderId="0" xfId="0" applyNumberFormat="1" applyFont="1" applyFill="1" applyBorder="1" applyAlignment="1">
      <alignment horizontal="center" vertical="center"/>
    </xf>
    <xf numFmtId="4" fontId="4" fillId="0" borderId="0" xfId="0" applyNumberFormat="1" applyFont="1" applyFill="1" applyBorder="1" applyAlignment="1">
      <alignment horizontal="center" vertical="center"/>
    </xf>
    <xf numFmtId="0" fontId="5" fillId="0" borderId="0" xfId="0" applyFont="1" applyBorder="1" applyAlignment="1">
      <alignment horizontal="left"/>
    </xf>
    <xf numFmtId="0" fontId="5" fillId="0" borderId="0" xfId="0" applyFont="1" applyBorder="1" applyAlignment="1">
      <alignment vertical="center"/>
    </xf>
    <xf numFmtId="3" fontId="4" fillId="0" borderId="0" xfId="0" applyNumberFormat="1" applyFont="1" applyFill="1" applyBorder="1" applyAlignment="1">
      <alignment horizontal="center" vertical="center"/>
    </xf>
    <xf numFmtId="0" fontId="10" fillId="4" borderId="0" xfId="0" applyFont="1" applyFill="1" applyAlignment="1">
      <alignment horizontal="center"/>
    </xf>
    <xf numFmtId="0" fontId="11" fillId="0" borderId="0" xfId="0" applyFont="1" applyAlignment="1">
      <alignment horizontal="right"/>
    </xf>
    <xf numFmtId="0" fontId="10" fillId="3" borderId="0" xfId="0" applyFont="1" applyFill="1" applyBorder="1" applyAlignment="1">
      <alignment horizontal="center"/>
    </xf>
    <xf numFmtId="0" fontId="10" fillId="3" borderId="2" xfId="0" applyFont="1" applyFill="1" applyBorder="1" applyAlignment="1">
      <alignment horizontal="center"/>
    </xf>
    <xf numFmtId="169" fontId="10" fillId="4" borderId="3" xfId="0" applyNumberFormat="1" applyFont="1" applyFill="1" applyBorder="1" applyAlignment="1">
      <alignment horizontal="left"/>
    </xf>
    <xf numFmtId="169" fontId="10" fillId="4" borderId="4" xfId="0" applyNumberFormat="1" applyFont="1" applyFill="1" applyBorder="1" applyAlignment="1">
      <alignment horizontal="left"/>
    </xf>
    <xf numFmtId="169" fontId="10" fillId="4" borderId="5" xfId="0" applyNumberFormat="1" applyFont="1" applyFill="1" applyBorder="1" applyAlignment="1">
      <alignment horizontal="left"/>
    </xf>
    <xf numFmtId="0" fontId="11" fillId="5" borderId="0" xfId="0" applyFont="1" applyFill="1" applyAlignment="1">
      <alignment horizontal="right"/>
    </xf>
    <xf numFmtId="0" fontId="11" fillId="4" borderId="0" xfId="0" applyFont="1" applyFill="1"/>
    <xf numFmtId="170" fontId="11" fillId="4" borderId="0" xfId="0" applyNumberFormat="1" applyFont="1" applyFill="1"/>
    <xf numFmtId="170" fontId="5" fillId="4" borderId="0" xfId="0" applyNumberFormat="1" applyFont="1" applyFill="1" applyAlignment="1">
      <alignment vertical="center"/>
    </xf>
    <xf numFmtId="0" fontId="5" fillId="5" borderId="0" xfId="0" applyFont="1" applyFill="1" applyAlignment="1">
      <alignment horizontal="center"/>
    </xf>
    <xf numFmtId="0" fontId="8" fillId="3" borderId="0" xfId="0" applyFont="1" applyFill="1" applyBorder="1" applyAlignment="1" applyProtection="1">
      <alignment horizontal="left" vertical="center"/>
      <protection hidden="1"/>
    </xf>
    <xf numFmtId="0" fontId="8" fillId="4" borderId="0" xfId="0" applyFont="1" applyFill="1" applyBorder="1" applyAlignment="1" applyProtection="1">
      <alignment horizontal="left" vertical="center"/>
      <protection hidden="1"/>
    </xf>
    <xf numFmtId="0" fontId="5" fillId="5" borderId="0" xfId="0" applyFont="1" applyFill="1" applyAlignment="1">
      <alignment vertical="center"/>
    </xf>
    <xf numFmtId="0" fontId="5" fillId="3" borderId="0" xfId="0" applyFont="1" applyFill="1" applyAlignment="1">
      <alignment vertical="center"/>
    </xf>
    <xf numFmtId="0" fontId="5" fillId="4" borderId="0" xfId="0" applyFont="1" applyFill="1" applyAlignment="1">
      <alignment vertical="center"/>
    </xf>
    <xf numFmtId="49" fontId="5" fillId="5" borderId="0" xfId="0" applyNumberFormat="1" applyFont="1" applyFill="1" applyAlignment="1">
      <alignment horizontal="center"/>
    </xf>
    <xf numFmtId="169" fontId="10" fillId="3" borderId="0" xfId="0" applyNumberFormat="1" applyFont="1" applyFill="1" applyBorder="1" applyAlignment="1">
      <alignment horizontal="left"/>
    </xf>
    <xf numFmtId="0" fontId="10" fillId="4" borderId="0" xfId="0" applyFont="1" applyFill="1" applyBorder="1" applyAlignment="1">
      <alignment horizontal="center"/>
    </xf>
    <xf numFmtId="169" fontId="10" fillId="4" borderId="0" xfId="0" applyNumberFormat="1" applyFont="1" applyFill="1" applyBorder="1" applyAlignment="1">
      <alignment horizontal="left"/>
    </xf>
    <xf numFmtId="169" fontId="10" fillId="3" borderId="2" xfId="0" applyNumberFormat="1" applyFont="1" applyFill="1" applyBorder="1" applyAlignment="1">
      <alignment horizontal="left"/>
    </xf>
    <xf numFmtId="0" fontId="10" fillId="4" borderId="0" xfId="0" applyFont="1" applyFill="1" applyBorder="1"/>
    <xf numFmtId="0" fontId="10" fillId="4" borderId="2" xfId="0" applyFont="1" applyFill="1" applyBorder="1" applyAlignment="1">
      <alignment horizontal="center"/>
    </xf>
    <xf numFmtId="169" fontId="10" fillId="4" borderId="2" xfId="0" applyNumberFormat="1" applyFont="1" applyFill="1" applyBorder="1" applyAlignment="1">
      <alignment horizontal="left"/>
    </xf>
    <xf numFmtId="0" fontId="10" fillId="4" borderId="2" xfId="0" applyFont="1" applyFill="1" applyBorder="1"/>
    <xf numFmtId="0" fontId="4" fillId="0" borderId="0" xfId="0" applyFont="1"/>
    <xf numFmtId="0" fontId="10" fillId="5" borderId="6" xfId="0" applyFont="1" applyFill="1" applyBorder="1" applyAlignment="1">
      <alignment horizontal="center"/>
    </xf>
    <xf numFmtId="0" fontId="10" fillId="5" borderId="7" xfId="0" applyFont="1" applyFill="1" applyBorder="1" applyAlignment="1">
      <alignment horizontal="center"/>
    </xf>
    <xf numFmtId="0" fontId="10" fillId="5" borderId="8" xfId="0" applyFont="1" applyFill="1" applyBorder="1" applyAlignment="1">
      <alignment horizontal="center"/>
    </xf>
    <xf numFmtId="169" fontId="10" fillId="4" borderId="1" xfId="0" applyNumberFormat="1" applyFont="1" applyFill="1" applyBorder="1" applyAlignment="1">
      <alignment horizontal="left"/>
    </xf>
    <xf numFmtId="0" fontId="7"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49" fontId="4" fillId="0" borderId="0" xfId="0" applyNumberFormat="1" applyFont="1" applyFill="1" applyAlignment="1">
      <alignment horizontal="left" vertical="center"/>
    </xf>
    <xf numFmtId="169" fontId="4" fillId="0" borderId="0" xfId="0" applyNumberFormat="1" applyFont="1" applyBorder="1" applyAlignment="1">
      <alignment horizontal="left"/>
    </xf>
    <xf numFmtId="0" fontId="4" fillId="0" borderId="0" xfId="0" applyFont="1" applyBorder="1" applyAlignment="1">
      <alignment horizontal="left"/>
    </xf>
    <xf numFmtId="2" fontId="4" fillId="0" borderId="0" xfId="0" applyNumberFormat="1" applyFont="1" applyBorder="1" applyAlignment="1">
      <alignment horizontal="left"/>
    </xf>
    <xf numFmtId="2" fontId="4" fillId="3" borderId="9" xfId="0" applyNumberFormat="1" applyFont="1" applyFill="1" applyBorder="1" applyAlignment="1">
      <alignment horizontal="left"/>
    </xf>
    <xf numFmtId="0" fontId="4" fillId="0" borderId="0" xfId="0" applyFont="1" applyFill="1" applyAlignment="1">
      <alignment horizontal="center"/>
    </xf>
    <xf numFmtId="0" fontId="11" fillId="3" borderId="0" xfId="0" applyFont="1" applyFill="1" applyBorder="1" applyAlignment="1">
      <alignment horizontal="center"/>
    </xf>
    <xf numFmtId="0" fontId="4" fillId="0" borderId="0" xfId="0" applyFont="1" applyAlignment="1">
      <alignment horizontal="left"/>
    </xf>
    <xf numFmtId="49" fontId="4" fillId="0" borderId="0" xfId="0" applyNumberFormat="1" applyFont="1" applyAlignment="1">
      <alignment horizontal="left"/>
    </xf>
    <xf numFmtId="0" fontId="11" fillId="4" borderId="0" xfId="0" applyFont="1" applyFill="1" applyBorder="1" applyAlignment="1">
      <alignment horizontal="center"/>
    </xf>
    <xf numFmtId="0" fontId="4" fillId="4" borderId="2" xfId="0" applyFont="1" applyFill="1" applyBorder="1"/>
    <xf numFmtId="0" fontId="4" fillId="4" borderId="0" xfId="0" applyFont="1" applyFill="1" applyBorder="1"/>
    <xf numFmtId="0" fontId="4" fillId="0" borderId="0" xfId="0" applyFont="1" applyBorder="1"/>
    <xf numFmtId="0" fontId="4" fillId="0" borderId="2" xfId="0" applyFont="1" applyBorder="1"/>
    <xf numFmtId="0" fontId="11" fillId="4" borderId="1" xfId="0" applyFont="1" applyFill="1" applyBorder="1" applyAlignment="1">
      <alignment horizontal="center"/>
    </xf>
    <xf numFmtId="0" fontId="36" fillId="3" borderId="0" xfId="0" applyFont="1" applyFill="1" applyAlignment="1">
      <alignment horizontal="right"/>
    </xf>
    <xf numFmtId="0" fontId="8" fillId="3" borderId="0" xfId="0" applyFont="1" applyFill="1" applyBorder="1" applyAlignment="1" applyProtection="1">
      <alignment vertical="center"/>
      <protection hidden="1"/>
    </xf>
    <xf numFmtId="164" fontId="8" fillId="2" borderId="0" xfId="0" applyNumberFormat="1" applyFont="1" applyFill="1" applyBorder="1" applyAlignment="1" applyProtection="1">
      <alignment vertical="center"/>
      <protection hidden="1"/>
    </xf>
    <xf numFmtId="0" fontId="8" fillId="4" borderId="0" xfId="0" applyFont="1" applyFill="1" applyBorder="1" applyAlignment="1" applyProtection="1">
      <alignment vertical="center"/>
      <protection hidden="1"/>
    </xf>
    <xf numFmtId="0" fontId="8" fillId="2" borderId="0" xfId="0" applyFont="1" applyFill="1" applyBorder="1" applyAlignment="1" applyProtection="1">
      <alignment vertical="center"/>
      <protection hidden="1"/>
    </xf>
    <xf numFmtId="0" fontId="8" fillId="8" borderId="0" xfId="0" applyFont="1" applyFill="1" applyBorder="1" applyAlignment="1" applyProtection="1">
      <alignment horizontal="center" vertical="center"/>
      <protection hidden="1"/>
    </xf>
    <xf numFmtId="0" fontId="8" fillId="8" borderId="0" xfId="0" applyFont="1" applyFill="1" applyBorder="1" applyAlignment="1" applyProtection="1">
      <alignment vertical="center"/>
      <protection hidden="1"/>
    </xf>
    <xf numFmtId="4" fontId="4" fillId="0" borderId="0" xfId="0" applyNumberFormat="1" applyFont="1" applyBorder="1" applyAlignment="1">
      <alignment horizontal="center" vertical="center"/>
    </xf>
    <xf numFmtId="4" fontId="4" fillId="0" borderId="0" xfId="0" applyNumberFormat="1" applyFont="1" applyFill="1" applyBorder="1" applyAlignment="1">
      <alignment horizontal="center" vertical="center" wrapText="1"/>
    </xf>
    <xf numFmtId="4" fontId="4" fillId="0" borderId="0" xfId="0" applyNumberFormat="1" applyFont="1" applyBorder="1" applyAlignment="1">
      <alignment horizontal="left" vertical="center"/>
    </xf>
    <xf numFmtId="1" fontId="4" fillId="0" borderId="0" xfId="0" applyNumberFormat="1" applyFont="1" applyFill="1" applyBorder="1" applyAlignment="1">
      <alignment horizontal="center" vertical="center" wrapText="1"/>
    </xf>
    <xf numFmtId="0" fontId="37" fillId="0" borderId="0" xfId="0" applyFont="1"/>
    <xf numFmtId="0" fontId="12" fillId="2" borderId="0" xfId="0" applyFont="1" applyFill="1" applyAlignment="1" applyProtection="1">
      <alignment horizontal="right"/>
      <protection hidden="1"/>
    </xf>
    <xf numFmtId="0" fontId="12" fillId="2" borderId="0" xfId="0" applyFont="1" applyFill="1" applyAlignment="1" applyProtection="1">
      <alignment horizontal="left"/>
      <protection hidden="1"/>
    </xf>
    <xf numFmtId="0" fontId="12" fillId="2" borderId="0" xfId="0" applyFont="1" applyFill="1" applyAlignment="1" applyProtection="1">
      <alignment horizontal="right" vertical="top"/>
      <protection hidden="1"/>
    </xf>
    <xf numFmtId="0" fontId="38" fillId="2" borderId="0" xfId="23" applyFont="1" applyFill="1" applyAlignment="1" applyProtection="1">
      <alignment horizontal="left" vertical="center"/>
      <protection hidden="1"/>
    </xf>
    <xf numFmtId="0" fontId="2" fillId="2" borderId="0" xfId="23" applyFill="1" applyAlignment="1" applyProtection="1">
      <alignment horizontal="left" vertical="center"/>
      <protection hidden="1"/>
    </xf>
    <xf numFmtId="0" fontId="4" fillId="2" borderId="0" xfId="0" applyFont="1" applyFill="1" applyProtection="1">
      <protection hidden="1"/>
    </xf>
    <xf numFmtId="0" fontId="2" fillId="0" borderId="0" xfId="23" applyAlignment="1" applyProtection="1"/>
    <xf numFmtId="0" fontId="38" fillId="2" borderId="0" xfId="23" applyFont="1" applyFill="1" applyAlignment="1" applyProtection="1">
      <protection hidden="1"/>
    </xf>
    <xf numFmtId="0" fontId="4" fillId="2" borderId="0" xfId="0" applyFont="1" applyFill="1" applyBorder="1" applyProtection="1">
      <protection hidden="1"/>
    </xf>
    <xf numFmtId="4" fontId="4" fillId="0" borderId="0" xfId="0" applyNumberFormat="1" applyFont="1" applyFill="1" applyBorder="1" applyAlignment="1" applyProtection="1">
      <alignment horizontal="center" vertical="center" wrapText="1"/>
      <protection hidden="1"/>
    </xf>
    <xf numFmtId="0" fontId="7" fillId="0" borderId="0" xfId="0" applyFont="1" applyFill="1" applyBorder="1" applyAlignment="1">
      <alignment horizontal="center" vertical="center"/>
    </xf>
    <xf numFmtId="4" fontId="7" fillId="0" borderId="0" xfId="0" applyNumberFormat="1" applyFont="1" applyFill="1" applyBorder="1" applyAlignment="1" applyProtection="1">
      <alignment horizontal="center" vertical="center" wrapText="1"/>
      <protection hidden="1"/>
    </xf>
    <xf numFmtId="0" fontId="7" fillId="0" borderId="0" xfId="0" applyFont="1" applyFill="1" applyBorder="1" applyAlignment="1">
      <alignment horizontal="center" vertical="center" wrapText="1"/>
    </xf>
    <xf numFmtId="4" fontId="7" fillId="0" borderId="0" xfId="0" applyNumberFormat="1" applyFont="1" applyFill="1" applyBorder="1" applyAlignment="1">
      <alignment horizontal="center" vertical="center"/>
    </xf>
    <xf numFmtId="167" fontId="4" fillId="0" borderId="0" xfId="0" applyNumberFormat="1" applyFont="1" applyFill="1" applyBorder="1" applyAlignment="1">
      <alignment horizontal="right" vertical="center" wrapText="1"/>
    </xf>
    <xf numFmtId="49" fontId="4" fillId="0" borderId="0" xfId="0" applyNumberFormat="1" applyFont="1" applyFill="1" applyAlignment="1">
      <alignment horizontal="right" vertical="center"/>
    </xf>
    <xf numFmtId="0" fontId="10" fillId="5" borderId="1" xfId="0" applyFont="1" applyFill="1" applyBorder="1"/>
    <xf numFmtId="0" fontId="10" fillId="5" borderId="0" xfId="0" applyFont="1" applyFill="1" applyBorder="1"/>
    <xf numFmtId="0" fontId="39" fillId="8" borderId="0" xfId="0" applyFont="1" applyFill="1" applyAlignment="1" applyProtection="1">
      <alignment horizontal="right"/>
      <protection hidden="1"/>
    </xf>
    <xf numFmtId="0" fontId="5" fillId="9" borderId="0" xfId="0" applyFont="1" applyFill="1" applyAlignment="1" applyProtection="1">
      <alignment horizontal="justify" vertical="center" wrapText="1"/>
      <protection hidden="1"/>
    </xf>
    <xf numFmtId="0" fontId="40" fillId="2" borderId="0" xfId="0" applyFont="1" applyFill="1" applyProtection="1">
      <protection hidden="1"/>
    </xf>
    <xf numFmtId="0" fontId="41" fillId="2" borderId="0" xfId="0" applyFont="1" applyFill="1" applyProtection="1">
      <protection hidden="1"/>
    </xf>
    <xf numFmtId="0" fontId="42" fillId="2" borderId="0" xfId="0" applyFont="1" applyFill="1" applyProtection="1">
      <protection hidden="1"/>
    </xf>
    <xf numFmtId="0" fontId="43" fillId="2" borderId="0" xfId="0" applyFont="1" applyFill="1" applyAlignment="1" applyProtection="1">
      <alignment vertical="center"/>
      <protection hidden="1"/>
    </xf>
    <xf numFmtId="0" fontId="43" fillId="2" borderId="0" xfId="0" applyFont="1" applyFill="1" applyAlignment="1" applyProtection="1">
      <alignment horizontal="left" vertical="center"/>
      <protection hidden="1"/>
    </xf>
    <xf numFmtId="171" fontId="43" fillId="2" borderId="0" xfId="0" applyNumberFormat="1" applyFont="1" applyFill="1" applyAlignment="1" applyProtection="1">
      <alignment horizontal="left" vertical="center"/>
      <protection hidden="1"/>
    </xf>
    <xf numFmtId="0" fontId="42" fillId="8" borderId="0" xfId="0" applyFont="1" applyFill="1" applyProtection="1">
      <protection hidden="1"/>
    </xf>
    <xf numFmtId="0" fontId="44" fillId="2" borderId="0" xfId="0" applyFont="1" applyFill="1" applyAlignment="1" applyProtection="1">
      <alignment horizontal="right"/>
      <protection hidden="1"/>
    </xf>
    <xf numFmtId="0" fontId="5" fillId="8" borderId="0" xfId="0" applyFont="1" applyFill="1" applyBorder="1" applyAlignment="1" applyProtection="1">
      <alignment horizontal="justify" vertical="center"/>
      <protection hidden="1"/>
    </xf>
    <xf numFmtId="0" fontId="42" fillId="8" borderId="0" xfId="0" applyFont="1" applyFill="1" applyBorder="1" applyProtection="1">
      <protection hidden="1"/>
    </xf>
    <xf numFmtId="0" fontId="5" fillId="8" borderId="0" xfId="0" applyFont="1" applyFill="1" applyBorder="1" applyAlignment="1" applyProtection="1">
      <alignment horizontal="left" vertical="center"/>
      <protection hidden="1"/>
    </xf>
    <xf numFmtId="0" fontId="43" fillId="8" borderId="0" xfId="0" applyFont="1" applyFill="1" applyBorder="1" applyAlignment="1" applyProtection="1">
      <alignment horizontal="justify" vertical="center" wrapText="1"/>
      <protection hidden="1"/>
    </xf>
    <xf numFmtId="0" fontId="4" fillId="0" borderId="0" xfId="0" applyFont="1" applyFill="1"/>
    <xf numFmtId="4" fontId="4" fillId="0" borderId="0" xfId="0" applyNumberFormat="1" applyFont="1" applyBorder="1" applyAlignment="1">
      <alignment horizontal="center" vertical="center" wrapText="1"/>
    </xf>
    <xf numFmtId="0" fontId="37" fillId="0" borderId="0" xfId="0" applyFont="1" applyAlignment="1">
      <alignment horizontal="center"/>
    </xf>
    <xf numFmtId="4" fontId="4" fillId="0" borderId="0" xfId="26" applyNumberFormat="1" applyFont="1" applyFill="1" applyBorder="1" applyAlignment="1" applyProtection="1">
      <alignment horizontal="center" vertical="center" wrapText="1"/>
      <protection hidden="1"/>
    </xf>
    <xf numFmtId="165" fontId="43" fillId="8" borderId="0" xfId="0" applyNumberFormat="1" applyFont="1" applyFill="1" applyAlignment="1" applyProtection="1">
      <alignment horizontal="left" vertical="center"/>
      <protection hidden="1"/>
    </xf>
    <xf numFmtId="0" fontId="42" fillId="8" borderId="0" xfId="0" applyFont="1" applyFill="1" applyAlignment="1" applyProtection="1">
      <alignment horizontal="center" vertical="center"/>
      <protection hidden="1"/>
    </xf>
    <xf numFmtId="0" fontId="42" fillId="8" borderId="0" xfId="0" applyFont="1" applyFill="1" applyBorder="1" applyAlignment="1" applyProtection="1">
      <alignment horizontal="center" vertical="center"/>
      <protection hidden="1"/>
    </xf>
    <xf numFmtId="174" fontId="20" fillId="0" borderId="0" xfId="0" applyNumberFormat="1" applyFont="1" applyFill="1" applyAlignment="1">
      <alignment horizontal="left" vertical="center"/>
    </xf>
    <xf numFmtId="174" fontId="4" fillId="0" borderId="0" xfId="0" applyNumberFormat="1" applyFont="1" applyFill="1" applyAlignment="1">
      <alignment horizontal="right" vertical="center"/>
    </xf>
    <xf numFmtId="173" fontId="4" fillId="0" borderId="0" xfId="0" applyNumberFormat="1" applyFont="1" applyFill="1" applyBorder="1" applyAlignment="1">
      <alignment horizontal="right" vertical="center" wrapText="1"/>
    </xf>
    <xf numFmtId="0" fontId="37" fillId="0" borderId="0" xfId="0" applyFont="1" applyFill="1"/>
    <xf numFmtId="167" fontId="7" fillId="0" borderId="0" xfId="0" applyNumberFormat="1" applyFont="1" applyFill="1" applyBorder="1" applyAlignment="1">
      <alignment horizontal="center" vertical="center" wrapText="1"/>
    </xf>
    <xf numFmtId="0" fontId="4" fillId="0" borderId="0" xfId="0" applyFont="1" applyFill="1" applyAlignment="1">
      <alignment horizontal="center" vertical="center"/>
    </xf>
    <xf numFmtId="0" fontId="4" fillId="0" borderId="0" xfId="0" applyFont="1" applyFill="1" applyAlignment="1">
      <alignment horizontal="left" vertical="center"/>
    </xf>
    <xf numFmtId="4" fontId="4" fillId="0" borderId="0" xfId="0" applyNumberFormat="1" applyFont="1" applyFill="1" applyBorder="1" applyAlignment="1">
      <alignment horizontal="left" vertical="center" wrapText="1"/>
    </xf>
    <xf numFmtId="4" fontId="4" fillId="0" borderId="0" xfId="0" applyNumberFormat="1" applyFont="1" applyFill="1" applyBorder="1" applyAlignment="1">
      <alignment horizontal="left" vertical="center"/>
    </xf>
    <xf numFmtId="4" fontId="4" fillId="0" borderId="9" xfId="0" applyNumberFormat="1" applyFont="1" applyFill="1" applyBorder="1" applyAlignment="1">
      <alignment horizontal="center" vertical="center" wrapText="1"/>
    </xf>
    <xf numFmtId="167" fontId="4" fillId="0" borderId="0" xfId="0" applyNumberFormat="1" applyFont="1" applyFill="1" applyBorder="1" applyAlignment="1">
      <alignment horizontal="center" vertical="center" wrapText="1"/>
    </xf>
    <xf numFmtId="49" fontId="4" fillId="0" borderId="0" xfId="0" applyNumberFormat="1" applyFont="1" applyFill="1"/>
    <xf numFmtId="49" fontId="4" fillId="0" borderId="0" xfId="0" applyNumberFormat="1" applyFont="1" applyFill="1" applyAlignment="1">
      <alignment horizontal="center" vertical="center"/>
    </xf>
    <xf numFmtId="0" fontId="4" fillId="0" borderId="0" xfId="0" applyFont="1" applyFill="1" applyAlignment="1">
      <alignment horizontal="right"/>
    </xf>
    <xf numFmtId="4" fontId="4" fillId="0" borderId="0" xfId="0" applyNumberFormat="1" applyFont="1" applyFill="1"/>
    <xf numFmtId="2" fontId="4" fillId="0" borderId="0" xfId="0" applyNumberFormat="1" applyFont="1" applyFill="1"/>
    <xf numFmtId="0" fontId="4" fillId="0" borderId="0" xfId="0" applyFont="1" applyFill="1" applyAlignment="1">
      <alignment horizontal="left"/>
    </xf>
    <xf numFmtId="0" fontId="7" fillId="0" borderId="0" xfId="0" applyFont="1" applyFill="1"/>
    <xf numFmtId="0" fontId="4" fillId="0" borderId="0" xfId="0" applyFont="1" applyFill="1" applyBorder="1" applyAlignment="1">
      <alignment horizontal="right" vertical="center"/>
    </xf>
    <xf numFmtId="0" fontId="7" fillId="0" borderId="0" xfId="0" applyFont="1" applyFill="1" applyAlignment="1">
      <alignment horizontal="center"/>
    </xf>
    <xf numFmtId="0" fontId="7" fillId="0" borderId="0" xfId="0" applyFont="1" applyFill="1" applyAlignment="1">
      <alignment horizontal="left"/>
    </xf>
    <xf numFmtId="0" fontId="4" fillId="0" borderId="0" xfId="0" applyFont="1" applyFill="1" applyBorder="1"/>
    <xf numFmtId="2" fontId="4" fillId="0" borderId="0" xfId="0" applyNumberFormat="1" applyFont="1" applyFill="1" applyAlignment="1">
      <alignment horizontal="center"/>
    </xf>
    <xf numFmtId="0" fontId="4" fillId="0" borderId="0" xfId="0" applyFont="1" applyBorder="1" applyAlignment="1">
      <alignment vertical="center"/>
    </xf>
    <xf numFmtId="4" fontId="4" fillId="0" borderId="9" xfId="0" applyNumberFormat="1" applyFont="1" applyBorder="1" applyAlignment="1">
      <alignment horizontal="center" vertical="center" wrapText="1"/>
    </xf>
    <xf numFmtId="4" fontId="4" fillId="0" borderId="0" xfId="0" applyNumberFormat="1" applyFont="1" applyBorder="1" applyAlignment="1">
      <alignment horizontal="left" vertical="center" wrapText="1"/>
    </xf>
    <xf numFmtId="0" fontId="4" fillId="0" borderId="10" xfId="0" applyFont="1" applyFill="1" applyBorder="1"/>
    <xf numFmtId="0" fontId="4" fillId="0" borderId="11" xfId="0" applyFont="1" applyFill="1" applyBorder="1"/>
    <xf numFmtId="0" fontId="4" fillId="0" borderId="12" xfId="0" applyFont="1" applyFill="1" applyBorder="1"/>
    <xf numFmtId="9" fontId="45" fillId="0" borderId="0" xfId="0" applyNumberFormat="1" applyFont="1" applyFill="1" applyBorder="1" applyAlignment="1">
      <alignment horizontal="center" vertical="center" wrapText="1"/>
    </xf>
    <xf numFmtId="49" fontId="46" fillId="0" borderId="0" xfId="0" applyNumberFormat="1" applyFont="1" applyFill="1" applyAlignment="1">
      <alignment horizontal="center" vertical="center"/>
    </xf>
    <xf numFmtId="0" fontId="5" fillId="0" borderId="0" xfId="0" applyFont="1" applyFill="1"/>
    <xf numFmtId="49" fontId="5" fillId="0" borderId="0" xfId="0" applyNumberFormat="1" applyFont="1" applyFill="1"/>
    <xf numFmtId="0" fontId="4" fillId="0" borderId="0" xfId="0" applyFont="1" applyFill="1" applyBorder="1" applyAlignment="1">
      <alignment horizontal="left" vertical="center" wrapText="1"/>
    </xf>
    <xf numFmtId="1" fontId="4" fillId="0" borderId="0" xfId="0" applyNumberFormat="1" applyFont="1" applyFill="1" applyBorder="1" applyAlignment="1">
      <alignment horizontal="center" vertical="center"/>
    </xf>
    <xf numFmtId="0" fontId="4" fillId="0" borderId="0" xfId="26" applyFont="1" applyFill="1" applyBorder="1" applyAlignment="1">
      <alignment horizontal="center" vertical="center"/>
    </xf>
    <xf numFmtId="4" fontId="7" fillId="0" borderId="0" xfId="0" applyNumberFormat="1" applyFont="1" applyFill="1" applyAlignment="1">
      <alignment horizontal="left"/>
    </xf>
    <xf numFmtId="0" fontId="4" fillId="0" borderId="0" xfId="26" applyFont="1" applyFill="1"/>
    <xf numFmtId="165" fontId="43" fillId="8" borderId="0" xfId="0" applyNumberFormat="1" applyFont="1" applyFill="1" applyBorder="1" applyAlignment="1" applyProtection="1">
      <alignment horizontal="left"/>
      <protection hidden="1"/>
    </xf>
    <xf numFmtId="9" fontId="4" fillId="0" borderId="0" xfId="0" applyNumberFormat="1" applyFont="1" applyFill="1" applyBorder="1" applyAlignment="1">
      <alignment horizontal="center" vertical="center" wrapText="1"/>
    </xf>
    <xf numFmtId="168" fontId="7" fillId="0" borderId="0" xfId="0" applyNumberFormat="1" applyFont="1" applyFill="1" applyAlignment="1">
      <alignment horizontal="center" vertical="center"/>
    </xf>
    <xf numFmtId="2" fontId="4" fillId="0" borderId="0" xfId="0" applyNumberFormat="1" applyFont="1" applyFill="1" applyAlignment="1">
      <alignment horizontal="center" vertical="center"/>
    </xf>
    <xf numFmtId="166" fontId="4" fillId="0" borderId="0" xfId="0" applyNumberFormat="1" applyFont="1" applyFill="1" applyAlignment="1">
      <alignment horizontal="center" vertical="center"/>
    </xf>
    <xf numFmtId="10" fontId="4" fillId="0" borderId="0" xfId="0" applyNumberFormat="1" applyFont="1" applyFill="1" applyBorder="1" applyAlignment="1">
      <alignment horizontal="right" vertical="center" wrapText="1"/>
    </xf>
    <xf numFmtId="167" fontId="4" fillId="0" borderId="0" xfId="0" applyNumberFormat="1" applyFont="1" applyFill="1" applyBorder="1" applyAlignment="1">
      <alignment horizontal="left" vertical="center" wrapText="1"/>
    </xf>
    <xf numFmtId="164" fontId="4" fillId="0" borderId="0" xfId="0" applyNumberFormat="1" applyFont="1" applyFill="1" applyAlignment="1">
      <alignment horizontal="left"/>
    </xf>
    <xf numFmtId="0" fontId="42" fillId="2" borderId="0" xfId="0" applyNumberFormat="1" applyFont="1" applyFill="1" applyBorder="1" applyAlignment="1" applyProtection="1">
      <protection hidden="1"/>
    </xf>
    <xf numFmtId="17" fontId="47" fillId="0" borderId="0" xfId="0" applyNumberFormat="1" applyFont="1" applyFill="1"/>
    <xf numFmtId="173" fontId="47" fillId="0" borderId="0" xfId="0" applyNumberFormat="1" applyFont="1" applyFill="1" applyBorder="1" applyAlignment="1">
      <alignment horizontal="right" vertical="center" wrapText="1"/>
    </xf>
    <xf numFmtId="0" fontId="48" fillId="0" borderId="0" xfId="0" applyFont="1" applyFill="1" applyBorder="1" applyAlignment="1" applyProtection="1">
      <alignment horizontal="right" vertical="center"/>
      <protection hidden="1"/>
    </xf>
    <xf numFmtId="0" fontId="12" fillId="0" borderId="0" xfId="0" applyFont="1" applyFill="1" applyBorder="1" applyAlignment="1" applyProtection="1">
      <alignment horizontal="right" vertical="center"/>
      <protection hidden="1"/>
    </xf>
    <xf numFmtId="0" fontId="4" fillId="0" borderId="0" xfId="0" applyFont="1" applyFill="1" applyBorder="1" applyAlignment="1" applyProtection="1">
      <alignment horizontal="left"/>
      <protection hidden="1"/>
    </xf>
    <xf numFmtId="0" fontId="0" fillId="0" borderId="0" xfId="0" applyFill="1" applyBorder="1" applyAlignment="1" applyProtection="1">
      <alignment horizontal="left"/>
      <protection hidden="1"/>
    </xf>
    <xf numFmtId="0" fontId="49" fillId="0" borderId="0" xfId="0" applyFont="1" applyFill="1" applyBorder="1" applyAlignment="1" applyProtection="1">
      <alignment vertical="center"/>
      <protection hidden="1"/>
    </xf>
    <xf numFmtId="0" fontId="12" fillId="0" borderId="0" xfId="0" applyFont="1" applyFill="1" applyBorder="1" applyAlignment="1" applyProtection="1">
      <protection hidden="1"/>
    </xf>
    <xf numFmtId="0" fontId="4" fillId="0" borderId="0" xfId="0" applyFont="1" applyFill="1" applyBorder="1" applyAlignment="1" applyProtection="1">
      <alignment vertical="center"/>
      <protection hidden="1"/>
    </xf>
    <xf numFmtId="0" fontId="0" fillId="0" borderId="0" xfId="0" applyFill="1" applyBorder="1" applyAlignment="1" applyProtection="1">
      <protection hidden="1"/>
    </xf>
    <xf numFmtId="0" fontId="43" fillId="8" borderId="0" xfId="0" applyFont="1" applyFill="1" applyBorder="1" applyAlignment="1" applyProtection="1">
      <protection hidden="1"/>
    </xf>
    <xf numFmtId="0" fontId="42" fillId="0" borderId="0" xfId="0" applyFont="1" applyBorder="1" applyAlignment="1" applyProtection="1">
      <protection hidden="1"/>
    </xf>
    <xf numFmtId="0" fontId="4" fillId="2" borderId="0" xfId="0" applyFont="1" applyFill="1" applyAlignment="1" applyProtection="1">
      <protection hidden="1"/>
    </xf>
    <xf numFmtId="0" fontId="4" fillId="2" borderId="0" xfId="0" applyNumberFormat="1" applyFont="1" applyFill="1" applyBorder="1" applyAlignment="1" applyProtection="1">
      <protection hidden="1"/>
    </xf>
    <xf numFmtId="0" fontId="12" fillId="2" borderId="0" xfId="0" applyFont="1" applyFill="1" applyAlignment="1" applyProtection="1">
      <protection hidden="1"/>
    </xf>
    <xf numFmtId="0" fontId="12" fillId="0" borderId="0" xfId="0" applyFont="1" applyAlignment="1" applyProtection="1">
      <protection hidden="1"/>
    </xf>
    <xf numFmtId="0" fontId="50" fillId="2" borderId="0" xfId="23" applyFont="1" applyFill="1" applyAlignment="1" applyProtection="1">
      <alignment horizontal="justify" vertical="top"/>
      <protection hidden="1"/>
    </xf>
    <xf numFmtId="0" fontId="12" fillId="2" borderId="0" xfId="0" applyFont="1" applyFill="1" applyBorder="1" applyAlignment="1" applyProtection="1">
      <protection hidden="1"/>
    </xf>
    <xf numFmtId="0" fontId="4" fillId="0" borderId="0" xfId="0" applyFont="1" applyFill="1" applyBorder="1" applyAlignment="1" applyProtection="1">
      <protection hidden="1"/>
    </xf>
    <xf numFmtId="0" fontId="10" fillId="0" borderId="0" xfId="0" applyFont="1" applyFill="1" applyBorder="1" applyAlignment="1" applyProtection="1">
      <alignment horizontal="justify" vertical="justify"/>
      <protection hidden="1"/>
    </xf>
    <xf numFmtId="0" fontId="51" fillId="8" borderId="0" xfId="0" applyFont="1" applyFill="1" applyAlignment="1" applyProtection="1">
      <protection hidden="1"/>
    </xf>
    <xf numFmtId="0" fontId="52" fillId="8" borderId="0" xfId="0" applyFont="1" applyFill="1" applyAlignment="1" applyProtection="1">
      <protection hidden="1"/>
    </xf>
    <xf numFmtId="0" fontId="53" fillId="2" borderId="0" xfId="0" applyFont="1" applyFill="1" applyAlignment="1" applyProtection="1">
      <protection hidden="1"/>
    </xf>
    <xf numFmtId="0" fontId="1" fillId="2" borderId="0" xfId="0" applyFont="1" applyFill="1" applyAlignment="1" applyProtection="1">
      <alignment horizontal="left" vertical="top"/>
      <protection hidden="1"/>
    </xf>
    <xf numFmtId="0" fontId="1" fillId="2" borderId="0" xfId="0" applyFont="1" applyFill="1" applyAlignment="1" applyProtection="1">
      <alignment horizontal="right" vertical="top"/>
      <protection hidden="1"/>
    </xf>
    <xf numFmtId="0" fontId="1" fillId="0" borderId="0" xfId="0" applyFont="1" applyFill="1" applyBorder="1" applyAlignment="1" applyProtection="1">
      <protection hidden="1"/>
    </xf>
    <xf numFmtId="0" fontId="37" fillId="0" borderId="0" xfId="0" applyFont="1" applyFill="1" applyBorder="1" applyAlignment="1">
      <alignment horizontal="center" vertical="center" wrapText="1"/>
    </xf>
    <xf numFmtId="17" fontId="4" fillId="0" borderId="0" xfId="0" applyNumberFormat="1" applyFont="1" applyFill="1"/>
    <xf numFmtId="167" fontId="4" fillId="0" borderId="0" xfId="0" applyNumberFormat="1" applyFont="1" applyFill="1" applyAlignment="1">
      <alignment horizontal="right"/>
    </xf>
    <xf numFmtId="173" fontId="37" fillId="0" borderId="0" xfId="0" applyNumberFormat="1" applyFont="1" applyFill="1" applyBorder="1" applyAlignment="1">
      <alignment horizontal="right" vertical="center" wrapText="1"/>
    </xf>
    <xf numFmtId="17" fontId="37" fillId="0" borderId="0" xfId="0" applyNumberFormat="1" applyFont="1" applyFill="1"/>
    <xf numFmtId="0" fontId="4" fillId="0" borderId="0" xfId="0" applyFont="1" applyFill="1" applyBorder="1" applyAlignment="1">
      <alignment horizontal="left" vertical="center"/>
    </xf>
    <xf numFmtId="0" fontId="37" fillId="0" borderId="0" xfId="0" applyFont="1" applyFill="1" applyAlignment="1">
      <alignment horizontal="left"/>
    </xf>
    <xf numFmtId="0" fontId="7" fillId="0" borderId="0" xfId="0" applyFont="1" applyFill="1" applyBorder="1" applyAlignment="1">
      <alignment horizontal="left" vertical="center"/>
    </xf>
    <xf numFmtId="0" fontId="7" fillId="0" borderId="0" xfId="0" applyFont="1" applyFill="1" applyBorder="1" applyAlignment="1">
      <alignment horizontal="right" vertical="center"/>
    </xf>
    <xf numFmtId="0" fontId="54" fillId="0" borderId="0" xfId="0" applyFont="1" applyFill="1" applyAlignment="1">
      <alignment horizontal="left"/>
    </xf>
    <xf numFmtId="174" fontId="22" fillId="0" borderId="0" xfId="0" applyNumberFormat="1" applyFont="1" applyFill="1" applyAlignment="1">
      <alignment horizontal="left" vertical="center"/>
    </xf>
    <xf numFmtId="0" fontId="54" fillId="0" borderId="0" xfId="0" applyFont="1" applyFill="1"/>
    <xf numFmtId="4" fontId="7" fillId="0" borderId="0" xfId="0" applyNumberFormat="1" applyFont="1" applyFill="1" applyBorder="1" applyAlignment="1" applyProtection="1">
      <alignment horizontal="center" vertical="center"/>
      <protection hidden="1"/>
    </xf>
    <xf numFmtId="0" fontId="37" fillId="10" borderId="0" xfId="0" applyFont="1" applyFill="1" applyBorder="1" applyAlignment="1">
      <alignment horizontal="right" vertical="center"/>
    </xf>
    <xf numFmtId="0" fontId="37" fillId="10" borderId="0" xfId="0" applyFont="1" applyFill="1"/>
    <xf numFmtId="175" fontId="4" fillId="0" borderId="0" xfId="0" applyNumberFormat="1" applyFont="1" applyFill="1" applyBorder="1"/>
    <xf numFmtId="0" fontId="54" fillId="10" borderId="0" xfId="0" applyFont="1" applyFill="1" applyBorder="1" applyAlignment="1">
      <alignment horizontal="right" vertical="center"/>
    </xf>
    <xf numFmtId="0" fontId="54" fillId="10" borderId="0" xfId="0" applyFont="1" applyFill="1"/>
    <xf numFmtId="4" fontId="55" fillId="11" borderId="0" xfId="0" applyNumberFormat="1" applyFont="1" applyFill="1" applyBorder="1" applyAlignment="1" applyProtection="1">
      <alignment horizontal="center" vertical="center" wrapText="1"/>
      <protection hidden="1"/>
    </xf>
    <xf numFmtId="4" fontId="56" fillId="8" borderId="0" xfId="0" applyNumberFormat="1" applyFont="1" applyFill="1" applyBorder="1" applyAlignment="1" applyProtection="1">
      <alignment horizontal="center" vertical="center" wrapText="1"/>
      <protection hidden="1"/>
    </xf>
    <xf numFmtId="0" fontId="4" fillId="10" borderId="0" xfId="0" applyFont="1" applyFill="1" applyBorder="1" applyAlignment="1">
      <alignment horizontal="center" vertical="center" wrapText="1"/>
    </xf>
    <xf numFmtId="4" fontId="4" fillId="10" borderId="0" xfId="0" applyNumberFormat="1" applyFont="1" applyFill="1" applyBorder="1" applyAlignment="1">
      <alignment horizontal="left" vertical="center" wrapText="1"/>
    </xf>
    <xf numFmtId="4" fontId="4" fillId="10" borderId="0" xfId="0" applyNumberFormat="1" applyFont="1" applyFill="1" applyBorder="1" applyAlignment="1">
      <alignment horizontal="center" vertical="center"/>
    </xf>
    <xf numFmtId="0" fontId="4" fillId="2" borderId="29" xfId="0" applyFont="1" applyFill="1" applyBorder="1" applyAlignment="1" applyProtection="1">
      <protection hidden="1"/>
    </xf>
    <xf numFmtId="0" fontId="1" fillId="2" borderId="0" xfId="0" applyFont="1" applyFill="1" applyAlignment="1" applyProtection="1">
      <alignment horizontal="left"/>
      <protection hidden="1"/>
    </xf>
    <xf numFmtId="0" fontId="14" fillId="2" borderId="0" xfId="0" applyFont="1" applyFill="1" applyAlignment="1" applyProtection="1">
      <protection hidden="1"/>
    </xf>
    <xf numFmtId="0" fontId="14" fillId="2" borderId="0" xfId="0" applyFont="1" applyFill="1" applyAlignment="1" applyProtection="1">
      <alignment vertical="center"/>
      <protection hidden="1"/>
    </xf>
    <xf numFmtId="14" fontId="14" fillId="2" borderId="0" xfId="0" applyNumberFormat="1" applyFont="1" applyFill="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0" fillId="0" borderId="0" xfId="0" applyAlignment="1">
      <alignment vertical="center" wrapText="1"/>
    </xf>
    <xf numFmtId="0" fontId="4" fillId="2" borderId="0" xfId="0" applyFont="1" applyFill="1" applyAlignment="1" applyProtection="1">
      <alignment vertical="top" wrapText="1"/>
      <protection hidden="1"/>
    </xf>
    <xf numFmtId="14" fontId="23" fillId="2" borderId="0" xfId="23" applyNumberFormat="1" applyFont="1" applyFill="1" applyAlignment="1" applyProtection="1">
      <alignment horizontal="center" vertical="center"/>
      <protection hidden="1"/>
    </xf>
    <xf numFmtId="0" fontId="46" fillId="0" borderId="0" xfId="0" applyFont="1" applyFill="1"/>
    <xf numFmtId="0" fontId="46" fillId="0" borderId="0" xfId="0" applyFont="1" applyFill="1" applyAlignment="1">
      <alignment horizontal="center"/>
    </xf>
    <xf numFmtId="0" fontId="27" fillId="8" borderId="0" xfId="0" applyFont="1" applyFill="1" applyProtection="1">
      <protection hidden="1"/>
    </xf>
    <xf numFmtId="0" fontId="55" fillId="8" borderId="0" xfId="0" applyFont="1" applyFill="1" applyProtection="1">
      <protection hidden="1"/>
    </xf>
    <xf numFmtId="0" fontId="27" fillId="2" borderId="0" xfId="0" applyFont="1" applyFill="1" applyBorder="1" applyProtection="1">
      <protection hidden="1"/>
    </xf>
    <xf numFmtId="0" fontId="57" fillId="8" borderId="0" xfId="0" applyFont="1" applyFill="1" applyBorder="1" applyAlignment="1" applyProtection="1">
      <alignment horizontal="center" vertical="center" wrapText="1"/>
      <protection hidden="1"/>
    </xf>
    <xf numFmtId="0" fontId="57" fillId="8" borderId="0" xfId="0" applyFont="1" applyFill="1" applyBorder="1" applyAlignment="1" applyProtection="1">
      <alignment horizontal="center" vertical="center"/>
      <protection hidden="1"/>
    </xf>
    <xf numFmtId="0" fontId="55" fillId="8" borderId="0" xfId="0" applyFont="1" applyFill="1" applyBorder="1" applyAlignment="1" applyProtection="1">
      <alignment horizontal="center" vertical="center"/>
      <protection hidden="1"/>
    </xf>
    <xf numFmtId="0" fontId="27" fillId="2" borderId="0" xfId="0" applyFont="1" applyFill="1" applyAlignment="1" applyProtection="1">
      <alignment vertical="top"/>
      <protection hidden="1"/>
    </xf>
    <xf numFmtId="0" fontId="28" fillId="8" borderId="0" xfId="0" applyFont="1" applyFill="1" applyBorder="1" applyAlignment="1" applyProtection="1">
      <alignment horizontal="center" vertical="center" wrapText="1"/>
      <protection hidden="1"/>
    </xf>
    <xf numFmtId="4" fontId="27" fillId="8" borderId="0" xfId="0" applyNumberFormat="1" applyFont="1" applyFill="1" applyBorder="1" applyAlignment="1" applyProtection="1">
      <alignment horizontal="center" vertical="center" wrapText="1"/>
      <protection hidden="1"/>
    </xf>
    <xf numFmtId="0" fontId="28" fillId="2" borderId="0" xfId="0" applyFont="1" applyFill="1" applyBorder="1" applyAlignment="1" applyProtection="1">
      <alignment horizontal="center" vertical="center"/>
      <protection hidden="1"/>
    </xf>
    <xf numFmtId="0" fontId="27" fillId="2" borderId="0" xfId="0" applyFont="1" applyFill="1" applyBorder="1" applyAlignment="1" applyProtection="1">
      <alignment horizontal="center" vertical="center"/>
      <protection hidden="1"/>
    </xf>
    <xf numFmtId="165" fontId="27" fillId="2" borderId="0" xfId="0" applyNumberFormat="1" applyFont="1" applyFill="1" applyBorder="1" applyAlignment="1" applyProtection="1">
      <alignment horizontal="center" vertical="center"/>
      <protection hidden="1"/>
    </xf>
    <xf numFmtId="164" fontId="27" fillId="2" borderId="0" xfId="0" applyNumberFormat="1" applyFont="1" applyFill="1" applyBorder="1" applyAlignment="1" applyProtection="1">
      <alignment horizontal="center" vertical="center"/>
      <protection hidden="1"/>
    </xf>
    <xf numFmtId="0" fontId="28" fillId="2" borderId="0" xfId="0" applyFont="1" applyFill="1" applyBorder="1" applyAlignment="1" applyProtection="1">
      <alignment horizontal="center"/>
      <protection hidden="1"/>
    </xf>
    <xf numFmtId="0" fontId="27" fillId="2" borderId="0" xfId="0" applyFont="1" applyFill="1" applyBorder="1" applyAlignment="1" applyProtection="1">
      <alignment horizontal="center"/>
      <protection hidden="1"/>
    </xf>
    <xf numFmtId="165" fontId="27" fillId="2" borderId="0" xfId="0" applyNumberFormat="1" applyFont="1" applyFill="1" applyBorder="1" applyAlignment="1" applyProtection="1">
      <alignment horizontal="center"/>
      <protection hidden="1"/>
    </xf>
    <xf numFmtId="164" fontId="27" fillId="2" borderId="0" xfId="0" applyNumberFormat="1" applyFont="1" applyFill="1" applyBorder="1" applyAlignment="1" applyProtection="1">
      <alignment horizontal="center"/>
      <protection hidden="1"/>
    </xf>
    <xf numFmtId="0" fontId="1" fillId="8" borderId="0" xfId="0" applyFont="1" applyFill="1" applyBorder="1" applyAlignment="1" applyProtection="1">
      <alignment vertical="center"/>
      <protection hidden="1"/>
    </xf>
    <xf numFmtId="0" fontId="21" fillId="8" borderId="0" xfId="0" applyFont="1" applyFill="1" applyBorder="1" applyAlignment="1" applyProtection="1">
      <protection hidden="1"/>
    </xf>
    <xf numFmtId="0" fontId="4" fillId="8" borderId="0" xfId="0" applyFont="1" applyFill="1" applyBorder="1" applyProtection="1">
      <protection hidden="1"/>
    </xf>
    <xf numFmtId="0" fontId="4" fillId="9" borderId="0" xfId="0" applyFont="1" applyFill="1" applyProtection="1">
      <protection hidden="1"/>
    </xf>
    <xf numFmtId="0" fontId="57" fillId="8" borderId="0" xfId="0" applyFont="1" applyFill="1" applyBorder="1" applyAlignment="1" applyProtection="1">
      <alignment horizontal="left" vertical="center"/>
      <protection hidden="1"/>
    </xf>
    <xf numFmtId="9" fontId="55" fillId="8" borderId="0" xfId="34" applyNumberFormat="1" applyFont="1" applyFill="1" applyBorder="1" applyAlignment="1" applyProtection="1">
      <alignment horizontal="center" vertical="center" textRotation="90" wrapText="1"/>
      <protection hidden="1"/>
    </xf>
    <xf numFmtId="9" fontId="55" fillId="8" borderId="0" xfId="34" applyNumberFormat="1" applyFont="1" applyFill="1" applyBorder="1" applyAlignment="1" applyProtection="1">
      <alignment horizontal="center" vertical="center"/>
      <protection hidden="1"/>
    </xf>
    <xf numFmtId="0" fontId="55" fillId="11" borderId="0" xfId="0" applyFont="1" applyFill="1" applyBorder="1" applyAlignment="1" applyProtection="1">
      <alignment horizontal="center" vertical="center" wrapText="1"/>
      <protection hidden="1"/>
    </xf>
    <xf numFmtId="0" fontId="55" fillId="11" borderId="0" xfId="0" applyFont="1" applyFill="1" applyBorder="1" applyAlignment="1" applyProtection="1">
      <alignment horizontal="left" vertical="center" wrapText="1"/>
      <protection hidden="1"/>
    </xf>
    <xf numFmtId="0" fontId="56" fillId="8" borderId="0" xfId="0" applyFont="1" applyFill="1" applyBorder="1" applyAlignment="1" applyProtection="1">
      <alignment horizontal="center" vertical="center" wrapText="1"/>
      <protection hidden="1"/>
    </xf>
    <xf numFmtId="0" fontId="56" fillId="8" borderId="0" xfId="0" applyFont="1" applyFill="1" applyBorder="1" applyAlignment="1" applyProtection="1">
      <alignment horizontal="left" vertical="center" wrapText="1"/>
      <protection hidden="1"/>
    </xf>
    <xf numFmtId="1" fontId="4" fillId="0" borderId="0" xfId="0" applyNumberFormat="1" applyFont="1" applyFill="1" applyBorder="1" applyAlignment="1">
      <alignment horizontal="left" vertical="center" wrapText="1"/>
    </xf>
    <xf numFmtId="4" fontId="4" fillId="0" borderId="1" xfId="0" applyNumberFormat="1" applyFont="1" applyFill="1" applyBorder="1" applyAlignment="1">
      <alignment horizontal="center" vertical="center" wrapText="1"/>
    </xf>
    <xf numFmtId="4" fontId="4" fillId="0" borderId="1" xfId="0" applyNumberFormat="1" applyFont="1" applyFill="1" applyBorder="1" applyAlignment="1">
      <alignment horizontal="left" vertical="center" wrapText="1"/>
    </xf>
    <xf numFmtId="4" fontId="4" fillId="0" borderId="13" xfId="0" applyNumberFormat="1" applyFont="1" applyFill="1" applyBorder="1" applyAlignment="1">
      <alignment horizontal="left" vertical="center" wrapText="1"/>
    </xf>
    <xf numFmtId="4" fontId="4" fillId="0" borderId="14" xfId="0" applyNumberFormat="1" applyFont="1" applyFill="1" applyBorder="1" applyAlignment="1">
      <alignment horizontal="left" vertical="center" wrapText="1"/>
    </xf>
    <xf numFmtId="4" fontId="4" fillId="0" borderId="2" xfId="0" applyNumberFormat="1" applyFont="1" applyFill="1" applyBorder="1" applyAlignment="1">
      <alignment horizontal="left" vertical="center" wrapText="1"/>
    </xf>
    <xf numFmtId="4" fontId="4" fillId="0" borderId="15" xfId="0" applyNumberFormat="1" applyFont="1" applyFill="1" applyBorder="1" applyAlignment="1">
      <alignment horizontal="left" vertical="center" wrapText="1"/>
    </xf>
    <xf numFmtId="4" fontId="4" fillId="0" borderId="6"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8" xfId="0" applyNumberFormat="1" applyFont="1" applyFill="1" applyBorder="1" applyAlignment="1">
      <alignment horizontal="center" vertical="center" wrapText="1"/>
    </xf>
    <xf numFmtId="0" fontId="27" fillId="0" borderId="0" xfId="0" applyFont="1" applyFill="1" applyProtection="1">
      <protection hidden="1"/>
    </xf>
    <xf numFmtId="0" fontId="26" fillId="0" borderId="11" xfId="0" applyFont="1" applyFill="1" applyBorder="1" applyAlignment="1" applyProtection="1">
      <alignment horizontal="right" vertical="center"/>
      <protection hidden="1"/>
    </xf>
    <xf numFmtId="0" fontId="26" fillId="0" borderId="12" xfId="0" applyFont="1" applyFill="1" applyBorder="1" applyAlignment="1" applyProtection="1">
      <alignment horizontal="right" vertical="center"/>
      <protection hidden="1"/>
    </xf>
    <xf numFmtId="0" fontId="27" fillId="0" borderId="0" xfId="0" applyFont="1" applyFill="1" applyAlignment="1" applyProtection="1">
      <alignment horizontal="right"/>
      <protection hidden="1"/>
    </xf>
    <xf numFmtId="0" fontId="29" fillId="0" borderId="0" xfId="0" applyFont="1" applyFill="1" applyProtection="1">
      <protection hidden="1"/>
    </xf>
    <xf numFmtId="0" fontId="27" fillId="0" borderId="0" xfId="0" applyFont="1" applyFill="1" applyAlignment="1" applyProtection="1">
      <alignment vertical="center"/>
      <protection hidden="1"/>
    </xf>
    <xf numFmtId="0" fontId="27" fillId="0" borderId="0" xfId="0" applyFont="1" applyFill="1" applyAlignment="1" applyProtection="1">
      <alignment horizontal="left" vertical="center"/>
      <protection hidden="1"/>
    </xf>
    <xf numFmtId="0" fontId="27" fillId="0" borderId="0" xfId="0" applyFont="1" applyFill="1" applyAlignment="1" applyProtection="1">
      <alignment horizontal="center" vertical="center"/>
      <protection hidden="1"/>
    </xf>
    <xf numFmtId="171" fontId="27" fillId="0" borderId="0" xfId="0" applyNumberFormat="1" applyFont="1" applyFill="1" applyAlignment="1" applyProtection="1">
      <alignment horizontal="left" vertical="center"/>
      <protection hidden="1"/>
    </xf>
    <xf numFmtId="165" fontId="27" fillId="0" borderId="0" xfId="0" applyNumberFormat="1" applyFont="1" applyFill="1" applyAlignment="1" applyProtection="1">
      <alignment horizontal="left" vertical="center"/>
      <protection hidden="1"/>
    </xf>
    <xf numFmtId="170" fontId="27" fillId="0" borderId="0" xfId="0" applyNumberFormat="1" applyFont="1" applyFill="1" applyProtection="1">
      <protection hidden="1"/>
    </xf>
    <xf numFmtId="165" fontId="27" fillId="0" borderId="0" xfId="0" applyNumberFormat="1" applyFont="1" applyFill="1" applyAlignment="1" applyProtection="1">
      <alignment horizontal="left"/>
      <protection hidden="1"/>
    </xf>
    <xf numFmtId="0" fontId="27" fillId="0" borderId="0" xfId="0" applyFont="1" applyFill="1" applyBorder="1" applyProtection="1">
      <protection hidden="1"/>
    </xf>
    <xf numFmtId="0" fontId="27" fillId="0" borderId="0" xfId="0" applyFont="1" applyFill="1" applyBorder="1" applyAlignment="1" applyProtection="1">
      <alignment horizontal="justify" vertical="center"/>
      <protection hidden="1"/>
    </xf>
    <xf numFmtId="0" fontId="26" fillId="0" borderId="0" xfId="0" applyFont="1" applyFill="1" applyBorder="1" applyAlignment="1" applyProtection="1">
      <alignment vertical="center"/>
      <protection hidden="1"/>
    </xf>
    <xf numFmtId="0" fontId="27" fillId="0" borderId="0" xfId="0" applyFont="1" applyFill="1" applyBorder="1" applyAlignment="1" applyProtection="1">
      <alignment horizontal="left" vertical="center"/>
      <protection hidden="1"/>
    </xf>
    <xf numFmtId="0" fontId="26" fillId="0" borderId="0" xfId="0" applyFont="1" applyFill="1" applyBorder="1" applyAlignment="1" applyProtection="1">
      <protection hidden="1"/>
    </xf>
    <xf numFmtId="0" fontId="26" fillId="0" borderId="0" xfId="0" applyFont="1" applyFill="1" applyBorder="1" applyAlignment="1"/>
    <xf numFmtId="0" fontId="27" fillId="0" borderId="0" xfId="0" applyFont="1" applyFill="1" applyBorder="1" applyAlignment="1" applyProtection="1">
      <alignment horizontal="justify"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protection hidden="1"/>
    </xf>
    <xf numFmtId="4" fontId="27" fillId="0" borderId="0" xfId="0" applyNumberFormat="1" applyFont="1" applyFill="1" applyBorder="1" applyAlignment="1" applyProtection="1">
      <alignment horizontal="center" vertical="center" wrapText="1"/>
      <protection hidden="1"/>
    </xf>
    <xf numFmtId="164" fontId="27" fillId="0" borderId="0" xfId="0" applyNumberFormat="1" applyFont="1" applyFill="1" applyBorder="1" applyAlignment="1" applyProtection="1">
      <alignment horizontal="center"/>
      <protection hidden="1"/>
    </xf>
    <xf numFmtId="0" fontId="27" fillId="0" borderId="10" xfId="0" applyFont="1" applyFill="1" applyBorder="1" applyProtection="1">
      <protection hidden="1"/>
    </xf>
    <xf numFmtId="0" fontId="27" fillId="0" borderId="11" xfId="0" applyFont="1" applyFill="1" applyBorder="1" applyProtection="1">
      <protection hidden="1"/>
    </xf>
    <xf numFmtId="0" fontId="27" fillId="0" borderId="11" xfId="0" applyFont="1" applyFill="1" applyBorder="1" applyAlignment="1" applyProtection="1">
      <alignment horizontal="justify" vertical="center" wrapText="1"/>
      <protection hidden="1"/>
    </xf>
    <xf numFmtId="0" fontId="27" fillId="0" borderId="12" xfId="0" applyFont="1" applyFill="1" applyBorder="1" applyAlignment="1" applyProtection="1">
      <alignment horizontal="justify" vertical="center" wrapText="1"/>
      <protection hidden="1"/>
    </xf>
    <xf numFmtId="9" fontId="27" fillId="0" borderId="0" xfId="34" applyNumberFormat="1" applyFont="1" applyFill="1" applyBorder="1" applyAlignment="1" applyProtection="1">
      <alignment horizontal="center" vertical="center" textRotation="90" wrapText="1"/>
      <protection hidden="1"/>
    </xf>
    <xf numFmtId="9" fontId="27" fillId="0" borderId="0" xfId="34" applyNumberFormat="1" applyFont="1" applyFill="1" applyBorder="1" applyAlignment="1" applyProtection="1">
      <alignment horizontal="center" vertical="center"/>
      <protection hidden="1"/>
    </xf>
    <xf numFmtId="2" fontId="27" fillId="0" borderId="0" xfId="34" applyNumberFormat="1" applyFont="1" applyFill="1" applyBorder="1" applyAlignment="1" applyProtection="1">
      <alignment horizontal="center" vertical="center"/>
      <protection hidden="1"/>
    </xf>
    <xf numFmtId="2" fontId="27" fillId="0" borderId="0" xfId="0" applyNumberFormat="1" applyFont="1" applyFill="1" applyBorder="1" applyAlignment="1" applyProtection="1">
      <alignment horizontal="center" vertical="center"/>
      <protection hidden="1"/>
    </xf>
    <xf numFmtId="165" fontId="27" fillId="0" borderId="0" xfId="0" applyNumberFormat="1" applyFont="1" applyFill="1" applyBorder="1" applyAlignment="1" applyProtection="1">
      <alignment horizontal="center" vertical="center"/>
      <protection hidden="1"/>
    </xf>
    <xf numFmtId="164" fontId="27" fillId="0" borderId="0" xfId="0" applyNumberFormat="1" applyFont="1" applyFill="1" applyBorder="1" applyAlignment="1" applyProtection="1">
      <alignment horizontal="center" vertical="center"/>
      <protection hidden="1"/>
    </xf>
    <xf numFmtId="0" fontId="27" fillId="0" borderId="0" xfId="0" applyFont="1" applyFill="1" applyBorder="1" applyAlignment="1" applyProtection="1">
      <alignment horizontal="center"/>
      <protection hidden="1"/>
    </xf>
    <xf numFmtId="165" fontId="27" fillId="0" borderId="0" xfId="0" applyNumberFormat="1" applyFont="1" applyFill="1" applyBorder="1" applyAlignment="1" applyProtection="1">
      <alignment horizontal="center"/>
      <protection hidden="1"/>
    </xf>
    <xf numFmtId="0" fontId="27" fillId="0" borderId="0" xfId="0" applyFont="1" applyFill="1" applyBorder="1" applyAlignment="1" applyProtection="1">
      <alignment horizontal="left" vertical="center" wrapText="1"/>
      <protection hidden="1"/>
    </xf>
    <xf numFmtId="0" fontId="27" fillId="0" borderId="0" xfId="0" applyFont="1" applyFill="1" applyBorder="1" applyAlignment="1">
      <alignment horizontal="left"/>
    </xf>
    <xf numFmtId="0" fontId="27" fillId="0" borderId="10" xfId="0" applyFont="1" applyFill="1" applyBorder="1" applyAlignment="1">
      <alignment horizontal="center"/>
    </xf>
    <xf numFmtId="0" fontId="27" fillId="0" borderId="11" xfId="0" applyFont="1" applyFill="1" applyBorder="1" applyAlignment="1">
      <alignment horizontal="center"/>
    </xf>
    <xf numFmtId="0" fontId="27" fillId="0" borderId="11" xfId="0" applyFont="1" applyFill="1" applyBorder="1" applyAlignment="1">
      <alignment horizontal="left"/>
    </xf>
    <xf numFmtId="0" fontId="27" fillId="0" borderId="12" xfId="0" applyFont="1" applyFill="1" applyBorder="1" applyAlignment="1">
      <alignment horizontal="center"/>
    </xf>
    <xf numFmtId="0" fontId="27" fillId="0" borderId="0" xfId="0" applyFont="1" applyFill="1" applyAlignment="1">
      <alignment horizontal="center"/>
    </xf>
    <xf numFmtId="0" fontId="27" fillId="0" borderId="0" xfId="0" applyFont="1" applyFill="1"/>
    <xf numFmtId="0" fontId="27" fillId="0" borderId="0" xfId="0"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vertical="center"/>
    </xf>
    <xf numFmtId="0" fontId="27" fillId="0" borderId="0" xfId="0" applyFont="1" applyFill="1" applyAlignment="1">
      <alignment horizontal="center" vertical="center"/>
    </xf>
    <xf numFmtId="3" fontId="27" fillId="0" borderId="0" xfId="0" applyNumberFormat="1" applyFont="1" applyFill="1" applyBorder="1" applyAlignment="1">
      <alignment horizontal="center" vertical="center"/>
    </xf>
    <xf numFmtId="4" fontId="27" fillId="0" borderId="0" xfId="0" applyNumberFormat="1" applyFont="1" applyFill="1" applyBorder="1" applyAlignment="1">
      <alignment horizontal="center" vertical="center"/>
    </xf>
    <xf numFmtId="2" fontId="27" fillId="0" borderId="0" xfId="0" applyNumberFormat="1" applyFont="1" applyFill="1" applyBorder="1" applyAlignment="1">
      <alignment horizontal="left"/>
    </xf>
    <xf numFmtId="2" fontId="27" fillId="0" borderId="16" xfId="0" applyNumberFormat="1" applyFont="1" applyFill="1" applyBorder="1" applyAlignment="1">
      <alignment horizontal="left"/>
    </xf>
    <xf numFmtId="0" fontId="27" fillId="0" borderId="0" xfId="0" applyFont="1" applyFill="1" applyAlignment="1">
      <alignment horizontal="left"/>
    </xf>
    <xf numFmtId="0" fontId="27" fillId="0" borderId="10"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11" xfId="0" applyFont="1" applyFill="1" applyBorder="1" applyAlignment="1">
      <alignment horizontal="left" vertical="center"/>
    </xf>
    <xf numFmtId="0" fontId="27" fillId="0" borderId="12" xfId="0" applyFont="1" applyFill="1" applyBorder="1" applyAlignment="1">
      <alignment horizontal="center" vertical="center"/>
    </xf>
    <xf numFmtId="2" fontId="27" fillId="0" borderId="0" xfId="34" applyNumberFormat="1" applyFont="1" applyFill="1" applyBorder="1" applyAlignment="1">
      <alignment horizontal="center" vertical="center"/>
    </xf>
    <xf numFmtId="2" fontId="27" fillId="0" borderId="0" xfId="0" applyNumberFormat="1" applyFont="1" applyFill="1" applyBorder="1" applyAlignment="1">
      <alignment horizontal="center" vertical="center"/>
    </xf>
    <xf numFmtId="0" fontId="27" fillId="0" borderId="1" xfId="0" applyFont="1" applyFill="1" applyBorder="1"/>
    <xf numFmtId="0" fontId="27" fillId="0" borderId="0" xfId="0" applyFont="1" applyFill="1" applyBorder="1"/>
    <xf numFmtId="0" fontId="27" fillId="0" borderId="14" xfId="0" applyFont="1" applyFill="1" applyBorder="1"/>
    <xf numFmtId="0" fontId="27" fillId="0" borderId="7" xfId="0" applyFont="1" applyFill="1" applyBorder="1"/>
    <xf numFmtId="9" fontId="27" fillId="0" borderId="0" xfId="34" applyNumberFormat="1" applyFont="1" applyFill="1" applyBorder="1" applyAlignment="1">
      <alignment horizontal="center" textRotation="90" wrapText="1"/>
    </xf>
    <xf numFmtId="9" fontId="27" fillId="0" borderId="0" xfId="34" applyNumberFormat="1" applyFont="1" applyFill="1" applyBorder="1" applyAlignment="1">
      <alignment horizontal="center" vertical="center"/>
    </xf>
    <xf numFmtId="2" fontId="30" fillId="0" borderId="0" xfId="0" applyNumberFormat="1" applyFont="1" applyFill="1" applyBorder="1" applyAlignment="1">
      <alignment horizontal="center" vertical="center"/>
    </xf>
    <xf numFmtId="0" fontId="27" fillId="0" borderId="10" xfId="0" applyFont="1" applyFill="1" applyBorder="1" applyAlignment="1">
      <alignment horizontal="left"/>
    </xf>
    <xf numFmtId="0" fontId="27" fillId="0" borderId="12" xfId="0" applyFont="1" applyFill="1" applyBorder="1" applyAlignment="1">
      <alignment horizontal="left"/>
    </xf>
    <xf numFmtId="1" fontId="27" fillId="0" borderId="0" xfId="0" applyNumberFormat="1" applyFont="1" applyFill="1" applyBorder="1" applyAlignment="1">
      <alignment horizontal="left" vertical="center"/>
    </xf>
    <xf numFmtId="0" fontId="27" fillId="0" borderId="0" xfId="0" applyFont="1" applyFill="1" applyAlignment="1">
      <alignment vertical="center"/>
    </xf>
    <xf numFmtId="1" fontId="27" fillId="0" borderId="0" xfId="0" applyNumberFormat="1" applyFont="1" applyFill="1" applyBorder="1" applyAlignment="1">
      <alignment horizontal="center" vertical="center" wrapText="1"/>
    </xf>
    <xf numFmtId="1" fontId="27" fillId="0" borderId="0" xfId="0" applyNumberFormat="1" applyFont="1" applyFill="1" applyBorder="1" applyAlignment="1">
      <alignment horizontal="left" vertical="center" wrapText="1"/>
    </xf>
    <xf numFmtId="2" fontId="27" fillId="0" borderId="0" xfId="0" applyNumberFormat="1" applyFont="1" applyFill="1" applyBorder="1" applyAlignment="1">
      <alignment horizontal="center"/>
    </xf>
    <xf numFmtId="0" fontId="27" fillId="0" borderId="0" xfId="0" applyFont="1" applyFill="1" applyBorder="1" applyAlignment="1">
      <alignment horizontal="center"/>
    </xf>
    <xf numFmtId="4" fontId="27"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vertical="center"/>
    </xf>
    <xf numFmtId="0" fontId="27" fillId="0" borderId="12" xfId="0" applyFont="1" applyFill="1" applyBorder="1" applyAlignment="1">
      <alignment horizontal="right"/>
    </xf>
    <xf numFmtId="0" fontId="27" fillId="0" borderId="0" xfId="0" applyFont="1" applyFill="1" applyBorder="1" applyAlignment="1">
      <alignment horizontal="left" vertical="center" wrapText="1"/>
    </xf>
    <xf numFmtId="18" fontId="27" fillId="0" borderId="0" xfId="0" applyNumberFormat="1" applyFont="1" applyFill="1"/>
    <xf numFmtId="1" fontId="27" fillId="0" borderId="1" xfId="0" applyNumberFormat="1" applyFont="1" applyFill="1" applyBorder="1" applyAlignment="1">
      <alignment horizontal="center" vertical="center" wrapText="1"/>
    </xf>
    <xf numFmtId="0" fontId="27" fillId="0" borderId="1" xfId="0" applyFont="1" applyFill="1" applyBorder="1" applyAlignment="1" applyProtection="1">
      <alignment horizontal="center" vertical="center" wrapText="1"/>
      <protection hidden="1"/>
    </xf>
    <xf numFmtId="0" fontId="27" fillId="0" borderId="0" xfId="0" applyFont="1" applyFill="1" applyBorder="1" applyAlignment="1">
      <alignment horizontal="left" vertical="center"/>
    </xf>
    <xf numFmtId="0" fontId="27" fillId="0" borderId="6" xfId="0" applyFont="1" applyFill="1" applyBorder="1" applyAlignment="1">
      <alignment horizontal="center" vertical="center"/>
    </xf>
    <xf numFmtId="0" fontId="27" fillId="0" borderId="13" xfId="0" applyFont="1" applyFill="1" applyBorder="1" applyAlignment="1">
      <alignment horizontal="left" vertical="center"/>
    </xf>
    <xf numFmtId="0" fontId="27" fillId="0" borderId="7" xfId="0" applyFont="1" applyFill="1" applyBorder="1" applyAlignment="1">
      <alignment horizontal="center" vertical="center"/>
    </xf>
    <xf numFmtId="0" fontId="27" fillId="0" borderId="14" xfId="0" applyFont="1" applyFill="1" applyBorder="1" applyAlignment="1">
      <alignment horizontal="left" vertical="center"/>
    </xf>
    <xf numFmtId="0" fontId="58" fillId="0" borderId="0" xfId="0" applyNumberFormat="1" applyFont="1" applyFill="1" applyAlignment="1">
      <alignment horizontal="center" vertical="center"/>
    </xf>
    <xf numFmtId="172" fontId="27" fillId="0" borderId="0" xfId="0" applyNumberFormat="1" applyFont="1" applyFill="1" applyAlignment="1">
      <alignment horizontal="center" vertical="center"/>
    </xf>
    <xf numFmtId="0" fontId="59" fillId="0" borderId="0" xfId="0" applyFont="1" applyFill="1" applyAlignment="1">
      <alignment horizontal="left"/>
    </xf>
    <xf numFmtId="0" fontId="27" fillId="0" borderId="8" xfId="0" applyFont="1" applyFill="1" applyBorder="1" applyAlignment="1">
      <alignment horizontal="center" vertical="center"/>
    </xf>
    <xf numFmtId="9" fontId="27" fillId="0" borderId="0" xfId="34" applyNumberFormat="1" applyFont="1" applyFill="1" applyBorder="1" applyAlignment="1">
      <alignment horizontal="center" vertical="center" wrapText="1"/>
    </xf>
    <xf numFmtId="0" fontId="27" fillId="0" borderId="15" xfId="0" applyFont="1" applyFill="1" applyBorder="1" applyAlignment="1">
      <alignment horizontal="left" vertical="center"/>
    </xf>
    <xf numFmtId="176" fontId="45" fillId="0" borderId="0" xfId="0" applyNumberFormat="1" applyFont="1" applyFill="1"/>
    <xf numFmtId="0" fontId="4" fillId="0" borderId="0" xfId="0" applyFont="1" applyFill="1" applyAlignment="1">
      <alignment vertical="center"/>
    </xf>
    <xf numFmtId="4" fontId="37" fillId="10" borderId="0" xfId="0" applyNumberFormat="1" applyFont="1" applyFill="1" applyBorder="1" applyAlignment="1">
      <alignment horizontal="right" vertical="center"/>
    </xf>
    <xf numFmtId="4" fontId="4" fillId="0" borderId="17" xfId="0" applyNumberFormat="1" applyFont="1" applyFill="1" applyBorder="1" applyAlignment="1">
      <alignment horizontal="center" vertical="center"/>
    </xf>
    <xf numFmtId="4" fontId="4" fillId="0" borderId="18" xfId="0" applyNumberFormat="1" applyFont="1" applyFill="1" applyBorder="1" applyAlignment="1">
      <alignment horizontal="center" vertical="center"/>
    </xf>
    <xf numFmtId="4" fontId="4" fillId="0" borderId="19" xfId="0" applyNumberFormat="1" applyFont="1" applyFill="1" applyBorder="1" applyAlignment="1">
      <alignment horizontal="center" vertical="center"/>
    </xf>
    <xf numFmtId="4" fontId="4" fillId="0" borderId="20" xfId="0" applyNumberFormat="1" applyFont="1" applyFill="1" applyBorder="1" applyAlignment="1">
      <alignment horizontal="center" vertical="center"/>
    </xf>
    <xf numFmtId="4" fontId="4" fillId="0" borderId="21" xfId="0" applyNumberFormat="1" applyFont="1" applyFill="1" applyBorder="1" applyAlignment="1">
      <alignment horizontal="center" vertical="center"/>
    </xf>
    <xf numFmtId="4" fontId="4" fillId="0" borderId="22" xfId="0" applyNumberFormat="1" applyFont="1" applyFill="1" applyBorder="1"/>
    <xf numFmtId="4" fontId="4" fillId="0" borderId="23" xfId="0" applyNumberFormat="1" applyFont="1" applyFill="1" applyBorder="1"/>
    <xf numFmtId="4" fontId="4" fillId="0" borderId="24" xfId="0" applyNumberFormat="1" applyFont="1" applyFill="1" applyBorder="1"/>
    <xf numFmtId="4" fontId="7" fillId="0" borderId="17" xfId="0" applyNumberFormat="1" applyFont="1" applyFill="1" applyBorder="1" applyAlignment="1">
      <alignment horizontal="center" vertical="center"/>
    </xf>
    <xf numFmtId="4" fontId="7" fillId="0" borderId="18" xfId="0" applyNumberFormat="1" applyFont="1" applyFill="1" applyBorder="1" applyAlignment="1">
      <alignment horizontal="center" vertical="center"/>
    </xf>
    <xf numFmtId="4" fontId="7" fillId="0" borderId="19" xfId="0" applyNumberFormat="1" applyFont="1" applyFill="1" applyBorder="1" applyAlignment="1">
      <alignment horizontal="center" vertical="center"/>
    </xf>
    <xf numFmtId="4" fontId="7" fillId="0" borderId="20" xfId="0" applyNumberFormat="1" applyFont="1" applyFill="1" applyBorder="1" applyAlignment="1">
      <alignment horizontal="center" vertical="center"/>
    </xf>
    <xf numFmtId="4" fontId="7" fillId="0" borderId="21" xfId="0" applyNumberFormat="1" applyFont="1" applyFill="1" applyBorder="1" applyAlignment="1">
      <alignment horizontal="center" vertical="center"/>
    </xf>
    <xf numFmtId="0" fontId="60" fillId="0" borderId="0" xfId="0" applyFont="1" applyFill="1"/>
    <xf numFmtId="0" fontId="60" fillId="0" borderId="0" xfId="0" applyFont="1" applyFill="1" applyAlignment="1">
      <alignment horizontal="left"/>
    </xf>
    <xf numFmtId="0" fontId="37" fillId="10" borderId="0" xfId="0" applyFont="1" applyFill="1" applyBorder="1" applyAlignment="1">
      <alignment horizontal="left" vertical="center"/>
    </xf>
    <xf numFmtId="0" fontId="61" fillId="0" borderId="0" xfId="0" applyFont="1" applyFill="1"/>
    <xf numFmtId="167" fontId="61" fillId="0" borderId="0" xfId="0" applyNumberFormat="1" applyFont="1" applyFill="1" applyBorder="1" applyAlignment="1">
      <alignment horizontal="right" vertical="center" wrapText="1"/>
    </xf>
    <xf numFmtId="174" fontId="61" fillId="0" borderId="0" xfId="0" applyNumberFormat="1" applyFont="1" applyFill="1" applyAlignment="1">
      <alignment horizontal="right" vertical="center"/>
    </xf>
    <xf numFmtId="0" fontId="61" fillId="0" borderId="0" xfId="0" applyFont="1" applyFill="1" applyAlignment="1">
      <alignment vertical="center"/>
    </xf>
    <xf numFmtId="175" fontId="37" fillId="10" borderId="0" xfId="0" applyNumberFormat="1" applyFont="1" applyFill="1" applyBorder="1"/>
    <xf numFmtId="175" fontId="7" fillId="0" borderId="0" xfId="0" applyNumberFormat="1" applyFont="1" applyFill="1" applyBorder="1"/>
    <xf numFmtId="4" fontId="7" fillId="0" borderId="0" xfId="0" applyNumberFormat="1" applyFont="1" applyBorder="1" applyAlignment="1">
      <alignment horizontal="center" vertical="center"/>
    </xf>
    <xf numFmtId="4" fontId="7" fillId="0" borderId="9" xfId="0" applyNumberFormat="1" applyFont="1" applyFill="1" applyBorder="1" applyAlignment="1">
      <alignment horizontal="center" vertical="center" wrapText="1"/>
    </xf>
    <xf numFmtId="4" fontId="7" fillId="0" borderId="0" xfId="0" applyNumberFormat="1" applyFont="1" applyFill="1" applyBorder="1" applyAlignment="1">
      <alignment horizontal="left" vertical="center"/>
    </xf>
    <xf numFmtId="4" fontId="7" fillId="0" borderId="0" xfId="0" applyNumberFormat="1" applyFont="1" applyFill="1" applyBorder="1" applyAlignment="1">
      <alignment horizontal="left" vertical="center" wrapText="1"/>
    </xf>
    <xf numFmtId="4" fontId="62" fillId="0" borderId="0" xfId="0" applyNumberFormat="1" applyFont="1" applyBorder="1" applyAlignment="1">
      <alignment horizontal="center" vertical="center"/>
    </xf>
    <xf numFmtId="4" fontId="7" fillId="12" borderId="0" xfId="0" applyNumberFormat="1" applyFont="1" applyFill="1" applyBorder="1" applyAlignment="1" applyProtection="1">
      <alignment horizontal="center" vertical="center" wrapText="1"/>
      <protection hidden="1"/>
    </xf>
    <xf numFmtId="4" fontId="63" fillId="13" borderId="0" xfId="0" applyNumberFormat="1" applyFont="1" applyFill="1" applyBorder="1" applyAlignment="1" applyProtection="1">
      <alignment horizontal="center" vertical="center" wrapText="1"/>
      <protection hidden="1"/>
    </xf>
    <xf numFmtId="0" fontId="58" fillId="0" borderId="0" xfId="0" applyFont="1" applyFill="1"/>
    <xf numFmtId="167" fontId="27" fillId="0" borderId="0" xfId="0" applyNumberFormat="1" applyFont="1" applyFill="1" applyProtection="1">
      <protection hidden="1"/>
    </xf>
    <xf numFmtId="2" fontId="58" fillId="0" borderId="25" xfId="34" applyNumberFormat="1" applyFont="1" applyFill="1" applyBorder="1" applyAlignment="1">
      <alignment horizontal="center" vertical="center"/>
    </xf>
    <xf numFmtId="2" fontId="58" fillId="0" borderId="26" xfId="34" applyNumberFormat="1" applyFont="1" applyFill="1" applyBorder="1" applyAlignment="1">
      <alignment horizontal="center" vertical="center"/>
    </xf>
    <xf numFmtId="4" fontId="64" fillId="7" borderId="0" xfId="22" applyNumberFormat="1" applyFont="1" applyBorder="1" applyAlignment="1">
      <alignment horizontal="center" vertical="center"/>
    </xf>
    <xf numFmtId="0" fontId="40" fillId="0" borderId="0" xfId="0" applyFont="1" applyFill="1"/>
    <xf numFmtId="0" fontId="40" fillId="0" borderId="0" xfId="0" applyFont="1" applyFill="1" applyAlignment="1">
      <alignment vertical="center"/>
    </xf>
    <xf numFmtId="4" fontId="4" fillId="0" borderId="25" xfId="0" applyNumberFormat="1" applyFont="1" applyFill="1" applyBorder="1" applyAlignment="1">
      <alignment horizontal="center" vertical="center"/>
    </xf>
    <xf numFmtId="4" fontId="4" fillId="0" borderId="27" xfId="0" applyNumberFormat="1" applyFont="1" applyFill="1" applyBorder="1" applyAlignment="1">
      <alignment horizontal="center" vertical="center"/>
    </xf>
    <xf numFmtId="4" fontId="4" fillId="0" borderId="26" xfId="0" applyNumberFormat="1" applyFont="1" applyFill="1" applyBorder="1" applyAlignment="1">
      <alignment horizontal="center" vertical="center"/>
    </xf>
    <xf numFmtId="169" fontId="65" fillId="4" borderId="0" xfId="0" applyNumberFormat="1" applyFont="1" applyFill="1" applyBorder="1" applyAlignment="1">
      <alignment horizontal="left"/>
    </xf>
    <xf numFmtId="0" fontId="66" fillId="0" borderId="0" xfId="0" applyFont="1" applyFill="1" applyBorder="1" applyAlignment="1">
      <alignment horizontal="center" vertical="center" wrapText="1"/>
    </xf>
    <xf numFmtId="4" fontId="4" fillId="0" borderId="0" xfId="0" applyNumberFormat="1" applyFont="1" applyFill="1" applyAlignment="1">
      <alignment horizontal="left"/>
    </xf>
    <xf numFmtId="0" fontId="67" fillId="3" borderId="0" xfId="0" applyFont="1" applyFill="1" applyBorder="1" applyAlignment="1" applyProtection="1">
      <alignment horizontal="center" vertical="center"/>
      <protection hidden="1"/>
    </xf>
    <xf numFmtId="0" fontId="67" fillId="4" borderId="0" xfId="0" applyFont="1" applyFill="1" applyBorder="1" applyAlignment="1" applyProtection="1">
      <alignment horizontal="center" vertical="center"/>
      <protection hidden="1"/>
    </xf>
    <xf numFmtId="164" fontId="67" fillId="3" borderId="0" xfId="0" applyNumberFormat="1" applyFont="1" applyFill="1" applyBorder="1" applyAlignment="1" applyProtection="1">
      <alignment vertical="center"/>
      <protection hidden="1"/>
    </xf>
    <xf numFmtId="0" fontId="67" fillId="3" borderId="0" xfId="0" applyFont="1" applyFill="1" applyBorder="1" applyAlignment="1" applyProtection="1">
      <alignment vertical="center"/>
      <protection hidden="1"/>
    </xf>
    <xf numFmtId="0" fontId="67" fillId="4" borderId="0" xfId="0" applyFont="1" applyFill="1" applyBorder="1" applyAlignment="1" applyProtection="1">
      <alignment vertical="center"/>
      <protection hidden="1"/>
    </xf>
    <xf numFmtId="169" fontId="65" fillId="3" borderId="0" xfId="0" applyNumberFormat="1" applyFont="1" applyFill="1" applyBorder="1" applyAlignment="1">
      <alignment horizontal="left"/>
    </xf>
    <xf numFmtId="0" fontId="27" fillId="0" borderId="0" xfId="0" applyFont="1" applyFill="1" applyBorder="1" applyAlignment="1">
      <alignment horizontal="right" vertical="center"/>
    </xf>
    <xf numFmtId="0" fontId="68" fillId="0" borderId="0" xfId="0" applyFont="1" applyFill="1" applyAlignment="1">
      <alignment vertical="center"/>
    </xf>
    <xf numFmtId="0" fontId="68" fillId="0" borderId="0" xfId="0" applyFont="1" applyFill="1" applyBorder="1" applyAlignment="1">
      <alignment horizontal="left" vertical="center" wrapText="1"/>
    </xf>
    <xf numFmtId="2" fontId="58" fillId="0" borderId="0" xfId="34" applyNumberFormat="1" applyFont="1" applyFill="1" applyBorder="1" applyAlignment="1">
      <alignment horizontal="center" vertical="center"/>
    </xf>
    <xf numFmtId="0" fontId="58" fillId="0" borderId="10" xfId="0" applyFont="1" applyFill="1" applyBorder="1" applyAlignment="1">
      <alignment horizontal="left"/>
    </xf>
    <xf numFmtId="0" fontId="58" fillId="0" borderId="11" xfId="0" applyFont="1" applyFill="1" applyBorder="1" applyAlignment="1">
      <alignment horizontal="left"/>
    </xf>
    <xf numFmtId="0" fontId="58" fillId="0" borderId="12" xfId="0" applyFont="1" applyFill="1" applyBorder="1" applyAlignment="1">
      <alignment horizontal="right"/>
    </xf>
    <xf numFmtId="1" fontId="58" fillId="0" borderId="0" xfId="0" applyNumberFormat="1" applyFont="1" applyFill="1" applyBorder="1" applyAlignment="1">
      <alignment horizontal="left" vertical="center"/>
    </xf>
    <xf numFmtId="4" fontId="58" fillId="0" borderId="0" xfId="0" applyNumberFormat="1" applyFont="1" applyFill="1" applyBorder="1" applyAlignment="1">
      <alignment horizontal="center" vertical="center" wrapText="1"/>
    </xf>
    <xf numFmtId="4" fontId="58" fillId="0" borderId="0" xfId="0" applyNumberFormat="1" applyFont="1" applyFill="1" applyBorder="1" applyAlignment="1">
      <alignment horizontal="left" vertical="center" wrapText="1"/>
    </xf>
    <xf numFmtId="2" fontId="58" fillId="0" borderId="0" xfId="34" applyNumberFormat="1" applyFont="1" applyFill="1" applyBorder="1" applyAlignment="1">
      <alignment horizontal="left" vertical="center"/>
    </xf>
    <xf numFmtId="2" fontId="58" fillId="0" borderId="16" xfId="34" applyNumberFormat="1" applyFont="1" applyFill="1" applyBorder="1" applyAlignment="1">
      <alignment horizontal="center" vertical="center"/>
    </xf>
    <xf numFmtId="4" fontId="46" fillId="0" borderId="0" xfId="0" applyNumberFormat="1" applyFont="1" applyBorder="1" applyAlignment="1">
      <alignment horizontal="center" vertical="center"/>
    </xf>
    <xf numFmtId="4" fontId="46" fillId="0" borderId="0" xfId="0" applyNumberFormat="1" applyFont="1" applyFill="1" applyBorder="1" applyAlignment="1">
      <alignment horizontal="center" vertical="center"/>
    </xf>
    <xf numFmtId="4" fontId="46" fillId="0" borderId="0" xfId="0" applyNumberFormat="1" applyFont="1" applyFill="1" applyBorder="1" applyAlignment="1">
      <alignment horizontal="left" vertical="center"/>
    </xf>
    <xf numFmtId="4" fontId="61" fillId="0" borderId="0" xfId="0" applyNumberFormat="1" applyFont="1" applyFill="1" applyBorder="1" applyAlignment="1">
      <alignment horizontal="center" vertical="center"/>
    </xf>
    <xf numFmtId="0" fontId="61" fillId="0" borderId="0" xfId="0" applyFont="1" applyFill="1" applyBorder="1" applyAlignment="1">
      <alignment horizontal="center" vertical="center" wrapText="1"/>
    </xf>
    <xf numFmtId="4" fontId="61" fillId="0" borderId="9" xfId="0" applyNumberFormat="1" applyFont="1" applyFill="1" applyBorder="1" applyAlignment="1">
      <alignment horizontal="center" vertical="center" wrapText="1"/>
    </xf>
    <xf numFmtId="4" fontId="61" fillId="0" borderId="0" xfId="0" applyNumberFormat="1" applyFont="1" applyFill="1" applyBorder="1" applyAlignment="1">
      <alignment horizontal="left" vertical="center"/>
    </xf>
    <xf numFmtId="4" fontId="61" fillId="0" borderId="0" xfId="0" applyNumberFormat="1" applyFont="1" applyBorder="1" applyAlignment="1">
      <alignment horizontal="center" vertical="center"/>
    </xf>
    <xf numFmtId="4" fontId="61" fillId="0" borderId="0" xfId="0" applyNumberFormat="1" applyFont="1" applyFill="1" applyBorder="1" applyAlignment="1">
      <alignment horizontal="left" vertical="center" wrapText="1"/>
    </xf>
    <xf numFmtId="1" fontId="61" fillId="0" borderId="0" xfId="0" applyNumberFormat="1" applyFont="1" applyFill="1" applyBorder="1" applyAlignment="1">
      <alignment horizontal="left" vertical="center" wrapText="1"/>
    </xf>
    <xf numFmtId="4" fontId="40" fillId="0" borderId="0" xfId="0" applyNumberFormat="1" applyFont="1" applyFill="1" applyBorder="1" applyAlignment="1">
      <alignment horizontal="center" vertical="center"/>
    </xf>
    <xf numFmtId="195" fontId="40" fillId="0" borderId="0" xfId="0" applyNumberFormat="1" applyFont="1" applyFill="1" applyBorder="1" applyAlignment="1">
      <alignment horizontal="left" vertical="center"/>
    </xf>
    <xf numFmtId="0" fontId="4" fillId="0" borderId="0" xfId="0" applyNumberFormat="1" applyFont="1" applyFill="1" applyBorder="1" applyAlignment="1">
      <alignment horizontal="left" vertical="center" wrapText="1"/>
    </xf>
    <xf numFmtId="4" fontId="40" fillId="0" borderId="0" xfId="0" applyNumberFormat="1" applyFont="1" applyBorder="1" applyAlignment="1">
      <alignment horizontal="center" vertical="center"/>
    </xf>
    <xf numFmtId="1" fontId="40" fillId="0" borderId="0" xfId="0" applyNumberFormat="1" applyFont="1" applyFill="1" applyBorder="1" applyAlignment="1">
      <alignment horizontal="left" vertical="center" wrapText="1"/>
    </xf>
    <xf numFmtId="0" fontId="61" fillId="0" borderId="0" xfId="0" applyFont="1" applyFill="1" applyProtection="1">
      <protection hidden="1"/>
    </xf>
    <xf numFmtId="16" fontId="61" fillId="0" borderId="0" xfId="0" applyNumberFormat="1" applyFont="1" applyFill="1"/>
    <xf numFmtId="4" fontId="69" fillId="0" borderId="0" xfId="0" applyNumberFormat="1" applyFont="1" applyFill="1" applyBorder="1" applyAlignment="1">
      <alignment horizontal="center" vertical="center"/>
    </xf>
    <xf numFmtId="4" fontId="70" fillId="0" borderId="0" xfId="0" applyNumberFormat="1" applyFont="1" applyFill="1"/>
    <xf numFmtId="4" fontId="37" fillId="0" borderId="0" xfId="0" applyNumberFormat="1" applyFont="1" applyFill="1"/>
    <xf numFmtId="4" fontId="70" fillId="0" borderId="0" xfId="0" applyNumberFormat="1" applyFont="1" applyFill="1" applyBorder="1" applyAlignment="1">
      <alignment horizontal="center" vertical="center"/>
    </xf>
    <xf numFmtId="4" fontId="71" fillId="0" borderId="0" xfId="0" applyNumberFormat="1" applyFont="1" applyFill="1" applyBorder="1" applyAlignment="1">
      <alignment horizontal="center" vertical="center"/>
    </xf>
    <xf numFmtId="4" fontId="37" fillId="0" borderId="0" xfId="0" applyNumberFormat="1" applyFont="1" applyFill="1" applyBorder="1" applyAlignment="1">
      <alignment horizontal="center" vertical="center"/>
    </xf>
    <xf numFmtId="4" fontId="4" fillId="12" borderId="0" xfId="0" applyNumberFormat="1" applyFont="1" applyFill="1" applyBorder="1" applyAlignment="1" applyProtection="1">
      <alignment horizontal="center" vertical="center" wrapText="1"/>
      <protection hidden="1"/>
    </xf>
    <xf numFmtId="4" fontId="70" fillId="0" borderId="0" xfId="0" applyNumberFormat="1" applyFont="1" applyFill="1" applyBorder="1" applyAlignment="1" applyProtection="1">
      <alignment horizontal="center" vertical="center" wrapText="1"/>
      <protection hidden="1"/>
    </xf>
    <xf numFmtId="0" fontId="70" fillId="10" borderId="0" xfId="0" applyFont="1" applyFill="1" applyBorder="1" applyAlignment="1">
      <alignment horizontal="right" vertical="center"/>
    </xf>
    <xf numFmtId="0" fontId="8" fillId="14" borderId="9" xfId="0" applyFont="1" applyFill="1" applyBorder="1" applyAlignment="1" applyProtection="1">
      <alignment horizontal="center" vertical="center"/>
      <protection hidden="1"/>
    </xf>
    <xf numFmtId="0" fontId="8" fillId="14" borderId="5" xfId="0" applyFont="1" applyFill="1" applyBorder="1" applyAlignment="1" applyProtection="1">
      <alignment horizontal="center" vertical="center"/>
      <protection hidden="1"/>
    </xf>
    <xf numFmtId="2" fontId="8" fillId="14" borderId="28" xfId="0" applyNumberFormat="1" applyFont="1" applyFill="1" applyBorder="1" applyAlignment="1" applyProtection="1">
      <alignment horizontal="center" vertical="center"/>
      <protection hidden="1"/>
    </xf>
    <xf numFmtId="0" fontId="3" fillId="14" borderId="0" xfId="0" applyFont="1" applyFill="1" applyAlignment="1">
      <alignment horizontal="left"/>
    </xf>
    <xf numFmtId="4" fontId="4" fillId="14" borderId="0" xfId="0" applyNumberFormat="1" applyFont="1" applyFill="1" applyBorder="1" applyAlignment="1" applyProtection="1">
      <alignment horizontal="center" vertical="center" wrapText="1"/>
      <protection hidden="1"/>
    </xf>
    <xf numFmtId="0" fontId="46" fillId="0" borderId="0" xfId="0" applyFont="1" applyFill="1" applyBorder="1" applyAlignment="1">
      <alignment horizontal="center" vertical="center"/>
    </xf>
    <xf numFmtId="4" fontId="4" fillId="15" borderId="0" xfId="0" applyNumberFormat="1" applyFont="1" applyFill="1" applyBorder="1" applyAlignment="1" applyProtection="1">
      <alignment horizontal="center" vertical="center" wrapText="1"/>
      <protection hidden="1"/>
    </xf>
    <xf numFmtId="196" fontId="4" fillId="0" borderId="0" xfId="0" applyNumberFormat="1" applyFont="1" applyFill="1" applyBorder="1" applyAlignment="1" applyProtection="1">
      <alignment horizontal="center" vertical="center" wrapText="1"/>
      <protection hidden="1"/>
    </xf>
    <xf numFmtId="0" fontId="4" fillId="15" borderId="0" xfId="0" applyFont="1" applyFill="1"/>
    <xf numFmtId="0" fontId="61" fillId="0" borderId="0" xfId="0" applyFont="1" applyFill="1" applyAlignment="1">
      <alignment horizontal="right"/>
    </xf>
    <xf numFmtId="0" fontId="27" fillId="0" borderId="1" xfId="0" applyFont="1" applyFill="1" applyBorder="1" applyAlignment="1">
      <alignment horizontal="center" vertical="center"/>
    </xf>
    <xf numFmtId="0" fontId="4" fillId="0" borderId="1" xfId="0" applyFont="1" applyBorder="1"/>
    <xf numFmtId="0" fontId="10" fillId="0" borderId="0" xfId="0" applyFont="1" applyFill="1" applyBorder="1" applyAlignment="1">
      <alignment horizontal="center"/>
    </xf>
    <xf numFmtId="169" fontId="10" fillId="0" borderId="0" xfId="0" applyNumberFormat="1" applyFont="1" applyFill="1" applyBorder="1" applyAlignment="1">
      <alignment horizontal="left"/>
    </xf>
    <xf numFmtId="49" fontId="65" fillId="4" borderId="0" xfId="0" applyNumberFormat="1" applyFont="1" applyFill="1" applyBorder="1" applyAlignment="1">
      <alignment horizontal="left"/>
    </xf>
    <xf numFmtId="169" fontId="65" fillId="4" borderId="2" xfId="0" applyNumberFormat="1" applyFont="1" applyFill="1" applyBorder="1" applyAlignment="1">
      <alignment horizontal="left"/>
    </xf>
    <xf numFmtId="49" fontId="10" fillId="3" borderId="0" xfId="0" applyNumberFormat="1" applyFont="1" applyFill="1" applyBorder="1" applyAlignment="1">
      <alignment horizontal="left"/>
    </xf>
    <xf numFmtId="0" fontId="10" fillId="3" borderId="0" xfId="0" applyFont="1" applyFill="1" applyBorder="1" applyAlignment="1">
      <alignment horizontal="left"/>
    </xf>
    <xf numFmtId="0" fontId="58" fillId="0" borderId="0" xfId="0" applyFont="1" applyFill="1" applyAlignment="1">
      <alignment horizontal="left"/>
    </xf>
    <xf numFmtId="0" fontId="61" fillId="16" borderId="0" xfId="0" applyFont="1" applyFill="1" applyAlignment="1">
      <alignment vertical="center"/>
    </xf>
    <xf numFmtId="2" fontId="4" fillId="10" borderId="0" xfId="0" applyNumberFormat="1" applyFont="1" applyFill="1" applyAlignment="1">
      <alignment horizontal="center" vertical="center"/>
    </xf>
    <xf numFmtId="0" fontId="65" fillId="3" borderId="0" xfId="0" applyFont="1" applyFill="1" applyAlignment="1">
      <alignment horizontal="center"/>
    </xf>
    <xf numFmtId="0" fontId="67" fillId="3" borderId="0" xfId="0" applyFont="1" applyFill="1" applyBorder="1" applyAlignment="1" applyProtection="1">
      <alignment horizontal="left" vertical="center"/>
      <protection hidden="1"/>
    </xf>
    <xf numFmtId="0" fontId="65" fillId="4" borderId="0" xfId="0" applyFont="1" applyFill="1" applyAlignment="1">
      <alignment horizontal="center"/>
    </xf>
    <xf numFmtId="0" fontId="67" fillId="3" borderId="0" xfId="0" applyFont="1" applyFill="1" applyAlignment="1">
      <alignment horizontal="left" vertical="center"/>
    </xf>
    <xf numFmtId="4" fontId="4" fillId="10" borderId="0" xfId="0" applyNumberFormat="1" applyFont="1" applyFill="1" applyBorder="1" applyAlignment="1" applyProtection="1">
      <alignment horizontal="center" vertical="center" wrapText="1"/>
      <protection hidden="1"/>
    </xf>
    <xf numFmtId="4" fontId="61" fillId="0" borderId="0" xfId="0" applyNumberFormat="1" applyFont="1" applyFill="1" applyBorder="1" applyAlignment="1" applyProtection="1">
      <alignment horizontal="center" vertical="center" wrapText="1"/>
      <protection hidden="1"/>
    </xf>
    <xf numFmtId="0" fontId="27" fillId="10" borderId="11" xfId="0" applyFont="1" applyFill="1" applyBorder="1" applyAlignment="1">
      <alignment horizontal="left"/>
    </xf>
    <xf numFmtId="0" fontId="4" fillId="0" borderId="2" xfId="0" applyNumberFormat="1" applyFont="1" applyFill="1" applyBorder="1" applyAlignment="1">
      <alignment horizontal="left" vertical="center" wrapText="1"/>
    </xf>
    <xf numFmtId="0" fontId="65" fillId="0" borderId="0" xfId="0" applyFont="1" applyBorder="1"/>
    <xf numFmtId="49" fontId="67" fillId="4" borderId="0" xfId="0" applyNumberFormat="1" applyFont="1" applyFill="1" applyBorder="1" applyAlignment="1">
      <alignment horizontal="left" vertical="center"/>
    </xf>
    <xf numFmtId="0" fontId="67" fillId="3" borderId="0" xfId="0" applyFont="1" applyFill="1" applyBorder="1" applyAlignment="1">
      <alignment horizontal="left" vertical="center"/>
    </xf>
    <xf numFmtId="0" fontId="8" fillId="3" borderId="0" xfId="0" applyFont="1" applyFill="1" applyBorder="1" applyAlignment="1">
      <alignment horizontal="left" vertical="center"/>
    </xf>
    <xf numFmtId="0" fontId="61" fillId="10" borderId="0" xfId="0" applyFont="1" applyFill="1" applyAlignment="1">
      <alignment vertical="center"/>
    </xf>
    <xf numFmtId="0" fontId="4" fillId="10" borderId="0" xfId="0" applyFont="1" applyFill="1"/>
    <xf numFmtId="0" fontId="10" fillId="0" borderId="3" xfId="0" applyFont="1" applyFill="1" applyBorder="1"/>
    <xf numFmtId="0" fontId="10" fillId="0" borderId="4" xfId="0" applyFont="1" applyFill="1" applyBorder="1"/>
    <xf numFmtId="0" fontId="72" fillId="13" borderId="0" xfId="0" applyFont="1" applyFill="1"/>
    <xf numFmtId="2" fontId="60" fillId="0" borderId="0" xfId="0" applyNumberFormat="1" applyFont="1" applyFill="1" applyAlignment="1">
      <alignment horizontal="center" vertical="center"/>
    </xf>
    <xf numFmtId="2" fontId="61" fillId="0" borderId="0" xfId="0" applyNumberFormat="1" applyFont="1" applyFill="1" applyAlignment="1">
      <alignment horizontal="center" vertical="center"/>
    </xf>
    <xf numFmtId="164" fontId="61" fillId="0" borderId="0" xfId="0" applyNumberFormat="1" applyFont="1" applyFill="1" applyAlignment="1">
      <alignment horizontal="left"/>
    </xf>
    <xf numFmtId="175" fontId="46" fillId="10" borderId="0" xfId="0" applyNumberFormat="1" applyFont="1" applyFill="1" applyAlignment="1">
      <alignment horizontal="center" vertical="center"/>
    </xf>
    <xf numFmtId="2" fontId="70" fillId="10" borderId="0" xfId="0" applyNumberFormat="1" applyFont="1" applyFill="1" applyAlignment="1">
      <alignment horizontal="center" vertical="center"/>
    </xf>
    <xf numFmtId="0" fontId="67" fillId="4" borderId="0" xfId="0" applyNumberFormat="1" applyFont="1" applyFill="1" applyBorder="1" applyAlignment="1" applyProtection="1">
      <alignment horizontal="left" vertical="center"/>
      <protection locked="0"/>
    </xf>
    <xf numFmtId="4" fontId="73" fillId="0" borderId="0" xfId="0" applyNumberFormat="1" applyFont="1" applyFill="1" applyBorder="1" applyAlignment="1">
      <alignment horizontal="center" vertical="center"/>
    </xf>
    <xf numFmtId="49" fontId="73" fillId="0" borderId="0" xfId="0" applyNumberFormat="1" applyFont="1" applyFill="1" applyAlignment="1">
      <alignment horizontal="center" vertical="center"/>
    </xf>
    <xf numFmtId="0" fontId="73" fillId="0" borderId="0" xfId="0" applyFont="1" applyFill="1" applyBorder="1" applyAlignment="1">
      <alignment horizontal="center" vertical="center" wrapText="1"/>
    </xf>
    <xf numFmtId="0" fontId="68" fillId="6" borderId="0" xfId="0" applyFont="1" applyFill="1" applyAlignment="1">
      <alignment vertical="center"/>
    </xf>
    <xf numFmtId="0" fontId="68" fillId="6" borderId="0"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15" xfId="0" applyFont="1" applyFill="1" applyBorder="1" applyAlignment="1">
      <alignment horizontal="left" vertical="center" wrapText="1"/>
    </xf>
    <xf numFmtId="0" fontId="74" fillId="12" borderId="11" xfId="0" applyFont="1" applyFill="1" applyBorder="1" applyAlignment="1">
      <alignment horizontal="left"/>
    </xf>
    <xf numFmtId="9" fontId="74" fillId="0" borderId="0" xfId="0" applyNumberFormat="1" applyFont="1" applyFill="1" applyBorder="1" applyAlignment="1">
      <alignment horizontal="center" vertical="center" wrapText="1"/>
    </xf>
    <xf numFmtId="0" fontId="74" fillId="12" borderId="0" xfId="0" applyFont="1" applyFill="1"/>
    <xf numFmtId="0" fontId="27" fillId="12" borderId="0" xfId="0" applyFont="1" applyFill="1"/>
    <xf numFmtId="49" fontId="73" fillId="0" borderId="0" xfId="0" applyNumberFormat="1" applyFont="1" applyFill="1" applyAlignment="1" applyProtection="1">
      <alignment horizontal="center" vertical="center"/>
      <protection locked="0"/>
    </xf>
    <xf numFmtId="0" fontId="4" fillId="12" borderId="0" xfId="0" applyFont="1" applyFill="1"/>
    <xf numFmtId="0" fontId="27" fillId="12" borderId="11" xfId="0" applyFont="1" applyFill="1" applyBorder="1" applyAlignment="1">
      <alignment horizontal="left"/>
    </xf>
    <xf numFmtId="175" fontId="75" fillId="0" borderId="0" xfId="0" applyNumberFormat="1" applyFont="1"/>
    <xf numFmtId="0" fontId="46" fillId="0" borderId="0" xfId="0" applyFont="1"/>
    <xf numFmtId="0" fontId="76" fillId="13" borderId="0" xfId="0" applyFont="1" applyFill="1"/>
    <xf numFmtId="175" fontId="46" fillId="10" borderId="0" xfId="0" applyNumberFormat="1" applyFont="1" applyFill="1" applyBorder="1"/>
    <xf numFmtId="0" fontId="46" fillId="0" borderId="0" xfId="0" applyFont="1" applyFill="1" applyBorder="1" applyAlignment="1">
      <alignment horizontal="center" vertical="center" wrapText="1"/>
    </xf>
    <xf numFmtId="1" fontId="58" fillId="0" borderId="0" xfId="0" applyNumberFormat="1" applyFont="1" applyFill="1" applyBorder="1" applyAlignment="1">
      <alignment horizontal="left" vertical="center" wrapText="1"/>
    </xf>
    <xf numFmtId="0" fontId="27" fillId="12" borderId="0" xfId="0" applyFont="1" applyFill="1" applyBorder="1" applyAlignment="1" applyProtection="1">
      <alignment horizontal="center" vertical="center" wrapText="1"/>
      <protection hidden="1"/>
    </xf>
    <xf numFmtId="2" fontId="8" fillId="8" borderId="0" xfId="0" applyNumberFormat="1" applyFont="1" applyFill="1" applyBorder="1" applyAlignment="1">
      <alignment horizontal="left"/>
    </xf>
    <xf numFmtId="0" fontId="8" fillId="8" borderId="0" xfId="0" applyFont="1" applyFill="1" applyBorder="1"/>
    <xf numFmtId="0" fontId="8" fillId="8" borderId="0" xfId="0" applyFont="1" applyFill="1" applyBorder="1" applyAlignment="1">
      <alignment horizontal="left"/>
    </xf>
    <xf numFmtId="0" fontId="8" fillId="8" borderId="0" xfId="0" applyFont="1" applyFill="1" applyBorder="1" applyProtection="1">
      <protection hidden="1"/>
    </xf>
    <xf numFmtId="0" fontId="8" fillId="8" borderId="0" xfId="0" applyFont="1" applyFill="1" applyProtection="1">
      <protection hidden="1"/>
    </xf>
    <xf numFmtId="0" fontId="10" fillId="0" borderId="5" xfId="0" applyFont="1" applyFill="1" applyBorder="1"/>
    <xf numFmtId="49" fontId="10" fillId="0" borderId="0" xfId="0" applyNumberFormat="1" applyFont="1" applyBorder="1"/>
    <xf numFmtId="0" fontId="65" fillId="3" borderId="0" xfId="0" applyFont="1" applyFill="1" applyBorder="1" applyAlignment="1">
      <alignment horizontal="center"/>
    </xf>
    <xf numFmtId="0" fontId="65" fillId="3" borderId="2" xfId="0" applyFont="1" applyFill="1" applyBorder="1" applyAlignment="1">
      <alignment horizontal="center"/>
    </xf>
    <xf numFmtId="169" fontId="65" fillId="3" borderId="2" xfId="0" applyNumberFormat="1" applyFont="1" applyFill="1" applyBorder="1" applyAlignment="1">
      <alignment horizontal="left"/>
    </xf>
    <xf numFmtId="0" fontId="8" fillId="14" borderId="9" xfId="0" applyNumberFormat="1" applyFont="1" applyFill="1" applyBorder="1" applyAlignment="1" applyProtection="1">
      <alignment horizontal="left" vertical="center"/>
      <protection hidden="1"/>
    </xf>
    <xf numFmtId="0" fontId="8" fillId="14" borderId="9" xfId="0" applyFont="1" applyFill="1" applyBorder="1" applyAlignment="1" applyProtection="1">
      <alignment horizontal="left" vertical="center"/>
      <protection hidden="1"/>
    </xf>
    <xf numFmtId="4" fontId="46" fillId="0" borderId="0" xfId="0" applyNumberFormat="1" applyFont="1" applyFill="1" applyBorder="1" applyAlignment="1" applyProtection="1">
      <alignment horizontal="center" vertical="center" wrapText="1"/>
      <protection hidden="1"/>
    </xf>
    <xf numFmtId="0" fontId="27" fillId="0" borderId="8" xfId="0" applyFont="1" applyFill="1" applyBorder="1"/>
    <xf numFmtId="0" fontId="65" fillId="5" borderId="2" xfId="0" applyFont="1" applyFill="1" applyBorder="1"/>
    <xf numFmtId="0" fontId="58" fillId="0" borderId="14" xfId="0" applyFont="1" applyFill="1" applyBorder="1"/>
    <xf numFmtId="0" fontId="58" fillId="0" borderId="15" xfId="0" applyFont="1" applyFill="1" applyBorder="1"/>
    <xf numFmtId="2" fontId="68" fillId="0" borderId="0" xfId="34" applyNumberFormat="1" applyFont="1" applyFill="1" applyBorder="1" applyAlignment="1">
      <alignment horizontal="center" vertical="center"/>
    </xf>
    <xf numFmtId="0" fontId="68" fillId="0" borderId="0" xfId="0" applyFont="1" applyFill="1" applyBorder="1" applyAlignment="1">
      <alignment horizontal="center" vertical="center"/>
    </xf>
    <xf numFmtId="0" fontId="68" fillId="0" borderId="0" xfId="0" applyFont="1" applyFill="1" applyBorder="1" applyAlignment="1">
      <alignment horizontal="left" vertical="center"/>
    </xf>
    <xf numFmtId="0" fontId="77" fillId="0" borderId="0" xfId="0" applyFont="1" applyFill="1"/>
    <xf numFmtId="4" fontId="61" fillId="0" borderId="0" xfId="0" applyNumberFormat="1" applyFont="1" applyFill="1" applyBorder="1" applyAlignment="1">
      <alignment horizontal="center" vertical="center" wrapText="1"/>
    </xf>
    <xf numFmtId="4" fontId="61" fillId="0" borderId="2" xfId="0" applyNumberFormat="1" applyFont="1" applyFill="1" applyBorder="1" applyAlignment="1">
      <alignment horizontal="center" vertical="center" wrapText="1"/>
    </xf>
    <xf numFmtId="0" fontId="1" fillId="8" borderId="0" xfId="0" applyFont="1" applyFill="1" applyBorder="1" applyAlignment="1" applyProtection="1">
      <protection hidden="1"/>
    </xf>
    <xf numFmtId="0" fontId="4" fillId="8" borderId="0" xfId="0" applyFont="1" applyFill="1" applyBorder="1" applyAlignment="1" applyProtection="1">
      <protection hidden="1"/>
    </xf>
    <xf numFmtId="0" fontId="42" fillId="8" borderId="0" xfId="0" applyFont="1" applyFill="1" applyBorder="1" applyAlignment="1" applyProtection="1">
      <protection hidden="1"/>
    </xf>
    <xf numFmtId="0" fontId="43" fillId="8" borderId="0" xfId="0" applyNumberFormat="1" applyFont="1" applyFill="1" applyBorder="1" applyAlignment="1" applyProtection="1">
      <protection hidden="1"/>
    </xf>
    <xf numFmtId="0" fontId="65" fillId="17" borderId="0" xfId="0" applyFont="1" applyFill="1" applyAlignment="1">
      <alignment horizontal="center"/>
    </xf>
    <xf numFmtId="0" fontId="67" fillId="17" borderId="0" xfId="0" applyFont="1" applyFill="1" applyBorder="1" applyAlignment="1">
      <alignment horizontal="left" vertical="center"/>
    </xf>
    <xf numFmtId="0" fontId="8" fillId="17" borderId="0" xfId="0" applyFont="1" applyFill="1" applyBorder="1" applyAlignment="1" applyProtection="1">
      <alignment horizontal="center" vertical="center"/>
      <protection hidden="1"/>
    </xf>
    <xf numFmtId="0" fontId="8" fillId="17" borderId="0" xfId="0" applyFont="1" applyFill="1" applyBorder="1" applyAlignment="1" applyProtection="1">
      <alignment horizontal="left" vertical="center"/>
      <protection hidden="1"/>
    </xf>
    <xf numFmtId="0" fontId="67" fillId="17" borderId="0" xfId="0" applyFont="1" applyFill="1" applyBorder="1" applyAlignment="1" applyProtection="1">
      <alignment horizontal="center" vertical="center"/>
      <protection hidden="1"/>
    </xf>
    <xf numFmtId="0" fontId="8" fillId="16" borderId="0" xfId="0" applyFont="1" applyFill="1" applyBorder="1" applyAlignment="1" applyProtection="1">
      <alignment horizontal="center" vertical="center"/>
      <protection hidden="1"/>
    </xf>
    <xf numFmtId="0" fontId="8" fillId="16" borderId="0" xfId="0" applyFont="1" applyFill="1" applyBorder="1" applyAlignment="1" applyProtection="1">
      <alignment horizontal="left" vertical="center"/>
      <protection hidden="1"/>
    </xf>
    <xf numFmtId="0" fontId="67" fillId="17" borderId="0" xfId="0" applyFont="1" applyFill="1" applyBorder="1" applyAlignment="1" applyProtection="1">
      <alignment vertical="center"/>
      <protection hidden="1"/>
    </xf>
    <xf numFmtId="0" fontId="11" fillId="17" borderId="0" xfId="0" applyFont="1" applyFill="1" applyBorder="1" applyAlignment="1">
      <alignment horizontal="center"/>
    </xf>
    <xf numFmtId="169" fontId="65" fillId="17" borderId="0" xfId="0" applyNumberFormat="1" applyFont="1" applyFill="1" applyBorder="1" applyAlignment="1">
      <alignment horizontal="left"/>
    </xf>
    <xf numFmtId="0" fontId="10" fillId="17" borderId="0" xfId="0" applyFont="1" applyFill="1" applyBorder="1" applyAlignment="1">
      <alignment horizontal="center"/>
    </xf>
    <xf numFmtId="169" fontId="10" fillId="17" borderId="0" xfId="0" applyNumberFormat="1" applyFont="1" applyFill="1" applyBorder="1" applyAlignment="1">
      <alignment horizontal="left"/>
    </xf>
    <xf numFmtId="0" fontId="67" fillId="17" borderId="0" xfId="0" applyFont="1" applyFill="1" applyAlignment="1">
      <alignment horizontal="left" vertical="center"/>
    </xf>
    <xf numFmtId="2" fontId="30" fillId="17" borderId="11" xfId="0" applyNumberFormat="1" applyFont="1" applyFill="1" applyBorder="1" applyAlignment="1">
      <alignment horizontal="left"/>
    </xf>
    <xf numFmtId="9" fontId="27" fillId="17" borderId="0" xfId="34" applyNumberFormat="1" applyFont="1" applyFill="1" applyBorder="1" applyAlignment="1">
      <alignment horizontal="center" textRotation="90" wrapText="1"/>
    </xf>
    <xf numFmtId="2" fontId="27" fillId="17" borderId="0" xfId="34" applyNumberFormat="1" applyFont="1" applyFill="1" applyBorder="1" applyAlignment="1">
      <alignment horizontal="center" vertical="center"/>
    </xf>
    <xf numFmtId="2" fontId="30" fillId="17" borderId="0" xfId="0" applyNumberFormat="1" applyFont="1" applyFill="1" applyBorder="1" applyAlignment="1">
      <alignment horizontal="center" vertical="center"/>
    </xf>
    <xf numFmtId="197" fontId="4" fillId="0" borderId="0" xfId="0" applyNumberFormat="1" applyFont="1" applyFill="1"/>
    <xf numFmtId="197" fontId="4" fillId="17" borderId="0" xfId="0" applyNumberFormat="1" applyFont="1" applyFill="1"/>
    <xf numFmtId="0" fontId="78" fillId="0" borderId="0" xfId="0" applyFont="1" applyFill="1" applyBorder="1" applyAlignment="1">
      <alignment horizontal="center" vertical="center" wrapText="1"/>
    </xf>
    <xf numFmtId="0" fontId="78" fillId="0" borderId="0" xfId="0" applyFont="1" applyFill="1"/>
    <xf numFmtId="197" fontId="78" fillId="0" borderId="0" xfId="0" applyNumberFormat="1" applyFont="1" applyFill="1"/>
    <xf numFmtId="0" fontId="27" fillId="0" borderId="6" xfId="0" applyFont="1" applyFill="1" applyBorder="1"/>
    <xf numFmtId="0" fontId="27" fillId="0" borderId="7" xfId="0" applyFont="1" applyFill="1" applyBorder="1" applyAlignment="1">
      <alignment horizontal="left"/>
    </xf>
    <xf numFmtId="0" fontId="27" fillId="0" borderId="14" xfId="0" applyFont="1" applyFill="1" applyBorder="1" applyAlignment="1">
      <alignment horizontal="left"/>
    </xf>
    <xf numFmtId="0" fontId="61" fillId="0" borderId="0" xfId="0" applyFont="1"/>
    <xf numFmtId="4" fontId="27" fillId="0" borderId="6" xfId="0" applyNumberFormat="1" applyFont="1" applyFill="1" applyBorder="1" applyAlignment="1">
      <alignment horizontal="center" vertical="center"/>
    </xf>
    <xf numFmtId="4" fontId="27" fillId="0" borderId="1" xfId="0" applyNumberFormat="1" applyFont="1" applyFill="1" applyBorder="1" applyAlignment="1">
      <alignment horizontal="center" vertical="center"/>
    </xf>
    <xf numFmtId="4" fontId="27" fillId="0" borderId="13" xfId="0" applyNumberFormat="1" applyFont="1" applyFill="1" applyBorder="1" applyAlignment="1">
      <alignment horizontal="center" vertical="center"/>
    </xf>
    <xf numFmtId="4" fontId="27" fillId="0" borderId="7" xfId="0" applyNumberFormat="1" applyFont="1" applyFill="1" applyBorder="1" applyAlignment="1">
      <alignment horizontal="center" vertical="center"/>
    </xf>
    <xf numFmtId="4" fontId="27" fillId="0" borderId="14" xfId="0" applyNumberFormat="1" applyFont="1" applyFill="1" applyBorder="1" applyAlignment="1">
      <alignment horizontal="center" vertical="center"/>
    </xf>
    <xf numFmtId="4" fontId="27" fillId="0" borderId="8" xfId="0" applyNumberFormat="1" applyFont="1" applyFill="1" applyBorder="1" applyAlignment="1">
      <alignment horizontal="center" vertical="center"/>
    </xf>
    <xf numFmtId="4" fontId="27" fillId="0" borderId="2" xfId="0" applyNumberFormat="1" applyFont="1" applyFill="1" applyBorder="1" applyAlignment="1">
      <alignment horizontal="center" vertical="center"/>
    </xf>
    <xf numFmtId="4" fontId="27" fillId="0" borderId="15" xfId="0" applyNumberFormat="1" applyFont="1" applyFill="1" applyBorder="1" applyAlignment="1">
      <alignment horizontal="center" vertical="center"/>
    </xf>
    <xf numFmtId="0" fontId="77" fillId="0" borderId="16" xfId="0" applyFont="1" applyFill="1" applyBorder="1" applyAlignment="1">
      <alignment horizontal="center" vertical="center"/>
    </xf>
    <xf numFmtId="0" fontId="77" fillId="0" borderId="16" xfId="0" applyFont="1" applyFill="1" applyBorder="1"/>
    <xf numFmtId="0" fontId="27" fillId="0" borderId="16" xfId="0" applyFont="1" applyFill="1" applyBorder="1"/>
    <xf numFmtId="0" fontId="27" fillId="0" borderId="12" xfId="0" applyFont="1" applyFill="1" applyBorder="1"/>
    <xf numFmtId="0" fontId="59" fillId="0" borderId="6" xfId="0" applyFont="1" applyFill="1" applyBorder="1" applyAlignment="1">
      <alignment horizontal="left"/>
    </xf>
    <xf numFmtId="0" fontId="68" fillId="0" borderId="1" xfId="0" applyFont="1" applyFill="1" applyBorder="1"/>
    <xf numFmtId="0" fontId="59" fillId="0" borderId="1" xfId="0" applyFont="1" applyFill="1" applyBorder="1"/>
    <xf numFmtId="165" fontId="79" fillId="0" borderId="13" xfId="0" applyNumberFormat="1" applyFont="1" applyFill="1" applyBorder="1" applyAlignment="1">
      <alignment horizontal="center" vertical="center"/>
    </xf>
    <xf numFmtId="0" fontId="27" fillId="17" borderId="14" xfId="0" applyFont="1" applyFill="1" applyBorder="1" applyAlignment="1">
      <alignment horizontal="left" vertical="center"/>
    </xf>
    <xf numFmtId="0" fontId="30" fillId="17" borderId="12" xfId="0" applyFont="1" applyFill="1" applyBorder="1" applyAlignment="1">
      <alignment horizontal="left"/>
    </xf>
    <xf numFmtId="4" fontId="77" fillId="17" borderId="0" xfId="0" applyNumberFormat="1" applyFont="1" applyFill="1" applyBorder="1" applyAlignment="1">
      <alignment horizontal="center" vertical="center"/>
    </xf>
    <xf numFmtId="2" fontId="77" fillId="17" borderId="0" xfId="34" applyNumberFormat="1" applyFont="1" applyFill="1" applyBorder="1" applyAlignment="1">
      <alignment horizontal="center" vertical="center"/>
    </xf>
    <xf numFmtId="2" fontId="68" fillId="17" borderId="0" xfId="34" applyNumberFormat="1" applyFont="1" applyFill="1" applyBorder="1" applyAlignment="1">
      <alignment horizontal="center" vertical="center"/>
    </xf>
    <xf numFmtId="0" fontId="77" fillId="17" borderId="0" xfId="0" applyFont="1" applyFill="1" applyAlignment="1">
      <alignment horizontal="center"/>
    </xf>
    <xf numFmtId="0" fontId="67" fillId="3" borderId="10" xfId="0" applyFont="1" applyFill="1" applyBorder="1" applyAlignment="1" applyProtection="1">
      <alignment vertical="center"/>
      <protection hidden="1"/>
    </xf>
    <xf numFmtId="0" fontId="67" fillId="3" borderId="11" xfId="0" applyFont="1" applyFill="1" applyBorder="1" applyAlignment="1" applyProtection="1">
      <alignment vertical="center"/>
      <protection hidden="1"/>
    </xf>
    <xf numFmtId="0" fontId="67" fillId="3" borderId="12" xfId="0" applyFont="1" applyFill="1" applyBorder="1" applyAlignment="1" applyProtection="1">
      <alignment vertical="center"/>
      <protection hidden="1"/>
    </xf>
    <xf numFmtId="165" fontId="67" fillId="4" borderId="10" xfId="0" applyNumberFormat="1" applyFont="1" applyFill="1" applyBorder="1" applyAlignment="1" applyProtection="1">
      <alignment vertical="center"/>
      <protection hidden="1"/>
    </xf>
    <xf numFmtId="165" fontId="67" fillId="4" borderId="11" xfId="0" applyNumberFormat="1" applyFont="1" applyFill="1" applyBorder="1" applyAlignment="1" applyProtection="1">
      <alignment vertical="center"/>
      <protection hidden="1"/>
    </xf>
    <xf numFmtId="165" fontId="67" fillId="4" borderId="12" xfId="0" applyNumberFormat="1" applyFont="1" applyFill="1" applyBorder="1" applyAlignment="1" applyProtection="1">
      <alignment vertical="center"/>
      <protection hidden="1"/>
    </xf>
    <xf numFmtId="0" fontId="67" fillId="4" borderId="10" xfId="0" applyFont="1" applyFill="1" applyBorder="1" applyAlignment="1" applyProtection="1">
      <alignment vertical="center"/>
      <protection hidden="1"/>
    </xf>
    <xf numFmtId="0" fontId="80" fillId="4" borderId="0" xfId="0" applyFont="1" applyFill="1" applyBorder="1" applyAlignment="1" applyProtection="1">
      <alignment horizontal="center" vertical="center"/>
      <protection hidden="1"/>
    </xf>
    <xf numFmtId="0" fontId="80" fillId="4" borderId="0" xfId="0" applyFont="1" applyFill="1" applyBorder="1" applyAlignment="1" applyProtection="1">
      <alignment vertical="center"/>
      <protection hidden="1"/>
    </xf>
    <xf numFmtId="0" fontId="81" fillId="0" borderId="0" xfId="0" applyFont="1" applyFill="1"/>
    <xf numFmtId="169" fontId="82" fillId="4" borderId="0" xfId="0" applyNumberFormat="1" applyFont="1" applyFill="1" applyBorder="1" applyAlignment="1">
      <alignment horizontal="left"/>
    </xf>
    <xf numFmtId="0" fontId="80" fillId="3" borderId="0" xfId="0" applyFont="1" applyFill="1" applyBorder="1" applyAlignment="1" applyProtection="1">
      <alignment horizontal="center" vertical="center"/>
      <protection hidden="1"/>
    </xf>
    <xf numFmtId="169" fontId="82" fillId="3" borderId="2" xfId="0" applyNumberFormat="1" applyFont="1" applyFill="1" applyBorder="1" applyAlignment="1">
      <alignment horizontal="left"/>
    </xf>
    <xf numFmtId="169" fontId="82" fillId="3" borderId="0" xfId="0" applyNumberFormat="1" applyFont="1" applyFill="1" applyBorder="1" applyAlignment="1">
      <alignment horizontal="left"/>
    </xf>
    <xf numFmtId="0" fontId="82" fillId="0" borderId="0" xfId="0" applyFont="1"/>
    <xf numFmtId="4" fontId="66" fillId="0" borderId="0" xfId="0" applyNumberFormat="1" applyFont="1" applyFill="1" applyBorder="1" applyAlignment="1">
      <alignment horizontal="center" vertical="center"/>
    </xf>
    <xf numFmtId="49" fontId="66" fillId="0" borderId="0" xfId="0" applyNumberFormat="1" applyFont="1" applyFill="1" applyAlignment="1">
      <alignment horizontal="center" vertical="center"/>
    </xf>
    <xf numFmtId="4" fontId="66" fillId="0" borderId="0" xfId="0" applyNumberFormat="1" applyFont="1" applyFill="1"/>
    <xf numFmtId="0" fontId="83" fillId="0" borderId="0" xfId="0" applyFont="1" applyFill="1" applyBorder="1" applyAlignment="1">
      <alignment horizontal="left" vertical="center" wrapText="1"/>
    </xf>
    <xf numFmtId="0" fontId="83" fillId="0" borderId="0" xfId="0" applyFont="1" applyFill="1" applyAlignment="1">
      <alignment horizontal="center"/>
    </xf>
    <xf numFmtId="0" fontId="83" fillId="0" borderId="0" xfId="0" applyFont="1" applyFill="1" applyAlignment="1">
      <alignment horizontal="center" vertical="center"/>
    </xf>
    <xf numFmtId="4" fontId="4" fillId="12" borderId="0" xfId="0" applyNumberFormat="1" applyFont="1" applyFill="1"/>
    <xf numFmtId="0" fontId="83" fillId="0" borderId="0" xfId="0" applyFont="1" applyFill="1" applyBorder="1" applyAlignment="1" applyProtection="1">
      <alignment horizontal="center" vertical="center"/>
      <protection hidden="1"/>
    </xf>
    <xf numFmtId="0" fontId="85" fillId="20" borderId="0" xfId="0" applyFont="1" applyFill="1" applyAlignment="1" applyProtection="1">
      <alignment horizontal="left" vertical="center"/>
    </xf>
    <xf numFmtId="0" fontId="85" fillId="20" borderId="0" xfId="0" applyFont="1" applyFill="1" applyAlignment="1" applyProtection="1">
      <alignment horizontal="left" vertical="center"/>
      <protection hidden="1"/>
    </xf>
    <xf numFmtId="0" fontId="86" fillId="18" borderId="0" xfId="0" applyFont="1" applyFill="1" applyAlignment="1">
      <alignment horizontal="left" vertical="center"/>
    </xf>
    <xf numFmtId="0" fontId="1" fillId="18" borderId="0" xfId="0" applyFont="1" applyFill="1" applyAlignment="1">
      <alignment vertical="center"/>
    </xf>
    <xf numFmtId="0" fontId="43" fillId="2" borderId="0" xfId="0" applyFont="1" applyFill="1" applyAlignment="1" applyProtection="1">
      <alignment horizontal="center" vertical="center"/>
      <protection hidden="1"/>
    </xf>
    <xf numFmtId="0" fontId="76" fillId="19" borderId="0" xfId="0" applyFont="1" applyFill="1" applyAlignment="1" applyProtection="1">
      <alignment horizontal="center" vertical="center"/>
      <protection hidden="1"/>
    </xf>
    <xf numFmtId="0" fontId="76" fillId="19" borderId="0" xfId="0" applyFont="1" applyFill="1" applyAlignment="1" applyProtection="1">
      <alignment horizontal="right" vertical="center"/>
      <protection hidden="1"/>
    </xf>
    <xf numFmtId="0" fontId="76" fillId="19" borderId="0" xfId="0" applyFont="1" applyFill="1" applyAlignment="1" applyProtection="1">
      <alignment horizontal="left" vertical="center"/>
      <protection hidden="1"/>
    </xf>
    <xf numFmtId="0" fontId="16" fillId="18" borderId="0" xfId="0" applyFont="1" applyFill="1" applyAlignment="1" applyProtection="1">
      <alignment horizontal="center" vertical="center"/>
      <protection hidden="1"/>
    </xf>
    <xf numFmtId="0" fontId="16" fillId="18" borderId="0" xfId="0" applyFont="1" applyFill="1" applyAlignment="1" applyProtection="1">
      <alignment horizontal="left" vertical="center"/>
      <protection hidden="1"/>
    </xf>
    <xf numFmtId="0" fontId="55" fillId="8" borderId="0" xfId="0" applyFont="1" applyFill="1" applyBorder="1" applyAlignment="1" applyProtection="1">
      <alignment horizontal="center" textRotation="90" wrapText="1"/>
      <protection hidden="1"/>
    </xf>
    <xf numFmtId="0" fontId="84" fillId="0" borderId="0" xfId="0" applyFont="1" applyAlignment="1">
      <alignment textRotation="90" wrapText="1"/>
    </xf>
    <xf numFmtId="0" fontId="0" fillId="0" borderId="0" xfId="0" applyAlignment="1">
      <alignment horizontal="center" textRotation="90" wrapText="1"/>
    </xf>
    <xf numFmtId="0" fontId="84" fillId="0" borderId="0" xfId="0" applyFont="1" applyAlignment="1">
      <alignment horizontal="center" textRotation="90" wrapText="1"/>
    </xf>
    <xf numFmtId="0" fontId="16" fillId="18" borderId="0" xfId="0" applyFont="1" applyFill="1" applyAlignment="1" applyProtection="1">
      <alignment horizontal="right" vertical="center"/>
      <protection hidden="1"/>
    </xf>
    <xf numFmtId="0" fontId="55" fillId="2" borderId="0" xfId="0" applyFont="1" applyFill="1" applyAlignment="1" applyProtection="1">
      <alignment horizontal="justify" vertical="center" wrapText="1"/>
      <protection hidden="1"/>
    </xf>
    <xf numFmtId="0" fontId="27" fillId="0" borderId="0" xfId="0" applyFont="1" applyAlignment="1">
      <alignment vertical="center"/>
    </xf>
    <xf numFmtId="0" fontId="15" fillId="2" borderId="0" xfId="0" applyFont="1" applyFill="1" applyAlignment="1" applyProtection="1">
      <protection hidden="1"/>
    </xf>
    <xf numFmtId="0" fontId="5" fillId="2" borderId="0" xfId="0" applyFont="1" applyFill="1" applyAlignment="1" applyProtection="1">
      <protection hidden="1"/>
    </xf>
    <xf numFmtId="0" fontId="14" fillId="2" borderId="0" xfId="0" applyFont="1" applyFill="1" applyAlignment="1" applyProtection="1">
      <alignment vertical="top"/>
      <protection hidden="1"/>
    </xf>
    <xf numFmtId="0" fontId="0" fillId="0" borderId="0" xfId="0" applyAlignment="1"/>
    <xf numFmtId="0" fontId="4" fillId="2" borderId="0" xfId="0" applyFont="1" applyFill="1" applyAlignment="1" applyProtection="1">
      <alignment horizontal="justify" vertical="top" wrapText="1"/>
      <protection hidden="1"/>
    </xf>
    <xf numFmtId="0" fontId="3" fillId="0" borderId="0" xfId="0" applyFont="1" applyAlignment="1">
      <alignment wrapText="1"/>
    </xf>
    <xf numFmtId="0" fontId="0" fillId="0" borderId="0" xfId="0" applyAlignment="1">
      <alignment wrapText="1"/>
    </xf>
    <xf numFmtId="0" fontId="14" fillId="2" borderId="0" xfId="0" applyFont="1" applyFill="1" applyAlignment="1" applyProtection="1">
      <alignment horizontal="justify" vertical="center" wrapText="1"/>
      <protection hidden="1"/>
    </xf>
    <xf numFmtId="0" fontId="0" fillId="0" borderId="0" xfId="0" applyAlignment="1">
      <alignment vertical="center" wrapText="1"/>
    </xf>
    <xf numFmtId="0" fontId="61" fillId="2" borderId="0" xfId="0" applyFont="1" applyFill="1" applyAlignment="1" applyProtection="1">
      <alignment horizontal="justify" vertical="top" wrapText="1"/>
      <protection hidden="1"/>
    </xf>
    <xf numFmtId="0" fontId="87" fillId="0" borderId="0" xfId="0" applyFont="1" applyAlignment="1">
      <alignment wrapText="1"/>
    </xf>
    <xf numFmtId="0" fontId="88" fillId="0" borderId="0" xfId="0" applyFont="1" applyAlignment="1">
      <alignment wrapText="1"/>
    </xf>
    <xf numFmtId="0" fontId="14" fillId="2" borderId="0" xfId="0" applyFont="1" applyFill="1" applyAlignment="1" applyProtection="1">
      <alignment vertical="top" wrapText="1"/>
      <protection hidden="1"/>
    </xf>
    <xf numFmtId="0" fontId="27" fillId="0" borderId="11" xfId="0" applyFont="1" applyFill="1" applyBorder="1" applyAlignment="1" applyProtection="1">
      <alignment horizontal="right" vertical="center"/>
      <protection hidden="1"/>
    </xf>
    <xf numFmtId="0" fontId="27" fillId="0" borderId="12" xfId="0" applyFont="1" applyFill="1" applyBorder="1" applyAlignment="1" applyProtection="1">
      <alignment horizontal="right" vertical="center"/>
      <protection hidden="1"/>
    </xf>
    <xf numFmtId="0" fontId="26" fillId="0" borderId="10" xfId="0" applyFont="1" applyFill="1" applyBorder="1" applyAlignment="1" applyProtection="1">
      <alignment horizontal="left" vertical="center"/>
      <protection hidden="1"/>
    </xf>
    <xf numFmtId="0" fontId="26" fillId="0" borderId="11" xfId="0" applyFont="1" applyFill="1" applyBorder="1" applyAlignment="1" applyProtection="1">
      <alignment horizontal="left" vertical="center"/>
      <protection hidden="1"/>
    </xf>
    <xf numFmtId="0" fontId="26" fillId="0" borderId="11" xfId="0" applyFont="1" applyFill="1" applyBorder="1" applyAlignment="1">
      <alignment horizontal="left" vertical="center"/>
    </xf>
    <xf numFmtId="0" fontId="27" fillId="0" borderId="0" xfId="0" applyFont="1" applyFill="1" applyAlignment="1" applyProtection="1">
      <alignment wrapText="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justify" vertical="center" wrapText="1"/>
      <protection hidden="1"/>
    </xf>
    <xf numFmtId="0" fontId="27" fillId="0" borderId="10" xfId="0" applyFont="1" applyFill="1" applyBorder="1" applyAlignment="1" applyProtection="1">
      <alignment horizontal="left" vertical="center"/>
      <protection hidden="1"/>
    </xf>
    <xf numFmtId="0" fontId="27" fillId="0" borderId="11" xfId="0" applyFont="1" applyFill="1" applyBorder="1" applyAlignment="1" applyProtection="1">
      <alignment horizontal="left" vertical="center"/>
      <protection hidden="1"/>
    </xf>
    <xf numFmtId="0" fontId="27" fillId="0" borderId="0" xfId="0" applyFont="1" applyFill="1" applyBorder="1" applyAlignment="1" applyProtection="1">
      <alignment horizontal="center" textRotation="90" wrapText="1"/>
      <protection hidden="1"/>
    </xf>
    <xf numFmtId="0" fontId="26" fillId="0" borderId="0" xfId="0" applyFont="1" applyFill="1" applyAlignment="1">
      <alignment textRotation="90" wrapText="1"/>
    </xf>
    <xf numFmtId="0" fontId="27" fillId="0" borderId="11" xfId="0" applyFont="1" applyFill="1" applyBorder="1" applyAlignment="1" applyProtection="1">
      <alignment horizontal="center" vertical="center"/>
      <protection hidden="1"/>
    </xf>
    <xf numFmtId="0" fontId="27" fillId="0" borderId="1" xfId="0" applyFont="1" applyFill="1" applyBorder="1" applyAlignment="1" applyProtection="1">
      <alignment horizontal="center" textRotation="90" wrapText="1"/>
      <protection hidden="1"/>
    </xf>
    <xf numFmtId="0" fontId="26" fillId="0" borderId="1" xfId="0" applyFont="1" applyBorder="1" applyAlignment="1">
      <alignment textRotation="90" wrapText="1"/>
    </xf>
    <xf numFmtId="0" fontId="26" fillId="0" borderId="0" xfId="0" applyFont="1" applyAlignment="1">
      <alignment textRotation="90" wrapText="1"/>
    </xf>
    <xf numFmtId="0" fontId="27" fillId="0" borderId="1" xfId="34" applyNumberFormat="1" applyFont="1" applyFill="1" applyBorder="1" applyAlignment="1" applyProtection="1">
      <alignment horizontal="center" textRotation="90" wrapText="1"/>
      <protection hidden="1"/>
    </xf>
    <xf numFmtId="0" fontId="26" fillId="0" borderId="1" xfId="0" applyFont="1" applyBorder="1" applyAlignment="1">
      <alignment wrapText="1"/>
    </xf>
    <xf numFmtId="0" fontId="26" fillId="0" borderId="0" xfId="0" applyFont="1" applyFill="1" applyAlignment="1">
      <alignment wrapText="1"/>
    </xf>
    <xf numFmtId="0" fontId="26" fillId="0" borderId="0" xfId="0" applyFont="1" applyAlignment="1">
      <alignment wrapText="1"/>
    </xf>
    <xf numFmtId="0" fontId="68" fillId="0" borderId="0" xfId="34" applyNumberFormat="1" applyFont="1" applyFill="1" applyBorder="1" applyAlignment="1">
      <alignment horizontal="center" textRotation="90" wrapText="1"/>
    </xf>
    <xf numFmtId="0" fontId="89" fillId="0" borderId="0" xfId="0" applyFont="1" applyFill="1" applyAlignment="1">
      <alignment wrapText="1"/>
    </xf>
    <xf numFmtId="0" fontId="27" fillId="0" borderId="0" xfId="34" applyNumberFormat="1" applyFont="1" applyFill="1" applyBorder="1" applyAlignment="1" applyProtection="1">
      <alignment horizontal="center" textRotation="90" wrapText="1"/>
      <protection hidden="1"/>
    </xf>
    <xf numFmtId="0" fontId="26" fillId="0" borderId="0" xfId="0" applyFont="1" applyFill="1" applyBorder="1" applyAlignment="1">
      <alignment wrapText="1"/>
    </xf>
    <xf numFmtId="0" fontId="26" fillId="0" borderId="1" xfId="0" applyFont="1" applyBorder="1" applyAlignment="1"/>
    <xf numFmtId="0" fontId="26" fillId="0" borderId="0" xfId="0" applyFont="1" applyAlignment="1"/>
    <xf numFmtId="49" fontId="27" fillId="0" borderId="0" xfId="34" applyNumberFormat="1" applyFont="1" applyFill="1" applyBorder="1" applyAlignment="1">
      <alignment horizontal="center" textRotation="90" wrapText="1"/>
    </xf>
    <xf numFmtId="0" fontId="58" fillId="0" borderId="0" xfId="34" applyNumberFormat="1" applyFont="1" applyFill="1" applyBorder="1" applyAlignment="1">
      <alignment horizontal="center" textRotation="90" wrapText="1"/>
    </xf>
    <xf numFmtId="0" fontId="90" fillId="0" borderId="0" xfId="0" applyFont="1" applyFill="1" applyAlignment="1">
      <alignment wrapText="1"/>
    </xf>
    <xf numFmtId="0" fontId="27" fillId="0" borderId="0" xfId="34" applyNumberFormat="1" applyFont="1" applyFill="1" applyBorder="1" applyAlignment="1">
      <alignment horizontal="center" textRotation="90" wrapText="1"/>
    </xf>
    <xf numFmtId="0" fontId="26" fillId="0" borderId="0" xfId="0" applyNumberFormat="1" applyFont="1" applyFill="1" applyAlignment="1">
      <alignment wrapText="1"/>
    </xf>
    <xf numFmtId="0" fontId="0" fillId="0" borderId="0" xfId="0" applyAlignment="1">
      <alignment textRotation="90" wrapText="1"/>
    </xf>
    <xf numFmtId="0" fontId="27" fillId="0" borderId="0" xfId="0" applyFont="1" applyFill="1" applyAlignment="1" applyProtection="1">
      <alignment horizontal="right" vertical="center"/>
      <protection hidden="1"/>
    </xf>
    <xf numFmtId="0" fontId="27" fillId="0" borderId="0" xfId="0" applyFont="1" applyFill="1" applyAlignment="1" applyProtection="1">
      <alignment horizontal="left" vertical="center"/>
      <protection hidden="1"/>
    </xf>
    <xf numFmtId="0" fontId="68" fillId="0" borderId="0" xfId="0" applyFont="1" applyFill="1" applyAlignment="1" applyProtection="1">
      <alignment horizontal="right" vertical="center"/>
      <protection hidden="1"/>
    </xf>
    <xf numFmtId="0" fontId="27" fillId="17" borderId="0" xfId="34" applyNumberFormat="1" applyFont="1" applyFill="1" applyBorder="1" applyAlignment="1" applyProtection="1">
      <alignment horizontal="center" textRotation="90" wrapText="1"/>
      <protection hidden="1"/>
    </xf>
    <xf numFmtId="0" fontId="26" fillId="17" borderId="0" xfId="0" applyFont="1" applyFill="1" applyAlignment="1">
      <alignment wrapText="1"/>
    </xf>
  </cellXfs>
  <cellStyles count="35">
    <cellStyle name="0mitP" xfId="1"/>
    <cellStyle name="0ohneP" xfId="2"/>
    <cellStyle name="10mitP" xfId="3"/>
    <cellStyle name="12mitP" xfId="4"/>
    <cellStyle name="12ohneP" xfId="5"/>
    <cellStyle name="13mitP" xfId="6"/>
    <cellStyle name="1mitP" xfId="7"/>
    <cellStyle name="1ohneP" xfId="8"/>
    <cellStyle name="2mitP" xfId="9"/>
    <cellStyle name="2ohneP" xfId="10"/>
    <cellStyle name="3mitP" xfId="11"/>
    <cellStyle name="3ohneP" xfId="12"/>
    <cellStyle name="4mitP" xfId="13"/>
    <cellStyle name="4ohneP" xfId="14"/>
    <cellStyle name="6mitP" xfId="15"/>
    <cellStyle name="6ohneP" xfId="16"/>
    <cellStyle name="7mitP" xfId="17"/>
    <cellStyle name="9mitP" xfId="18"/>
    <cellStyle name="9ohneP" xfId="19"/>
    <cellStyle name="Fuss" xfId="20"/>
    <cellStyle name="Grundvergütung der Lebensaltersstufe" xfId="21"/>
    <cellStyle name="Gut" xfId="22" builtinId="26"/>
    <cellStyle name="Link" xfId="23" builtinId="8"/>
    <cellStyle name="mitP" xfId="24"/>
    <cellStyle name="ohneP" xfId="25"/>
    <cellStyle name="Standard" xfId="0" builtinId="0"/>
    <cellStyle name="Standard 2" xfId="26"/>
    <cellStyle name="Standard 2 2" xfId="27"/>
    <cellStyle name="Standard 2 2 2" xfId="28"/>
    <cellStyle name="Standard 3" xfId="29"/>
    <cellStyle name="Standard 4" xfId="30"/>
    <cellStyle name="Standard 5" xfId="31"/>
    <cellStyle name="Standard 6" xfId="32"/>
    <cellStyle name="Standard 7" xfId="33"/>
    <cellStyle name="Standard_TVöD TV-L Tabellen 4_01_2007" xfId="34"/>
  </cellStyles>
  <dxfs count="2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b/>
        <i val="0"/>
        <color rgb="FFC2006A"/>
      </font>
    </dxf>
    <dxf>
      <font>
        <color rgb="FFC2006A"/>
      </font>
    </dxf>
    <dxf>
      <font>
        <b/>
        <i val="0"/>
        <color rgb="FFC2006A"/>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Drop" dropLines="10" dropStyle="combo" dx="22" fmlaLink="B4" fmlaRange="$B$20:$B$29" sel="1" val="0"/>
</file>

<file path=xl/ctrlProps/ctrlProp10.xml><?xml version="1.0" encoding="utf-8"?>
<formControlPr xmlns="http://schemas.microsoft.com/office/spreadsheetml/2009/9/main" objectType="Drop" dropLines="2" dropStyle="combo" dx="22" fmlaLink="$CA$35" fmlaRange="$BZ$35:$BZ$36" sel="1" val="0"/>
</file>

<file path=xl/ctrlProps/ctrlProp11.xml><?xml version="1.0" encoding="utf-8"?>
<formControlPr xmlns="http://schemas.microsoft.com/office/spreadsheetml/2009/9/main" objectType="Drop" dropLines="2" dropStyle="combo" dx="22" fmlaLink="$BC$22" fmlaRange="$BB$22:$BB$23" sel="2" val="0"/>
</file>

<file path=xl/ctrlProps/ctrlProp12.xml><?xml version="1.0" encoding="utf-8"?>
<formControlPr xmlns="http://schemas.microsoft.com/office/spreadsheetml/2009/9/main" objectType="Drop" dropLines="2" dropStyle="combo" dx="22" fmlaLink="$BC$35" fmlaRange="$BB$35:$BB$36" sel="2" val="0"/>
</file>

<file path=xl/ctrlProps/ctrlProp13.xml><?xml version="1.0" encoding="utf-8"?>
<formControlPr xmlns="http://schemas.microsoft.com/office/spreadsheetml/2009/9/main" objectType="Drop" dropLines="2" dropStyle="combo" dx="22" fmlaLink="$BK$22" fmlaRange="$BJ$22:$BJ$23" sel="2" val="0"/>
</file>

<file path=xl/ctrlProps/ctrlProp14.xml><?xml version="1.0" encoding="utf-8"?>
<formControlPr xmlns="http://schemas.microsoft.com/office/spreadsheetml/2009/9/main" objectType="Drop" dropLines="2" dropStyle="combo" dx="22" fmlaLink="$BK$35" fmlaRange="$BJ$35:$BJ$36" sel="2" val="0"/>
</file>

<file path=xl/ctrlProps/ctrlProp15.xml><?xml version="1.0" encoding="utf-8"?>
<formControlPr xmlns="http://schemas.microsoft.com/office/spreadsheetml/2009/9/main" objectType="Drop" dropLines="2" dropStyle="combo" dx="22" fmlaLink="$BS$22" fmlaRange="$BR$22:$BR$23" sel="2" val="0"/>
</file>

<file path=xl/ctrlProps/ctrlProp16.xml><?xml version="1.0" encoding="utf-8"?>
<formControlPr xmlns="http://schemas.microsoft.com/office/spreadsheetml/2009/9/main" objectType="Drop" dropLines="2" dropStyle="combo" dx="22" fmlaLink="$BS$35" fmlaRange="$BR$35:$BR$36" sel="1" val="0"/>
</file>

<file path=xl/ctrlProps/ctrlProp17.xml><?xml version="1.0" encoding="utf-8"?>
<formControlPr xmlns="http://schemas.microsoft.com/office/spreadsheetml/2009/9/main" objectType="Drop" dropLines="2" dropStyle="combo" dx="22" fmlaLink="$CA$22" fmlaRange="$BZ$22:$BZ$23" sel="2" val="0"/>
</file>

<file path=xl/ctrlProps/ctrlProp18.xml><?xml version="1.0" encoding="utf-8"?>
<formControlPr xmlns="http://schemas.microsoft.com/office/spreadsheetml/2009/9/main" objectType="Drop" dropLines="2" dropStyle="combo" dx="22" fmlaLink="$CA$35" fmlaRange="$BZ$35:$BZ$36" sel="1" val="0"/>
</file>

<file path=xl/ctrlProps/ctrlProp19.xml><?xml version="1.0" encoding="utf-8"?>
<formControlPr xmlns="http://schemas.microsoft.com/office/spreadsheetml/2009/9/main" objectType="Drop" dropLines="2" dropStyle="combo" dx="22" fmlaLink="$CA$22" fmlaRange="$BZ$22:$BZ$23" sel="2" val="0"/>
</file>

<file path=xl/ctrlProps/ctrlProp2.xml><?xml version="1.0" encoding="utf-8"?>
<formControlPr xmlns="http://schemas.microsoft.com/office/spreadsheetml/2009/9/main" objectType="Drop" dropLines="4" dropStyle="combo" dx="22" fmlaLink="C4" fmlaRange="$C$20:$C$30" sel="2" val="7"/>
</file>

<file path=xl/ctrlProps/ctrlProp20.xml><?xml version="1.0" encoding="utf-8"?>
<formControlPr xmlns="http://schemas.microsoft.com/office/spreadsheetml/2009/9/main" objectType="Drop" dropLines="2" dropStyle="combo" dx="22" fmlaLink="$CA$22" fmlaRange="$BZ$22:$BZ$23" sel="2" val="0"/>
</file>

<file path=xl/ctrlProps/ctrlProp21.xml><?xml version="1.0" encoding="utf-8"?>
<formControlPr xmlns="http://schemas.microsoft.com/office/spreadsheetml/2009/9/main" objectType="Drop" dropLines="2" dropStyle="combo" dx="22" fmlaLink="$CA$22" fmlaRange="$BZ$22:$BZ$23" sel="2" val="0"/>
</file>

<file path=xl/ctrlProps/ctrlProp22.xml><?xml version="1.0" encoding="utf-8"?>
<formControlPr xmlns="http://schemas.microsoft.com/office/spreadsheetml/2009/9/main" objectType="Drop" dropLines="2" dropStyle="combo" dx="22" fmlaLink="$CA$35" fmlaRange="$BZ$35:$BZ$36" sel="1" val="0"/>
</file>

<file path=xl/ctrlProps/ctrlProp23.xml><?xml version="1.0" encoding="utf-8"?>
<formControlPr xmlns="http://schemas.microsoft.com/office/spreadsheetml/2009/9/main" objectType="Drop" dropLines="2" dropStyle="combo" dx="22" fmlaLink="$CA$35" fmlaRange="$BZ$35:$BZ$36" sel="1" val="0"/>
</file>

<file path=xl/ctrlProps/ctrlProp24.xml><?xml version="1.0" encoding="utf-8"?>
<formControlPr xmlns="http://schemas.microsoft.com/office/spreadsheetml/2009/9/main" objectType="Drop" dropLines="2" dropStyle="combo" dx="22" fmlaLink="$CA$35" fmlaRange="$BZ$35:$BZ$36" sel="1" val="0"/>
</file>

<file path=xl/ctrlProps/ctrlProp25.xml><?xml version="1.0" encoding="utf-8"?>
<formControlPr xmlns="http://schemas.microsoft.com/office/spreadsheetml/2009/9/main" objectType="Drop" dropLines="2" dropStyle="combo" dx="22" fmlaLink="$CA$22" fmlaRange="$BZ$22:$BZ$23" sel="2" val="0"/>
</file>

<file path=xl/ctrlProps/ctrlProp26.xml><?xml version="1.0" encoding="utf-8"?>
<formControlPr xmlns="http://schemas.microsoft.com/office/spreadsheetml/2009/9/main" objectType="Drop" dropLines="2" dropStyle="combo" dx="22" fmlaLink="$CA$22" fmlaRange="$BZ$22:$BZ$23" sel="2" val="0"/>
</file>

<file path=xl/ctrlProps/ctrlProp27.xml><?xml version="1.0" encoding="utf-8"?>
<formControlPr xmlns="http://schemas.microsoft.com/office/spreadsheetml/2009/9/main" objectType="Drop" dropLines="2" dropStyle="combo" dx="22" fmlaLink="$CA$22" fmlaRange="$BZ$22:$BZ$23" sel="2" val="0"/>
</file>

<file path=xl/ctrlProps/ctrlProp28.xml><?xml version="1.0" encoding="utf-8"?>
<formControlPr xmlns="http://schemas.microsoft.com/office/spreadsheetml/2009/9/main" objectType="Drop" dropLines="2" dropStyle="combo" dx="22" fmlaLink="$BS$35" fmlaRange="$BR$35:$BR$36" sel="1" val="0"/>
</file>

<file path=xl/ctrlProps/ctrlProp29.xml><?xml version="1.0" encoding="utf-8"?>
<formControlPr xmlns="http://schemas.microsoft.com/office/spreadsheetml/2009/9/main" objectType="Drop" dropLines="2" dropStyle="combo" dx="22" fmlaLink="$CA$22" fmlaRange="$BZ$22:$BZ$23" sel="2" val="0"/>
</file>

<file path=xl/ctrlProps/ctrlProp3.xml><?xml version="1.0" encoding="utf-8"?>
<formControlPr xmlns="http://schemas.microsoft.com/office/spreadsheetml/2009/9/main" objectType="Drop" dropLines="5" dropStyle="combo" dx="22" fmlaLink="D4" fmlaRange="$C$10:$C$14" sel="1" val="0"/>
</file>

<file path=xl/ctrlProps/ctrlProp30.xml><?xml version="1.0" encoding="utf-8"?>
<formControlPr xmlns="http://schemas.microsoft.com/office/spreadsheetml/2009/9/main" objectType="Drop" dropLines="2" dropStyle="combo" dx="22" fmlaLink="$CA$22" fmlaRange="$BZ$22:$BZ$23" sel="2" val="0"/>
</file>

<file path=xl/ctrlProps/ctrlProp31.xml><?xml version="1.0" encoding="utf-8"?>
<formControlPr xmlns="http://schemas.microsoft.com/office/spreadsheetml/2009/9/main" objectType="Drop" dropLines="2" dropStyle="combo" dx="22" fmlaLink="$BS$35" fmlaRange="$BR$35:$BR$36" sel="1" val="0"/>
</file>

<file path=xl/ctrlProps/ctrlProp32.xml><?xml version="1.0" encoding="utf-8"?>
<formControlPr xmlns="http://schemas.microsoft.com/office/spreadsheetml/2009/9/main" objectType="Drop" dropLines="2" dropStyle="combo" dx="22" fmlaLink="$CA$22" fmlaRange="$BZ$22:$BZ$23" sel="2" val="0"/>
</file>

<file path=xl/ctrlProps/ctrlProp33.xml><?xml version="1.0" encoding="utf-8"?>
<formControlPr xmlns="http://schemas.microsoft.com/office/spreadsheetml/2009/9/main" objectType="Drop" dropLines="2" dropStyle="combo" dx="22" fmlaLink="$CA$22" fmlaRange="$BZ$22:$BZ$23" sel="2" val="0"/>
</file>

<file path=xl/ctrlProps/ctrlProp4.xml><?xml version="1.0" encoding="utf-8"?>
<formControlPr xmlns="http://schemas.microsoft.com/office/spreadsheetml/2009/9/main" objectType="Drop" dropLines="10" dropStyle="combo" dx="22" fmlaLink="Kalk!B4" fmlaRange="Kalk!$B$20:$B$29" sel="1" val="0"/>
</file>

<file path=xl/ctrlProps/ctrlProp5.xml><?xml version="1.0" encoding="utf-8"?>
<formControlPr xmlns="http://schemas.microsoft.com/office/spreadsheetml/2009/9/main" objectType="Drop" dropLines="33" dropStyle="combo" dx="22" fmlaLink="Kalk!C4" fmlaRange="Kalk!$C$20:$C$52" sel="2" val="0"/>
</file>

<file path=xl/ctrlProps/ctrlProp6.xml><?xml version="1.0" encoding="utf-8"?>
<formControlPr xmlns="http://schemas.microsoft.com/office/spreadsheetml/2009/9/main" objectType="Drop" dropLines="5" dropStyle="combo" dx="22" fmlaLink="Kalk!D4" fmlaRange="Kalk!$C$10:$C$14" sel="1" val="0"/>
</file>

<file path=xl/ctrlProps/ctrlProp7.xml><?xml version="1.0" encoding="utf-8"?>
<formControlPr xmlns="http://schemas.microsoft.com/office/spreadsheetml/2009/9/main" objectType="Drop" dropLines="2" dropStyle="combo" dx="22" fmlaLink="$BC$35" fmlaRange="$BB$35:$BB$36" sel="2" val="0"/>
</file>

<file path=xl/ctrlProps/ctrlProp8.xml><?xml version="1.0" encoding="utf-8"?>
<formControlPr xmlns="http://schemas.microsoft.com/office/spreadsheetml/2009/9/main" objectType="Drop" dropLines="2" dropStyle="combo" dx="22" fmlaLink="$BK$35" fmlaRange="$BJ$35:$BJ$36" sel="2" val="0"/>
</file>

<file path=xl/ctrlProps/ctrlProp9.xml><?xml version="1.0" encoding="utf-8"?>
<formControlPr xmlns="http://schemas.microsoft.com/office/spreadsheetml/2009/9/main" objectType="Drop" dropLines="2" dropStyle="combo" dx="22" fmlaLink="$BS$35" fmlaRange="$BR$35:$BR$36" sel="1" val="0"/>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Bitte Seite ausdrucken'!C37"/><Relationship Id="rId7" Type="http://schemas.openxmlformats.org/officeDocument/2006/relationships/hyperlink" Target="http://www.dbb.de/arbeitnehmer.html"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Benutzerhinweise!B28"/><Relationship Id="rId6" Type="http://schemas.openxmlformats.org/officeDocument/2006/relationships/image" Target="../media/image3.png"/><Relationship Id="rId11" Type="http://schemas.openxmlformats.org/officeDocument/2006/relationships/hyperlink" Target="http://www.dbb.de/dbb-startseite.html" TargetMode="External"/><Relationship Id="rId5" Type="http://schemas.openxmlformats.org/officeDocument/2006/relationships/hyperlink" Target="http://www.dbb.de/mitgliedschaft-service.html"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mailto:tarif@dbb.de"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www.dbb.de/" TargetMode="External"/><Relationship Id="rId2" Type="http://schemas.openxmlformats.org/officeDocument/2006/relationships/image" Target="../media/image7.png"/><Relationship Id="rId1" Type="http://schemas.openxmlformats.org/officeDocument/2006/relationships/hyperlink" Target="#Maske!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mailto:tarif@dbb.de" TargetMode="External"/><Relationship Id="rId2" Type="http://schemas.openxmlformats.org/officeDocument/2006/relationships/image" Target="../media/image7.png"/><Relationship Id="rId1" Type="http://schemas.openxmlformats.org/officeDocument/2006/relationships/hyperlink" Target="#Maske!A1"/><Relationship Id="rId5" Type="http://schemas.openxmlformats.org/officeDocument/2006/relationships/image" Target="../media/image9.jpe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2</xdr:col>
          <xdr:colOff>0</xdr:colOff>
          <xdr:row>4</xdr:row>
          <xdr:rowOff>38100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0</xdr:rowOff>
        </xdr:from>
        <xdr:to>
          <xdr:col>3</xdr:col>
          <xdr:colOff>0</xdr:colOff>
          <xdr:row>4</xdr:row>
          <xdr:rowOff>38100</xdr:rowOff>
        </xdr:to>
        <xdr:sp macro="" textlink="">
          <xdr:nvSpPr>
            <xdr:cNvPr id="8194" name="Drop Down 2" hidden="1">
              <a:extLst>
                <a:ext uri="{63B3BB69-23CF-44E3-9099-C40C66FF867C}">
                  <a14:compatExt spid="_x0000_s8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xdr:row>
          <xdr:rowOff>0</xdr:rowOff>
        </xdr:from>
        <xdr:to>
          <xdr:col>5</xdr:col>
          <xdr:colOff>0</xdr:colOff>
          <xdr:row>4</xdr:row>
          <xdr:rowOff>38100</xdr:rowOff>
        </xdr:to>
        <xdr:sp macro="" textlink="">
          <xdr:nvSpPr>
            <xdr:cNvPr id="8195" name="Drop Down 3" hidden="1">
              <a:extLst>
                <a:ext uri="{63B3BB69-23CF-44E3-9099-C40C66FF867C}">
                  <a14:compatExt spid="_x0000_s8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3</xdr:row>
      <xdr:rowOff>19050</xdr:rowOff>
    </xdr:from>
    <xdr:to>
      <xdr:col>3</xdr:col>
      <xdr:colOff>190500</xdr:colOff>
      <xdr:row>3</xdr:row>
      <xdr:rowOff>161925</xdr:rowOff>
    </xdr:to>
    <xdr:pic>
      <xdr:nvPicPr>
        <xdr:cNvPr id="5636470" name="Picture 1148">
          <a:hlinkClick xmlns:r="http://schemas.openxmlformats.org/officeDocument/2006/relationships" r:id="rId1" tooltip="Link zu 'Benutzerhinweise'"/>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33375"/>
          <a:ext cx="10096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xdr:col>
      <xdr:colOff>266700</xdr:colOff>
      <xdr:row>34</xdr:row>
      <xdr:rowOff>19050</xdr:rowOff>
    </xdr:from>
    <xdr:to>
      <xdr:col>17</xdr:col>
      <xdr:colOff>704850</xdr:colOff>
      <xdr:row>34</xdr:row>
      <xdr:rowOff>161925</xdr:rowOff>
    </xdr:to>
    <xdr:pic>
      <xdr:nvPicPr>
        <xdr:cNvPr id="5636471" name="Picture 3252">
          <a:hlinkClick xmlns:r="http://schemas.openxmlformats.org/officeDocument/2006/relationships" r:id="rId3" tooltip="Link zu 'Bitte Seite ausdrucke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05975" y="4248150"/>
          <a:ext cx="18669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9525</xdr:colOff>
      <xdr:row>34</xdr:row>
      <xdr:rowOff>9525</xdr:rowOff>
    </xdr:from>
    <xdr:to>
      <xdr:col>11</xdr:col>
      <xdr:colOff>352425</xdr:colOff>
      <xdr:row>34</xdr:row>
      <xdr:rowOff>152400</xdr:rowOff>
    </xdr:to>
    <xdr:pic>
      <xdr:nvPicPr>
        <xdr:cNvPr id="5636472" name="Picture 3254">
          <a:hlinkClick xmlns:r="http://schemas.openxmlformats.org/officeDocument/2006/relationships" r:id="rId5" tooltip="Internet-Link zu 'Sieben gute Gründe für eine Mitgliedschaft' unter 'dbb.de'"/>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38900" y="4238625"/>
          <a:ext cx="7239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0</xdr:colOff>
      <xdr:row>5</xdr:row>
      <xdr:rowOff>28575</xdr:rowOff>
    </xdr:from>
    <xdr:to>
      <xdr:col>15</xdr:col>
      <xdr:colOff>9525</xdr:colOff>
      <xdr:row>5</xdr:row>
      <xdr:rowOff>161925</xdr:rowOff>
    </xdr:to>
    <xdr:pic>
      <xdr:nvPicPr>
        <xdr:cNvPr id="5636473" name="Picture 1219">
          <a:hlinkClick xmlns:r="http://schemas.openxmlformats.org/officeDocument/2006/relationships" r:id="rId7" tooltip="Internet-Link zu 'dbb.de/Tarif'"/>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24900" y="685800"/>
          <a:ext cx="7239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9525</xdr:colOff>
      <xdr:row>4</xdr:row>
      <xdr:rowOff>38100</xdr:rowOff>
    </xdr:from>
    <xdr:to>
      <xdr:col>15</xdr:col>
      <xdr:colOff>9525</xdr:colOff>
      <xdr:row>5</xdr:row>
      <xdr:rowOff>9525</xdr:rowOff>
    </xdr:to>
    <xdr:pic>
      <xdr:nvPicPr>
        <xdr:cNvPr id="5636474" name="Picture 1220">
          <a:hlinkClick xmlns:r="http://schemas.openxmlformats.org/officeDocument/2006/relationships" r:id="rId9" tooltip="E-Mail schreiben an 'tarif@dbb.de'"/>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734425" y="523875"/>
          <a:ext cx="7143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xdr:col>
      <xdr:colOff>419100</xdr:colOff>
      <xdr:row>3</xdr:row>
      <xdr:rowOff>57150</xdr:rowOff>
    </xdr:from>
    <xdr:to>
      <xdr:col>17</xdr:col>
      <xdr:colOff>676275</xdr:colOff>
      <xdr:row>5</xdr:row>
      <xdr:rowOff>133350</xdr:rowOff>
    </xdr:to>
    <xdr:pic>
      <xdr:nvPicPr>
        <xdr:cNvPr id="5636475" name="Grafik 9" descr="dbb_Logo.png">
          <a:hlinkClick xmlns:r="http://schemas.openxmlformats.org/officeDocument/2006/relationships" r:id="rId11" tooltip="Internet-Link zu 'dbb.de'"/>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858375" y="371475"/>
          <a:ext cx="16859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5</xdr:row>
          <xdr:rowOff>0</xdr:rowOff>
        </xdr:from>
        <xdr:to>
          <xdr:col>4</xdr:col>
          <xdr:colOff>0</xdr:colOff>
          <xdr:row>7</xdr:row>
          <xdr:rowOff>0</xdr:rowOff>
        </xdr:to>
        <xdr:sp macro="" textlink="">
          <xdr:nvSpPr>
            <xdr:cNvPr id="9217" name="Drop Down 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704850</xdr:colOff>
          <xdr:row>5</xdr:row>
          <xdr:rowOff>0</xdr:rowOff>
        </xdr:from>
        <xdr:to>
          <xdr:col>7</xdr:col>
          <xdr:colOff>123825</xdr:colOff>
          <xdr:row>7</xdr:row>
          <xdr:rowOff>0</xdr:rowOff>
        </xdr:to>
        <xdr:sp macro="" textlink="">
          <xdr:nvSpPr>
            <xdr:cNvPr id="9218" name="Drop Down 2" hidden="1">
              <a:extLst>
                <a:ext uri="{63B3BB69-23CF-44E3-9099-C40C66FF867C}">
                  <a14:compatExt spid="_x0000_s9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0</xdr:rowOff>
        </xdr:from>
        <xdr:to>
          <xdr:col>9</xdr:col>
          <xdr:colOff>9525</xdr:colOff>
          <xdr:row>7</xdr:row>
          <xdr:rowOff>0</xdr:rowOff>
        </xdr:to>
        <xdr:sp macro="" textlink="">
          <xdr:nvSpPr>
            <xdr:cNvPr id="9219" name="Drop Down 3" hidden="1">
              <a:extLst>
                <a:ext uri="{63B3BB69-23CF-44E3-9099-C40C66FF867C}">
                  <a14:compatExt spid="_x0000_s9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41</xdr:row>
      <xdr:rowOff>47625</xdr:rowOff>
    </xdr:from>
    <xdr:to>
      <xdr:col>3</xdr:col>
      <xdr:colOff>723900</xdr:colOff>
      <xdr:row>42</xdr:row>
      <xdr:rowOff>0</xdr:rowOff>
    </xdr:to>
    <xdr:pic>
      <xdr:nvPicPr>
        <xdr:cNvPr id="5634514" name="Picture 585">
          <a:hlinkClick xmlns:r="http://schemas.openxmlformats.org/officeDocument/2006/relationships" r:id="rId1" tooltip="Link zu Maske 'Entgelttabelle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858125"/>
          <a:ext cx="16287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66675</xdr:colOff>
      <xdr:row>36</xdr:row>
      <xdr:rowOff>95250</xdr:rowOff>
    </xdr:from>
    <xdr:to>
      <xdr:col>11</xdr:col>
      <xdr:colOff>800100</xdr:colOff>
      <xdr:row>38</xdr:row>
      <xdr:rowOff>133350</xdr:rowOff>
    </xdr:to>
    <xdr:pic>
      <xdr:nvPicPr>
        <xdr:cNvPr id="5634515" name="Grafik 9" descr="dbb_Logo.png">
          <a:hlinkClick xmlns:r="http://schemas.openxmlformats.org/officeDocument/2006/relationships" r:id="rId3" tooltip="Internet-Link zu 'dbb.de'"/>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67175" y="6953250"/>
          <a:ext cx="16859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47625</xdr:colOff>
      <xdr:row>38</xdr:row>
      <xdr:rowOff>47625</xdr:rowOff>
    </xdr:from>
    <xdr:to>
      <xdr:col>4</xdr:col>
      <xdr:colOff>152400</xdr:colOff>
      <xdr:row>39</xdr:row>
      <xdr:rowOff>0</xdr:rowOff>
    </xdr:to>
    <xdr:pic>
      <xdr:nvPicPr>
        <xdr:cNvPr id="5635771" name="Picture 585">
          <a:hlinkClick xmlns:r="http://schemas.openxmlformats.org/officeDocument/2006/relationships" r:id="rId1" tooltip="Link zu Maske 'Entgelttabelle'"/>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286625"/>
          <a:ext cx="16287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0</xdr:colOff>
      <xdr:row>8</xdr:row>
      <xdr:rowOff>0</xdr:rowOff>
    </xdr:from>
    <xdr:to>
      <xdr:col>9</xdr:col>
      <xdr:colOff>180975</xdr:colOff>
      <xdr:row>9</xdr:row>
      <xdr:rowOff>19050</xdr:rowOff>
    </xdr:to>
    <xdr:pic>
      <xdr:nvPicPr>
        <xdr:cNvPr id="5635772" name="Picture 1142">
          <a:hlinkClick xmlns:r="http://schemas.openxmlformats.org/officeDocument/2006/relationships" r:id="rId3" tooltip="E-Mail schreiben an 'tarif@dbb.de'"/>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0" y="1524000"/>
          <a:ext cx="9429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85725</xdr:colOff>
      <xdr:row>18</xdr:row>
      <xdr:rowOff>19050</xdr:rowOff>
    </xdr:from>
    <xdr:to>
      <xdr:col>10</xdr:col>
      <xdr:colOff>28575</xdr:colOff>
      <xdr:row>36</xdr:row>
      <xdr:rowOff>9525</xdr:rowOff>
    </xdr:to>
    <xdr:pic>
      <xdr:nvPicPr>
        <xdr:cNvPr id="5635773" name="Grafik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0975" y="3448050"/>
          <a:ext cx="6134100"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xdr:col>
          <xdr:colOff>438150</xdr:colOff>
          <xdr:row>33</xdr:row>
          <xdr:rowOff>123825</xdr:rowOff>
        </xdr:from>
        <xdr:to>
          <xdr:col>50</xdr:col>
          <xdr:colOff>314325</xdr:colOff>
          <xdr:row>35</xdr:row>
          <xdr:rowOff>38100</xdr:rowOff>
        </xdr:to>
        <xdr:sp macro="" textlink="">
          <xdr:nvSpPr>
            <xdr:cNvPr id="25605" name="Drop Down 5" hidden="1">
              <a:extLst>
                <a:ext uri="{63B3BB69-23CF-44E3-9099-C40C66FF867C}">
                  <a14:compatExt spid="_x0000_s25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428625</xdr:colOff>
          <xdr:row>33</xdr:row>
          <xdr:rowOff>114300</xdr:rowOff>
        </xdr:from>
        <xdr:to>
          <xdr:col>58</xdr:col>
          <xdr:colOff>304800</xdr:colOff>
          <xdr:row>35</xdr:row>
          <xdr:rowOff>28575</xdr:rowOff>
        </xdr:to>
        <xdr:sp macro="" textlink="">
          <xdr:nvSpPr>
            <xdr:cNvPr id="25606" name="Drop Down 6" hidden="1">
              <a:extLst>
                <a:ext uri="{63B3BB69-23CF-44E3-9099-C40C66FF867C}">
                  <a14:compatExt spid="_x0000_s25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419100</xdr:colOff>
          <xdr:row>33</xdr:row>
          <xdr:rowOff>114300</xdr:rowOff>
        </xdr:from>
        <xdr:to>
          <xdr:col>66</xdr:col>
          <xdr:colOff>295275</xdr:colOff>
          <xdr:row>35</xdr:row>
          <xdr:rowOff>28575</xdr:rowOff>
        </xdr:to>
        <xdr:sp macro="" textlink="">
          <xdr:nvSpPr>
            <xdr:cNvPr id="25607" name="Drop Down 7" hidden="1">
              <a:extLst>
                <a:ext uri="{63B3BB69-23CF-44E3-9099-C40C66FF867C}">
                  <a14:compatExt spid="_x0000_s25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438150</xdr:colOff>
          <xdr:row>33</xdr:row>
          <xdr:rowOff>114300</xdr:rowOff>
        </xdr:from>
        <xdr:to>
          <xdr:col>74</xdr:col>
          <xdr:colOff>314325</xdr:colOff>
          <xdr:row>35</xdr:row>
          <xdr:rowOff>28575</xdr:rowOff>
        </xdr:to>
        <xdr:sp macro="" textlink="">
          <xdr:nvSpPr>
            <xdr:cNvPr id="25608" name="Drop Down 8" hidden="1">
              <a:extLst>
                <a:ext uri="{63B3BB69-23CF-44E3-9099-C40C66FF867C}">
                  <a14:compatExt spid="_x0000_s25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xdr:col>
          <xdr:colOff>419100</xdr:colOff>
          <xdr:row>20</xdr:row>
          <xdr:rowOff>133350</xdr:rowOff>
        </xdr:from>
        <xdr:to>
          <xdr:col>50</xdr:col>
          <xdr:colOff>295275</xdr:colOff>
          <xdr:row>22</xdr:row>
          <xdr:rowOff>47625</xdr:rowOff>
        </xdr:to>
        <xdr:sp macro="" textlink="">
          <xdr:nvSpPr>
            <xdr:cNvPr id="322560" name="Drop Down 1024" hidden="1">
              <a:extLst>
                <a:ext uri="{63B3BB69-23CF-44E3-9099-C40C66FF867C}">
                  <a14:compatExt spid="_x0000_s322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438150</xdr:colOff>
          <xdr:row>33</xdr:row>
          <xdr:rowOff>123825</xdr:rowOff>
        </xdr:from>
        <xdr:to>
          <xdr:col>50</xdr:col>
          <xdr:colOff>314325</xdr:colOff>
          <xdr:row>35</xdr:row>
          <xdr:rowOff>38100</xdr:rowOff>
        </xdr:to>
        <xdr:sp macro="" textlink="">
          <xdr:nvSpPr>
            <xdr:cNvPr id="322561" name="Drop Down 1025" hidden="1">
              <a:extLst>
                <a:ext uri="{63B3BB69-23CF-44E3-9099-C40C66FF867C}">
                  <a14:compatExt spid="_x0000_s322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409575</xdr:colOff>
          <xdr:row>20</xdr:row>
          <xdr:rowOff>123825</xdr:rowOff>
        </xdr:from>
        <xdr:to>
          <xdr:col>58</xdr:col>
          <xdr:colOff>285750</xdr:colOff>
          <xdr:row>22</xdr:row>
          <xdr:rowOff>38100</xdr:rowOff>
        </xdr:to>
        <xdr:sp macro="" textlink="">
          <xdr:nvSpPr>
            <xdr:cNvPr id="322562" name="Drop Down 1026" hidden="1">
              <a:extLst>
                <a:ext uri="{63B3BB69-23CF-44E3-9099-C40C66FF867C}">
                  <a14:compatExt spid="_x0000_s322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428625</xdr:colOff>
          <xdr:row>33</xdr:row>
          <xdr:rowOff>114300</xdr:rowOff>
        </xdr:from>
        <xdr:to>
          <xdr:col>58</xdr:col>
          <xdr:colOff>304800</xdr:colOff>
          <xdr:row>35</xdr:row>
          <xdr:rowOff>28575</xdr:rowOff>
        </xdr:to>
        <xdr:sp macro="" textlink="">
          <xdr:nvSpPr>
            <xdr:cNvPr id="322563" name="Drop Down 1027" hidden="1">
              <a:extLst>
                <a:ext uri="{63B3BB69-23CF-44E3-9099-C40C66FF867C}">
                  <a14:compatExt spid="_x0000_s322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400050</xdr:colOff>
          <xdr:row>20</xdr:row>
          <xdr:rowOff>123825</xdr:rowOff>
        </xdr:from>
        <xdr:to>
          <xdr:col>66</xdr:col>
          <xdr:colOff>238125</xdr:colOff>
          <xdr:row>22</xdr:row>
          <xdr:rowOff>38100</xdr:rowOff>
        </xdr:to>
        <xdr:sp macro="" textlink="">
          <xdr:nvSpPr>
            <xdr:cNvPr id="322564" name="Drop Down 1028" hidden="1">
              <a:extLst>
                <a:ext uri="{63B3BB69-23CF-44E3-9099-C40C66FF867C}">
                  <a14:compatExt spid="_x0000_s322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419100</xdr:colOff>
          <xdr:row>33</xdr:row>
          <xdr:rowOff>114300</xdr:rowOff>
        </xdr:from>
        <xdr:to>
          <xdr:col>66</xdr:col>
          <xdr:colOff>257175</xdr:colOff>
          <xdr:row>35</xdr:row>
          <xdr:rowOff>28575</xdr:rowOff>
        </xdr:to>
        <xdr:sp macro="" textlink="">
          <xdr:nvSpPr>
            <xdr:cNvPr id="322565" name="Drop Down 1029" hidden="1">
              <a:extLst>
                <a:ext uri="{63B3BB69-23CF-44E3-9099-C40C66FF867C}">
                  <a14:compatExt spid="_x0000_s322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419100</xdr:colOff>
          <xdr:row>20</xdr:row>
          <xdr:rowOff>123825</xdr:rowOff>
        </xdr:from>
        <xdr:to>
          <xdr:col>74</xdr:col>
          <xdr:colOff>257175</xdr:colOff>
          <xdr:row>22</xdr:row>
          <xdr:rowOff>38100</xdr:rowOff>
        </xdr:to>
        <xdr:sp macro="" textlink="">
          <xdr:nvSpPr>
            <xdr:cNvPr id="322566" name="Drop Down 1030" hidden="1">
              <a:extLst>
                <a:ext uri="{63B3BB69-23CF-44E3-9099-C40C66FF867C}">
                  <a14:compatExt spid="_x0000_s322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438150</xdr:colOff>
          <xdr:row>33</xdr:row>
          <xdr:rowOff>114300</xdr:rowOff>
        </xdr:from>
        <xdr:to>
          <xdr:col>74</xdr:col>
          <xdr:colOff>276225</xdr:colOff>
          <xdr:row>35</xdr:row>
          <xdr:rowOff>28575</xdr:rowOff>
        </xdr:to>
        <xdr:sp macro="" textlink="">
          <xdr:nvSpPr>
            <xdr:cNvPr id="322567" name="Drop Down 1031" hidden="1">
              <a:extLst>
                <a:ext uri="{63B3BB69-23CF-44E3-9099-C40C66FF867C}">
                  <a14:compatExt spid="_x0000_s322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419100</xdr:colOff>
          <xdr:row>20</xdr:row>
          <xdr:rowOff>123825</xdr:rowOff>
        </xdr:from>
        <xdr:to>
          <xdr:col>82</xdr:col>
          <xdr:colOff>295275</xdr:colOff>
          <xdr:row>22</xdr:row>
          <xdr:rowOff>38100</xdr:rowOff>
        </xdr:to>
        <xdr:sp macro="" textlink="">
          <xdr:nvSpPr>
            <xdr:cNvPr id="322585" name="Drop Down 1049" hidden="1">
              <a:extLst>
                <a:ext uri="{63B3BB69-23CF-44E3-9099-C40C66FF867C}">
                  <a14:compatExt spid="_x0000_s322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419100</xdr:colOff>
          <xdr:row>20</xdr:row>
          <xdr:rowOff>123825</xdr:rowOff>
        </xdr:from>
        <xdr:to>
          <xdr:col>90</xdr:col>
          <xdr:colOff>295275</xdr:colOff>
          <xdr:row>22</xdr:row>
          <xdr:rowOff>38100</xdr:rowOff>
        </xdr:to>
        <xdr:sp macro="" textlink="">
          <xdr:nvSpPr>
            <xdr:cNvPr id="322587" name="Drop Down 1051" hidden="1">
              <a:extLst>
                <a:ext uri="{63B3BB69-23CF-44E3-9099-C40C66FF867C}">
                  <a14:compatExt spid="_x0000_s322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419100</xdr:colOff>
          <xdr:row>20</xdr:row>
          <xdr:rowOff>123825</xdr:rowOff>
        </xdr:from>
        <xdr:to>
          <xdr:col>98</xdr:col>
          <xdr:colOff>295275</xdr:colOff>
          <xdr:row>22</xdr:row>
          <xdr:rowOff>38100</xdr:rowOff>
        </xdr:to>
        <xdr:sp macro="" textlink="">
          <xdr:nvSpPr>
            <xdr:cNvPr id="322588" name="Drop Down 1052" hidden="1">
              <a:extLst>
                <a:ext uri="{63B3BB69-23CF-44E3-9099-C40C66FF867C}">
                  <a14:compatExt spid="_x0000_s322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438150</xdr:colOff>
          <xdr:row>33</xdr:row>
          <xdr:rowOff>114300</xdr:rowOff>
        </xdr:from>
        <xdr:to>
          <xdr:col>82</xdr:col>
          <xdr:colOff>314325</xdr:colOff>
          <xdr:row>35</xdr:row>
          <xdr:rowOff>28575</xdr:rowOff>
        </xdr:to>
        <xdr:sp macro="" textlink="">
          <xdr:nvSpPr>
            <xdr:cNvPr id="322589" name="Drop Down 1053" hidden="1">
              <a:extLst>
                <a:ext uri="{63B3BB69-23CF-44E3-9099-C40C66FF867C}">
                  <a14:compatExt spid="_x0000_s322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438150</xdr:colOff>
          <xdr:row>33</xdr:row>
          <xdr:rowOff>114300</xdr:rowOff>
        </xdr:from>
        <xdr:to>
          <xdr:col>90</xdr:col>
          <xdr:colOff>314325</xdr:colOff>
          <xdr:row>35</xdr:row>
          <xdr:rowOff>28575</xdr:rowOff>
        </xdr:to>
        <xdr:sp macro="" textlink="">
          <xdr:nvSpPr>
            <xdr:cNvPr id="322591" name="Drop Down 1055" hidden="1">
              <a:extLst>
                <a:ext uri="{63B3BB69-23CF-44E3-9099-C40C66FF867C}">
                  <a14:compatExt spid="_x0000_s322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438150</xdr:colOff>
          <xdr:row>33</xdr:row>
          <xdr:rowOff>114300</xdr:rowOff>
        </xdr:from>
        <xdr:to>
          <xdr:col>98</xdr:col>
          <xdr:colOff>314325</xdr:colOff>
          <xdr:row>35</xdr:row>
          <xdr:rowOff>28575</xdr:rowOff>
        </xdr:to>
        <xdr:sp macro="" textlink="">
          <xdr:nvSpPr>
            <xdr:cNvPr id="322593" name="Drop Down 1057" hidden="1">
              <a:extLst>
                <a:ext uri="{63B3BB69-23CF-44E3-9099-C40C66FF867C}">
                  <a14:compatExt spid="_x0000_s322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419100</xdr:colOff>
          <xdr:row>20</xdr:row>
          <xdr:rowOff>123825</xdr:rowOff>
        </xdr:from>
        <xdr:to>
          <xdr:col>106</xdr:col>
          <xdr:colOff>285750</xdr:colOff>
          <xdr:row>22</xdr:row>
          <xdr:rowOff>38100</xdr:rowOff>
        </xdr:to>
        <xdr:sp macro="" textlink="">
          <xdr:nvSpPr>
            <xdr:cNvPr id="322594" name="Drop Down 1058" hidden="1">
              <a:extLst>
                <a:ext uri="{63B3BB69-23CF-44E3-9099-C40C66FF867C}">
                  <a14:compatExt spid="_x0000_s322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419100</xdr:colOff>
          <xdr:row>20</xdr:row>
          <xdr:rowOff>123825</xdr:rowOff>
        </xdr:from>
        <xdr:to>
          <xdr:col>114</xdr:col>
          <xdr:colOff>295275</xdr:colOff>
          <xdr:row>22</xdr:row>
          <xdr:rowOff>38100</xdr:rowOff>
        </xdr:to>
        <xdr:sp macro="" textlink="">
          <xdr:nvSpPr>
            <xdr:cNvPr id="322595" name="Drop Down 1059" hidden="1">
              <a:extLst>
                <a:ext uri="{63B3BB69-23CF-44E3-9099-C40C66FF867C}">
                  <a14:compatExt spid="_x0000_s322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419100</xdr:colOff>
          <xdr:row>20</xdr:row>
          <xdr:rowOff>123825</xdr:rowOff>
        </xdr:from>
        <xdr:to>
          <xdr:col>122</xdr:col>
          <xdr:colOff>295275</xdr:colOff>
          <xdr:row>22</xdr:row>
          <xdr:rowOff>38100</xdr:rowOff>
        </xdr:to>
        <xdr:sp macro="" textlink="">
          <xdr:nvSpPr>
            <xdr:cNvPr id="322596" name="Drop Down 1060" hidden="1">
              <a:extLst>
                <a:ext uri="{63B3BB69-23CF-44E3-9099-C40C66FF867C}">
                  <a14:compatExt spid="_x0000_s322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419100</xdr:colOff>
          <xdr:row>33</xdr:row>
          <xdr:rowOff>114300</xdr:rowOff>
        </xdr:from>
        <xdr:to>
          <xdr:col>114</xdr:col>
          <xdr:colOff>295275</xdr:colOff>
          <xdr:row>35</xdr:row>
          <xdr:rowOff>28575</xdr:rowOff>
        </xdr:to>
        <xdr:sp macro="" textlink="">
          <xdr:nvSpPr>
            <xdr:cNvPr id="322597" name="Drop Down 1061" hidden="1">
              <a:extLst>
                <a:ext uri="{63B3BB69-23CF-44E3-9099-C40C66FF867C}">
                  <a14:compatExt spid="_x0000_s322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129</xdr:col>
          <xdr:colOff>419100</xdr:colOff>
          <xdr:row>33</xdr:row>
          <xdr:rowOff>123825</xdr:rowOff>
        </xdr:from>
        <xdr:to>
          <xdr:col>130</xdr:col>
          <xdr:colOff>295275</xdr:colOff>
          <xdr:row>35</xdr:row>
          <xdr:rowOff>38100</xdr:rowOff>
        </xdr:to>
        <xdr:sp macro="" textlink="">
          <xdr:nvSpPr>
            <xdr:cNvPr id="322599" name="Drop Down 1063" hidden="1">
              <a:extLst>
                <a:ext uri="{63B3BB69-23CF-44E3-9099-C40C66FF867C}">
                  <a14:compatExt spid="_x0000_s322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419100</xdr:colOff>
          <xdr:row>33</xdr:row>
          <xdr:rowOff>123825</xdr:rowOff>
        </xdr:from>
        <xdr:to>
          <xdr:col>138</xdr:col>
          <xdr:colOff>295275</xdr:colOff>
          <xdr:row>35</xdr:row>
          <xdr:rowOff>38100</xdr:rowOff>
        </xdr:to>
        <xdr:sp macro="" textlink="">
          <xdr:nvSpPr>
            <xdr:cNvPr id="322600" name="Drop Down 1064" hidden="1">
              <a:extLst>
                <a:ext uri="{63B3BB69-23CF-44E3-9099-C40C66FF867C}">
                  <a14:compatExt spid="_x0000_s32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419100</xdr:colOff>
          <xdr:row>69</xdr:row>
          <xdr:rowOff>114300</xdr:rowOff>
        </xdr:from>
        <xdr:to>
          <xdr:col>114</xdr:col>
          <xdr:colOff>295275</xdr:colOff>
          <xdr:row>71</xdr:row>
          <xdr:rowOff>28575</xdr:rowOff>
        </xdr:to>
        <xdr:sp macro="" textlink="">
          <xdr:nvSpPr>
            <xdr:cNvPr id="322601" name="Drop Down 1065" hidden="1">
              <a:extLst>
                <a:ext uri="{63B3BB69-23CF-44E3-9099-C40C66FF867C}">
                  <a14:compatExt spid="_x0000_s322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419100</xdr:colOff>
          <xdr:row>69</xdr:row>
          <xdr:rowOff>123825</xdr:rowOff>
        </xdr:from>
        <xdr:to>
          <xdr:col>122</xdr:col>
          <xdr:colOff>295275</xdr:colOff>
          <xdr:row>71</xdr:row>
          <xdr:rowOff>38100</xdr:rowOff>
        </xdr:to>
        <xdr:sp macro="" textlink="">
          <xdr:nvSpPr>
            <xdr:cNvPr id="322602" name="Drop Down 1066" hidden="1">
              <a:extLst>
                <a:ext uri="{63B3BB69-23CF-44E3-9099-C40C66FF867C}">
                  <a14:compatExt spid="_x0000_s322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129</xdr:col>
          <xdr:colOff>419100</xdr:colOff>
          <xdr:row>69</xdr:row>
          <xdr:rowOff>123825</xdr:rowOff>
        </xdr:from>
        <xdr:to>
          <xdr:col>130</xdr:col>
          <xdr:colOff>295275</xdr:colOff>
          <xdr:row>71</xdr:row>
          <xdr:rowOff>38100</xdr:rowOff>
        </xdr:to>
        <xdr:sp macro="" textlink="">
          <xdr:nvSpPr>
            <xdr:cNvPr id="322603" name="Drop Down 1067" hidden="1">
              <a:extLst>
                <a:ext uri="{63B3BB69-23CF-44E3-9099-C40C66FF867C}">
                  <a14:compatExt spid="_x0000_s322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arifunion.dbb.de/Einkommensrunde%202008/vor%20Ort%2024_01_2008/Berechnung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arifunion.dbb.de/Dokumente%20und%20Einstellungen/Eckart%20Rosemann/Eigene%20Dateien/Arbeitsdaten/verdi/Tarifverhandlungen/Tarifrunde%202008/Restanten/Restanten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Steuerung Berechnungen"/>
      <sheetName val="Tabelle led"/>
      <sheetName val="Tabelle led zwisch"/>
      <sheetName val="Tabelle ver"/>
      <sheetName val="Tabelle ver zwisch"/>
      <sheetName val="Tabelle bei"/>
      <sheetName val="Tabelle bei zwisch"/>
      <sheetName val="Basisdaten led neu"/>
      <sheetName val="Basisdaten ver neu"/>
      <sheetName val="Basisdaten bei neu"/>
      <sheetName val="Basisdaten led alt"/>
      <sheetName val="Basisdaten ver alt"/>
      <sheetName val="Basisdaten bei alt"/>
      <sheetName val="Zuschläge"/>
    </sheetNames>
    <sheetDataSet>
      <sheetData sheetId="0"/>
      <sheetData sheetId="1">
        <row r="5">
          <cell r="B5" t="str">
            <v>ja</v>
          </cell>
        </row>
        <row r="7">
          <cell r="B7" t="str">
            <v>W</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sammenfassung gesamt"/>
      <sheetName val="Zusammenfassung VKA West"/>
      <sheetName val="Zusammenfassung VKA Ost"/>
      <sheetName val="Zusammenfassung Bund West"/>
      <sheetName val="Zusammenfassung Bund Ost"/>
      <sheetName val="SteuerungWest"/>
      <sheetName val="SteuerungOst"/>
      <sheetName val="DatenWest"/>
      <sheetName val="DatenOst"/>
      <sheetName val="DatenWestBeschäftigte"/>
      <sheetName val="DatenOstBeschäftigte"/>
      <sheetName val="Aufbereitung Beschäftigung"/>
      <sheetName val="DatenWestKennzahlen"/>
      <sheetName val="DatenOstKennzahlen"/>
      <sheetName val="Kurzform geeint VKA"/>
      <sheetName val="alle Restanten"/>
      <sheetName val="Kurzform geeint Bund"/>
      <sheetName val="Kurzform geeint gesamt"/>
      <sheetName val="Restanten geeint"/>
      <sheetName val="Beschäftigungseckpunkte STABU"/>
      <sheetName val="Zuordnung Verläufe"/>
      <sheetName val="Fragen 1"/>
      <sheetName val="Fragen 2(alle Fragen)"/>
      <sheetName val="Fragen 3"/>
    </sheetNames>
    <sheetDataSet>
      <sheetData sheetId="0">
        <row r="1">
          <cell r="F1">
            <v>39448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0.xml"/><Relationship Id="rId2" Type="http://schemas.openxmlformats.org/officeDocument/2006/relationships/drawing" Target="../drawings/drawing5.xml"/><Relationship Id="rId1" Type="http://schemas.openxmlformats.org/officeDocument/2006/relationships/printerSettings" Target="../printerSettings/printerSettings25.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 Type="http://schemas.openxmlformats.org/officeDocument/2006/relationships/vmlDrawing" Target="../drawings/vmlDrawing4.v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2" Type="http://schemas.openxmlformats.org/officeDocument/2006/relationships/drawing" Target="../drawings/drawing6.xml"/><Relationship Id="rId16" Type="http://schemas.openxmlformats.org/officeDocument/2006/relationships/ctrlProp" Target="../ctrlProps/ctrlProp23.xml"/><Relationship Id="rId20" Type="http://schemas.openxmlformats.org/officeDocument/2006/relationships/ctrlProp" Target="../ctrlProps/ctrlProp27.xml"/><Relationship Id="rId1" Type="http://schemas.openxmlformats.org/officeDocument/2006/relationships/printerSettings" Target="../printerSettings/printerSettings28.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P184"/>
  <sheetViews>
    <sheetView topLeftCell="A13" zoomScaleNormal="100" workbookViewId="0">
      <selection activeCell="B2" sqref="B2:D2"/>
    </sheetView>
  </sheetViews>
  <sheetFormatPr baseColWidth="10" defaultColWidth="8.5703125" defaultRowHeight="11.25"/>
  <cols>
    <col min="1" max="1" width="11.42578125" style="135" customWidth="1"/>
    <col min="2" max="2" width="27.140625" style="135" customWidth="1"/>
    <col min="3" max="3" width="30" style="135" customWidth="1"/>
    <col min="4" max="4" width="7.140625" style="135" customWidth="1"/>
    <col min="5" max="5" width="21.42578125" style="135" customWidth="1"/>
    <col min="6" max="6" width="11.42578125" style="379" customWidth="1"/>
    <col min="7" max="7" width="12.85546875" style="379" customWidth="1"/>
    <col min="8" max="8" width="17.140625" style="379" customWidth="1"/>
    <col min="9" max="9" width="7.140625" style="135" customWidth="1"/>
    <col min="10" max="14" width="18.5703125" style="135" customWidth="1"/>
    <col min="15" max="15" width="8.5703125" style="135"/>
    <col min="16" max="16" width="18.5703125" style="135" customWidth="1"/>
    <col min="17" max="16384" width="8.5703125" style="135"/>
  </cols>
  <sheetData>
    <row r="1" spans="1:13">
      <c r="A1" s="76" t="s">
        <v>4</v>
      </c>
      <c r="C1" s="161" t="s">
        <v>20</v>
      </c>
      <c r="D1" s="81" t="s">
        <v>20</v>
      </c>
      <c r="K1" s="81" t="s">
        <v>20</v>
      </c>
    </row>
    <row r="2" spans="1:13">
      <c r="A2" s="135">
        <v>1</v>
      </c>
      <c r="B2" s="76" t="s">
        <v>63</v>
      </c>
      <c r="C2" s="182" t="str">
        <f t="shared" ref="C2:C34" si="0">FIXED(ROUNDUP(F2*$D$40,1),2)</f>
        <v>169,60</v>
      </c>
      <c r="D2" s="183" t="str">
        <f>FIXED(F2*$D$40,2)</f>
        <v>169,57</v>
      </c>
      <c r="E2" s="187" t="str">
        <f>(INT(F2)&amp;" Std "&amp;IF(CEILING(ROUNDDOWN((F2-TRUNC(F2))*60,1),1)&gt;0,CEILING(ROUNDDOWN((F2-TRUNC(F2))*60,1),1)&amp;" min",""))</f>
        <v xml:space="preserve">39 Std </v>
      </c>
      <c r="F2" s="183">
        <v>39</v>
      </c>
      <c r="G2" s="147"/>
      <c r="I2" s="135">
        <v>36</v>
      </c>
      <c r="J2" s="164" t="s">
        <v>235</v>
      </c>
      <c r="K2" s="183" t="str">
        <f>FIXED(M2*$D$40,2)</f>
        <v>169,57</v>
      </c>
      <c r="L2" s="187" t="str">
        <f>(INT(M2)&amp;" Std "&amp;IF(CEILING(ROUNDDOWN((M2-TRUNC(M2))*60,1),1)&gt;0,CEILING(ROUNDDOWN((M2-TRUNC(M2))*60,1),1)&amp;" min",""))</f>
        <v xml:space="preserve">39 Std </v>
      </c>
      <c r="M2" s="164">
        <v>39</v>
      </c>
    </row>
    <row r="3" spans="1:13">
      <c r="A3" s="135">
        <v>2</v>
      </c>
      <c r="B3" s="76" t="s">
        <v>64</v>
      </c>
      <c r="C3" s="182" t="str">
        <f t="shared" si="0"/>
        <v>169,60</v>
      </c>
      <c r="D3" s="183" t="str">
        <f t="shared" ref="D3:D32" si="1">FIXED(F3*$D$40,2)</f>
        <v>169,57</v>
      </c>
      <c r="E3" s="187" t="str">
        <f t="shared" ref="E3:E36" si="2">(INT(F3)&amp;" Std "&amp;IF(CEILING(ROUNDDOWN((F3-TRUNC(F3))*60,1),1)&gt;0,CEILING(ROUNDDOWN((F3-TRUNC(F3))*60,1),1)&amp;" min",""))</f>
        <v xml:space="preserve">39 Std </v>
      </c>
      <c r="F3" s="183">
        <v>39</v>
      </c>
      <c r="G3" s="147"/>
      <c r="I3" s="135">
        <v>37</v>
      </c>
      <c r="J3" s="164" t="s">
        <v>236</v>
      </c>
      <c r="K3" s="183" t="str">
        <f>FIXED(M3*$D$40,2)</f>
        <v>171,33</v>
      </c>
      <c r="L3" s="187" t="str">
        <f>(INT(M3)&amp;" Std "&amp;IF(CEILING(ROUNDDOWN((M3-TRUNC(M3))*60,1),1)&gt;0,CEILING(ROUNDDOWN((M3-TRUNC(M3))*60,1),1)&amp;" min",""))</f>
        <v>39 Std 25 min</v>
      </c>
      <c r="M3" s="164">
        <f>AVERAGE(F19:F27)</f>
        <v>39.403333333333336</v>
      </c>
    </row>
    <row r="4" spans="1:13">
      <c r="A4" s="135">
        <v>3</v>
      </c>
      <c r="B4" s="76" t="s">
        <v>113</v>
      </c>
      <c r="C4" s="182" t="str">
        <f t="shared" si="0"/>
        <v>169,60</v>
      </c>
      <c r="D4" s="183" t="str">
        <f t="shared" si="1"/>
        <v>169,57</v>
      </c>
      <c r="E4" s="187" t="str">
        <f t="shared" si="2"/>
        <v xml:space="preserve">39 Std </v>
      </c>
      <c r="F4" s="183">
        <v>39</v>
      </c>
      <c r="G4" s="147"/>
      <c r="I4" s="164"/>
      <c r="J4" s="164"/>
      <c r="K4" s="164"/>
    </row>
    <row r="5" spans="1:13">
      <c r="A5" s="135">
        <v>4</v>
      </c>
      <c r="B5" s="76" t="s">
        <v>59</v>
      </c>
      <c r="C5" s="182" t="str">
        <f t="shared" si="0"/>
        <v>169,60</v>
      </c>
      <c r="D5" s="183" t="str">
        <f t="shared" si="1"/>
        <v>169,57</v>
      </c>
      <c r="E5" s="187" t="str">
        <f t="shared" si="2"/>
        <v xml:space="preserve">39 Std </v>
      </c>
      <c r="F5" s="183">
        <v>39</v>
      </c>
      <c r="G5" s="147"/>
      <c r="I5" s="164"/>
      <c r="J5" s="164"/>
      <c r="K5" s="164"/>
    </row>
    <row r="6" spans="1:13">
      <c r="A6" s="135">
        <v>5</v>
      </c>
      <c r="B6" s="76" t="s">
        <v>59</v>
      </c>
      <c r="C6" s="182" t="str">
        <f t="shared" si="0"/>
        <v>169,60</v>
      </c>
      <c r="D6" s="183" t="str">
        <f t="shared" si="1"/>
        <v>169,57</v>
      </c>
      <c r="E6" s="187" t="str">
        <f t="shared" si="2"/>
        <v xml:space="preserve">39 Std </v>
      </c>
      <c r="F6" s="183">
        <v>39</v>
      </c>
      <c r="G6" s="147"/>
      <c r="I6" s="164"/>
      <c r="J6" s="164"/>
      <c r="K6" s="164"/>
    </row>
    <row r="7" spans="1:13">
      <c r="A7" s="135">
        <v>6</v>
      </c>
      <c r="B7" s="76" t="s">
        <v>59</v>
      </c>
      <c r="C7" s="182" t="str">
        <f t="shared" si="0"/>
        <v>169,60</v>
      </c>
      <c r="D7" s="183" t="str">
        <f t="shared" si="1"/>
        <v>169,57</v>
      </c>
      <c r="E7" s="187" t="str">
        <f t="shared" si="2"/>
        <v xml:space="preserve">39 Std </v>
      </c>
      <c r="F7" s="183">
        <v>39</v>
      </c>
      <c r="G7" s="147"/>
      <c r="I7" s="164"/>
      <c r="J7" s="164"/>
      <c r="K7" s="164"/>
    </row>
    <row r="8" spans="1:13">
      <c r="A8" s="135">
        <v>7</v>
      </c>
      <c r="B8" s="76" t="s">
        <v>59</v>
      </c>
      <c r="C8" s="182" t="str">
        <f t="shared" si="0"/>
        <v>169,60</v>
      </c>
      <c r="D8" s="183" t="str">
        <f t="shared" si="1"/>
        <v>169,57</v>
      </c>
      <c r="E8" s="187" t="str">
        <f t="shared" si="2"/>
        <v xml:space="preserve">39 Std </v>
      </c>
      <c r="F8" s="183">
        <v>39</v>
      </c>
      <c r="G8" s="147"/>
      <c r="I8" s="164"/>
      <c r="J8" s="164"/>
      <c r="K8" s="164"/>
    </row>
    <row r="9" spans="1:13">
      <c r="A9" s="135">
        <v>8</v>
      </c>
      <c r="B9" s="76" t="s">
        <v>59</v>
      </c>
      <c r="C9" s="182" t="str">
        <f t="shared" si="0"/>
        <v>169,60</v>
      </c>
      <c r="D9" s="183" t="str">
        <f t="shared" si="1"/>
        <v>169,57</v>
      </c>
      <c r="E9" s="187" t="str">
        <f t="shared" si="2"/>
        <v xml:space="preserve">39 Std </v>
      </c>
      <c r="F9" s="183">
        <v>39</v>
      </c>
      <c r="G9" s="147"/>
      <c r="I9" s="164"/>
      <c r="J9" s="164"/>
      <c r="K9" s="164"/>
    </row>
    <row r="10" spans="1:13">
      <c r="A10" s="135">
        <v>9</v>
      </c>
      <c r="B10" s="76" t="s">
        <v>60</v>
      </c>
      <c r="C10" s="182" t="str">
        <f t="shared" si="0"/>
        <v>169,60</v>
      </c>
      <c r="D10" s="183" t="str">
        <f t="shared" si="1"/>
        <v>169,57</v>
      </c>
      <c r="E10" s="187" t="str">
        <f t="shared" si="2"/>
        <v xml:space="preserve">39 Std </v>
      </c>
      <c r="F10" s="183">
        <v>39</v>
      </c>
      <c r="G10" s="147"/>
      <c r="I10" s="164"/>
      <c r="J10" s="164"/>
      <c r="K10" s="164"/>
    </row>
    <row r="11" spans="1:13">
      <c r="A11" s="135">
        <v>10</v>
      </c>
      <c r="B11" s="76" t="s">
        <v>60</v>
      </c>
      <c r="C11" s="182" t="str">
        <f t="shared" si="0"/>
        <v>169,60</v>
      </c>
      <c r="D11" s="183" t="str">
        <f t="shared" si="1"/>
        <v>169,57</v>
      </c>
      <c r="E11" s="187" t="str">
        <f t="shared" si="2"/>
        <v xml:space="preserve">39 Std </v>
      </c>
      <c r="F11" s="183">
        <v>39</v>
      </c>
      <c r="G11" s="147"/>
      <c r="I11" s="164"/>
      <c r="J11" s="164"/>
      <c r="K11" s="164"/>
    </row>
    <row r="12" spans="1:13">
      <c r="A12" s="135">
        <v>11</v>
      </c>
      <c r="B12" s="76" t="s">
        <v>61</v>
      </c>
      <c r="C12" s="182" t="str">
        <f t="shared" si="0"/>
        <v>169,60</v>
      </c>
      <c r="D12" s="183" t="str">
        <f t="shared" si="1"/>
        <v>169,57</v>
      </c>
      <c r="E12" s="187" t="str">
        <f t="shared" si="2"/>
        <v xml:space="preserve">39 Std </v>
      </c>
      <c r="F12" s="183">
        <v>39</v>
      </c>
      <c r="G12" s="147"/>
      <c r="I12" s="164"/>
      <c r="J12" s="164"/>
      <c r="K12" s="164"/>
    </row>
    <row r="13" spans="1:13">
      <c r="A13" s="135">
        <v>12</v>
      </c>
      <c r="B13" s="76" t="s">
        <v>61</v>
      </c>
      <c r="C13" s="182" t="str">
        <f t="shared" si="0"/>
        <v>169,60</v>
      </c>
      <c r="D13" s="183" t="str">
        <f t="shared" si="1"/>
        <v>169,57</v>
      </c>
      <c r="E13" s="187" t="str">
        <f t="shared" si="2"/>
        <v xml:space="preserve">39 Std </v>
      </c>
      <c r="F13" s="183">
        <v>39</v>
      </c>
      <c r="G13" s="147"/>
      <c r="I13" s="164"/>
      <c r="J13" s="164"/>
      <c r="K13" s="164"/>
    </row>
    <row r="14" spans="1:13">
      <c r="A14" s="135">
        <v>13</v>
      </c>
      <c r="B14" s="76" t="s">
        <v>88</v>
      </c>
      <c r="C14" s="182" t="str">
        <f t="shared" si="0"/>
        <v>169,60</v>
      </c>
      <c r="D14" s="183" t="str">
        <f t="shared" si="1"/>
        <v>169,57</v>
      </c>
      <c r="E14" s="187" t="str">
        <f t="shared" si="2"/>
        <v xml:space="preserve">39 Std </v>
      </c>
      <c r="F14" s="183">
        <v>39</v>
      </c>
      <c r="G14" s="147"/>
      <c r="I14" s="164"/>
      <c r="J14" s="164"/>
      <c r="K14" s="164"/>
    </row>
    <row r="15" spans="1:13">
      <c r="A15" s="135">
        <v>14</v>
      </c>
      <c r="B15" s="76" t="s">
        <v>88</v>
      </c>
      <c r="C15" s="182" t="str">
        <f t="shared" si="0"/>
        <v>169,60</v>
      </c>
      <c r="D15" s="183" t="str">
        <f t="shared" si="1"/>
        <v>169,57</v>
      </c>
      <c r="E15" s="187" t="str">
        <f t="shared" si="2"/>
        <v xml:space="preserve">39 Std </v>
      </c>
      <c r="F15" s="183">
        <v>39</v>
      </c>
      <c r="G15" s="147"/>
      <c r="I15" s="164"/>
      <c r="J15" s="164"/>
      <c r="K15" s="164"/>
    </row>
    <row r="16" spans="1:13">
      <c r="A16" s="135">
        <v>15</v>
      </c>
      <c r="B16" s="76" t="s">
        <v>89</v>
      </c>
      <c r="C16" s="182" t="str">
        <f t="shared" si="0"/>
        <v>169,60</v>
      </c>
      <c r="D16" s="183" t="str">
        <f t="shared" si="1"/>
        <v>169,57</v>
      </c>
      <c r="E16" s="187" t="str">
        <f t="shared" si="2"/>
        <v xml:space="preserve">39 Std </v>
      </c>
      <c r="F16" s="183">
        <v>39</v>
      </c>
      <c r="G16" s="147"/>
      <c r="I16" s="164"/>
      <c r="J16" s="164"/>
      <c r="K16" s="164"/>
    </row>
    <row r="17" spans="1:11">
      <c r="A17" s="135">
        <v>16</v>
      </c>
      <c r="B17" s="76" t="s">
        <v>89</v>
      </c>
      <c r="C17" s="182" t="str">
        <f t="shared" si="0"/>
        <v>169,60</v>
      </c>
      <c r="D17" s="183" t="str">
        <f t="shared" si="1"/>
        <v>169,57</v>
      </c>
      <c r="E17" s="187" t="str">
        <f t="shared" si="2"/>
        <v xml:space="preserve">39 Std </v>
      </c>
      <c r="F17" s="183">
        <v>39</v>
      </c>
      <c r="G17" s="147"/>
      <c r="I17" s="164"/>
      <c r="J17" s="164"/>
      <c r="K17" s="164"/>
    </row>
    <row r="18" spans="1:11">
      <c r="A18" s="135">
        <v>17</v>
      </c>
      <c r="B18" s="76" t="s">
        <v>62</v>
      </c>
      <c r="C18" s="182" t="str">
        <f t="shared" si="0"/>
        <v>174,00</v>
      </c>
      <c r="D18" s="183" t="str">
        <f t="shared" si="1"/>
        <v>173,92</v>
      </c>
      <c r="E18" s="187" t="str">
        <f t="shared" si="2"/>
        <v xml:space="preserve">40 Std </v>
      </c>
      <c r="F18" s="183">
        <v>40</v>
      </c>
      <c r="G18" s="147"/>
      <c r="I18" s="164"/>
      <c r="J18" s="164"/>
      <c r="K18" s="164"/>
    </row>
    <row r="19" spans="1:11">
      <c r="A19" s="135">
        <v>18</v>
      </c>
      <c r="B19" s="397" t="s">
        <v>35</v>
      </c>
      <c r="C19" s="182" t="str">
        <f t="shared" si="0"/>
        <v>171,80</v>
      </c>
      <c r="D19" s="183" t="str">
        <f t="shared" si="1"/>
        <v>171,75</v>
      </c>
      <c r="E19" s="187" t="str">
        <f t="shared" si="2"/>
        <v>39 Std 30 min</v>
      </c>
      <c r="F19" s="487">
        <v>39.5</v>
      </c>
      <c r="G19" s="147"/>
      <c r="I19" s="164"/>
      <c r="J19" s="164"/>
      <c r="K19" s="164"/>
    </row>
    <row r="20" spans="1:11">
      <c r="A20" s="135">
        <v>19</v>
      </c>
      <c r="B20" s="397" t="s">
        <v>36</v>
      </c>
      <c r="C20" s="182" t="str">
        <f t="shared" si="0"/>
        <v>174,40</v>
      </c>
      <c r="D20" s="183" t="str">
        <f t="shared" si="1"/>
        <v>174,35</v>
      </c>
      <c r="E20" s="187" t="str">
        <f t="shared" si="2"/>
        <v>40 Std 6 min</v>
      </c>
      <c r="F20" s="487">
        <v>40.1</v>
      </c>
      <c r="G20" s="147"/>
      <c r="I20" s="164"/>
      <c r="J20" s="164"/>
      <c r="K20" s="164"/>
    </row>
    <row r="21" spans="1:11">
      <c r="A21" s="135">
        <v>20</v>
      </c>
      <c r="B21" s="397" t="s">
        <v>42</v>
      </c>
      <c r="C21" s="182" t="str">
        <f t="shared" si="0"/>
        <v>170,50</v>
      </c>
      <c r="D21" s="183" t="str">
        <f t="shared" si="1"/>
        <v>170,44</v>
      </c>
      <c r="E21" s="187" t="str">
        <f t="shared" si="2"/>
        <v>39 Std 12 min</v>
      </c>
      <c r="F21" s="487">
        <v>39.200000000000003</v>
      </c>
      <c r="G21" s="147"/>
      <c r="I21" s="164"/>
      <c r="J21" s="164"/>
      <c r="K21" s="164"/>
    </row>
    <row r="22" spans="1:11">
      <c r="A22" s="135">
        <v>21</v>
      </c>
      <c r="B22" s="397" t="s">
        <v>37</v>
      </c>
      <c r="C22" s="182" t="str">
        <f t="shared" si="0"/>
        <v>169,60</v>
      </c>
      <c r="D22" s="183" t="str">
        <f t="shared" si="1"/>
        <v>169,57</v>
      </c>
      <c r="E22" s="187" t="str">
        <f t="shared" si="2"/>
        <v xml:space="preserve">39 Std </v>
      </c>
      <c r="F22" s="487">
        <v>39</v>
      </c>
      <c r="G22" s="147"/>
      <c r="I22" s="164"/>
      <c r="J22" s="164"/>
      <c r="K22" s="164"/>
    </row>
    <row r="23" spans="1:11">
      <c r="A23" s="135">
        <v>22</v>
      </c>
      <c r="B23" s="397" t="s">
        <v>38</v>
      </c>
      <c r="C23" s="182" t="str">
        <f t="shared" si="0"/>
        <v>173,10</v>
      </c>
      <c r="D23" s="183" t="str">
        <f t="shared" si="1"/>
        <v>173,05</v>
      </c>
      <c r="E23" s="187" t="str">
        <f t="shared" si="2"/>
        <v>39 Std 48 min</v>
      </c>
      <c r="F23" s="487">
        <v>39.799999999999997</v>
      </c>
      <c r="G23" s="147"/>
      <c r="I23" s="164"/>
      <c r="J23" s="164"/>
      <c r="K23" s="164"/>
    </row>
    <row r="24" spans="1:11">
      <c r="A24" s="135">
        <v>23</v>
      </c>
      <c r="B24" s="397" t="s">
        <v>98</v>
      </c>
      <c r="C24" s="182" t="str">
        <f t="shared" si="0"/>
        <v>173,20</v>
      </c>
      <c r="D24" s="183" t="str">
        <f t="shared" si="1"/>
        <v>173,18</v>
      </c>
      <c r="E24" s="187" t="str">
        <f t="shared" si="2"/>
        <v>39 Std 50 min</v>
      </c>
      <c r="F24" s="487">
        <v>39.83</v>
      </c>
      <c r="G24" s="147"/>
      <c r="I24" s="164"/>
      <c r="J24" s="164"/>
      <c r="K24" s="164"/>
    </row>
    <row r="25" spans="1:11">
      <c r="A25" s="135">
        <v>24</v>
      </c>
      <c r="B25" s="397" t="s">
        <v>39</v>
      </c>
      <c r="C25" s="182" t="str">
        <f t="shared" si="0"/>
        <v>169,60</v>
      </c>
      <c r="D25" s="183" t="str">
        <f t="shared" si="1"/>
        <v>169,57</v>
      </c>
      <c r="E25" s="187" t="str">
        <f t="shared" si="2"/>
        <v xml:space="preserve">39 Std </v>
      </c>
      <c r="F25" s="487">
        <v>39</v>
      </c>
      <c r="G25" s="147"/>
      <c r="I25" s="164"/>
      <c r="J25" s="397"/>
    </row>
    <row r="26" spans="1:11">
      <c r="A26" s="135">
        <v>25</v>
      </c>
      <c r="B26" s="397" t="s">
        <v>40</v>
      </c>
      <c r="C26" s="182" t="str">
        <f t="shared" si="0"/>
        <v>171,80</v>
      </c>
      <c r="D26" s="183" t="str">
        <f t="shared" si="1"/>
        <v>171,75</v>
      </c>
      <c r="E26" s="187" t="str">
        <f t="shared" si="2"/>
        <v>39 Std 30 min</v>
      </c>
      <c r="F26" s="487">
        <v>39.5</v>
      </c>
      <c r="G26" s="147"/>
      <c r="I26" s="164"/>
      <c r="J26" s="164"/>
    </row>
    <row r="27" spans="1:11">
      <c r="A27" s="135">
        <v>26</v>
      </c>
      <c r="B27" s="397" t="s">
        <v>41</v>
      </c>
      <c r="C27" s="182" t="str">
        <f t="shared" si="0"/>
        <v>168,30</v>
      </c>
      <c r="D27" s="183" t="str">
        <f t="shared" si="1"/>
        <v>168,27</v>
      </c>
      <c r="E27" s="187" t="str">
        <f t="shared" si="2"/>
        <v>38 Std 42 min</v>
      </c>
      <c r="F27" s="487">
        <v>38.700000000000003</v>
      </c>
      <c r="G27" s="147"/>
      <c r="I27" s="164"/>
      <c r="J27" s="164"/>
    </row>
    <row r="28" spans="1:11">
      <c r="A28" s="135">
        <v>27</v>
      </c>
      <c r="B28" s="397" t="s">
        <v>43</v>
      </c>
      <c r="C28" s="182" t="str">
        <f t="shared" si="0"/>
        <v>174,00</v>
      </c>
      <c r="D28" s="183" t="str">
        <f t="shared" si="1"/>
        <v>173,92</v>
      </c>
      <c r="E28" s="187" t="str">
        <f t="shared" si="2"/>
        <v xml:space="preserve">40 Std </v>
      </c>
      <c r="F28" s="183">
        <v>40</v>
      </c>
      <c r="G28" s="147"/>
      <c r="I28" s="164"/>
      <c r="J28" s="164"/>
    </row>
    <row r="29" spans="1:11">
      <c r="A29" s="135">
        <v>28</v>
      </c>
      <c r="B29" s="397" t="s">
        <v>44</v>
      </c>
      <c r="C29" s="182" t="str">
        <f t="shared" si="0"/>
        <v>174,00</v>
      </c>
      <c r="D29" s="183" t="str">
        <f t="shared" si="1"/>
        <v>173,92</v>
      </c>
      <c r="E29" s="187" t="str">
        <f t="shared" si="2"/>
        <v xml:space="preserve">40 Std </v>
      </c>
      <c r="F29" s="183">
        <v>40</v>
      </c>
      <c r="G29" s="147"/>
      <c r="I29" s="164"/>
      <c r="J29" s="164"/>
    </row>
    <row r="30" spans="1:11">
      <c r="A30" s="135">
        <v>29</v>
      </c>
      <c r="B30" s="397" t="s">
        <v>45</v>
      </c>
      <c r="C30" s="182" t="str">
        <f t="shared" si="0"/>
        <v>174,00</v>
      </c>
      <c r="D30" s="183" t="str">
        <f t="shared" si="1"/>
        <v>173,92</v>
      </c>
      <c r="E30" s="187" t="str">
        <f t="shared" si="2"/>
        <v xml:space="preserve">40 Std </v>
      </c>
      <c r="F30" s="183">
        <v>40</v>
      </c>
      <c r="G30" s="147"/>
      <c r="I30" s="164"/>
      <c r="J30" s="164"/>
    </row>
    <row r="31" spans="1:11">
      <c r="A31" s="135">
        <v>30</v>
      </c>
      <c r="B31" s="397" t="s">
        <v>46</v>
      </c>
      <c r="C31" s="182" t="str">
        <f t="shared" si="0"/>
        <v>174,00</v>
      </c>
      <c r="D31" s="183" t="str">
        <f t="shared" si="1"/>
        <v>173,92</v>
      </c>
      <c r="E31" s="187" t="str">
        <f t="shared" si="2"/>
        <v xml:space="preserve">40 Std </v>
      </c>
      <c r="F31" s="183">
        <v>40</v>
      </c>
      <c r="G31" s="147"/>
      <c r="I31" s="164"/>
      <c r="J31" s="164"/>
    </row>
    <row r="32" spans="1:11">
      <c r="A32" s="135">
        <v>31</v>
      </c>
      <c r="B32" s="397" t="s">
        <v>47</v>
      </c>
      <c r="C32" s="182" t="str">
        <f t="shared" si="0"/>
        <v>174,00</v>
      </c>
      <c r="D32" s="183" t="str">
        <f t="shared" si="1"/>
        <v>173,92</v>
      </c>
      <c r="E32" s="187" t="str">
        <f t="shared" si="2"/>
        <v xml:space="preserve">40 Std </v>
      </c>
      <c r="F32" s="183">
        <v>40</v>
      </c>
      <c r="G32" s="147"/>
      <c r="I32" s="164"/>
      <c r="J32" s="164"/>
    </row>
    <row r="33" spans="1:10">
      <c r="A33" s="135">
        <v>32</v>
      </c>
      <c r="B33" s="397" t="s">
        <v>86</v>
      </c>
      <c r="C33" s="182" t="str">
        <f t="shared" si="0"/>
        <v>167,40</v>
      </c>
      <c r="D33" s="183" t="str">
        <f t="shared" ref="D33:D38" si="3">FIXED(F33*$D$40,2)</f>
        <v>167,40</v>
      </c>
      <c r="E33" s="187" t="str">
        <f t="shared" si="2"/>
        <v>38 Std 30 min</v>
      </c>
      <c r="F33" s="183">
        <v>38.5</v>
      </c>
      <c r="G33" s="147"/>
      <c r="I33" s="164"/>
      <c r="J33" s="164"/>
    </row>
    <row r="34" spans="1:10">
      <c r="A34" s="135">
        <v>33</v>
      </c>
      <c r="B34" s="397" t="s">
        <v>87</v>
      </c>
      <c r="C34" s="182" t="str">
        <f t="shared" si="0"/>
        <v>174,00</v>
      </c>
      <c r="D34" s="183" t="str">
        <f t="shared" si="3"/>
        <v>173,92</v>
      </c>
      <c r="E34" s="187" t="str">
        <f t="shared" si="2"/>
        <v xml:space="preserve">40 Std </v>
      </c>
      <c r="F34" s="183">
        <v>40</v>
      </c>
      <c r="G34" s="147"/>
      <c r="I34" s="164"/>
      <c r="J34" s="164"/>
    </row>
    <row r="35" spans="1:10">
      <c r="A35" s="135">
        <v>34</v>
      </c>
      <c r="B35" s="397" t="s">
        <v>107</v>
      </c>
      <c r="C35" s="182" t="str">
        <f>FIXED(ROUNDUP(F35*$D$40,1),2)</f>
        <v>167,40</v>
      </c>
      <c r="D35" s="183" t="str">
        <f t="shared" si="3"/>
        <v>167,40</v>
      </c>
      <c r="E35" s="187" t="str">
        <f t="shared" si="2"/>
        <v>38 Std 30 min</v>
      </c>
      <c r="F35" s="183">
        <v>38.5</v>
      </c>
      <c r="G35" s="147"/>
      <c r="H35" s="183"/>
      <c r="I35" s="164"/>
      <c r="J35" s="164"/>
    </row>
    <row r="36" spans="1:10">
      <c r="A36" s="135">
        <v>35</v>
      </c>
      <c r="B36" s="397" t="s">
        <v>108</v>
      </c>
      <c r="C36" s="182" t="str">
        <f>FIXED(ROUNDUP(F36*$D$40,1),2)</f>
        <v>174,00</v>
      </c>
      <c r="D36" s="183" t="str">
        <f t="shared" si="3"/>
        <v>173,92</v>
      </c>
      <c r="E36" s="187" t="str">
        <f t="shared" si="2"/>
        <v xml:space="preserve">40 Std </v>
      </c>
      <c r="F36" s="183">
        <v>40</v>
      </c>
      <c r="G36" s="147"/>
      <c r="H36" s="183"/>
      <c r="I36" s="164"/>
      <c r="J36" s="164"/>
    </row>
    <row r="37" spans="1:10">
      <c r="A37" s="397">
        <v>36</v>
      </c>
      <c r="B37" s="397" t="s">
        <v>329</v>
      </c>
      <c r="C37" s="505" t="str">
        <f>FIXED(ROUNDUP(F37*$D$40,1),2)</f>
        <v>171,40</v>
      </c>
      <c r="D37" s="506" t="str">
        <f t="shared" si="3"/>
        <v>171,31</v>
      </c>
      <c r="E37" s="507" t="str">
        <f>(INT(F37)&amp;" Std "&amp;IF(CEILING(ROUNDDOWN((F37-TRUNC(F37))*60,1),1)&gt;0,CEILING(ROUNDDOWN((F37-TRUNC(F37))*60,1),1)&amp;" min",""))</f>
        <v>39 Std 24 min</v>
      </c>
      <c r="F37" s="509">
        <v>39.4</v>
      </c>
      <c r="G37" s="508">
        <f>AVERAGE(F19:F27)</f>
        <v>39.403333333333336</v>
      </c>
      <c r="H37" s="183"/>
      <c r="I37" s="164"/>
      <c r="J37" s="164"/>
    </row>
    <row r="38" spans="1:10">
      <c r="A38" s="135">
        <v>37</v>
      </c>
      <c r="B38" s="135" t="s">
        <v>168</v>
      </c>
      <c r="C38" s="81"/>
      <c r="D38" s="183" t="str">
        <f t="shared" si="3"/>
        <v>167,40</v>
      </c>
      <c r="E38" s="81"/>
      <c r="F38" s="183">
        <v>38.5</v>
      </c>
      <c r="G38" s="147"/>
    </row>
    <row r="39" spans="1:10">
      <c r="A39" s="76" t="s">
        <v>0</v>
      </c>
      <c r="D39" s="81"/>
      <c r="E39" s="81"/>
      <c r="F39" s="147"/>
      <c r="G39" s="147"/>
    </row>
    <row r="40" spans="1:10">
      <c r="B40" s="135" t="s">
        <v>90</v>
      </c>
      <c r="C40" s="147">
        <f>(((3*365)+366)/4)/7/12</f>
        <v>4.3482142857142856</v>
      </c>
      <c r="D40" s="147">
        <v>4.3479999999999999</v>
      </c>
      <c r="F40" s="147"/>
      <c r="G40" s="147"/>
    </row>
    <row r="41" spans="1:10">
      <c r="C41" s="147"/>
      <c r="D41" s="184"/>
      <c r="F41" s="147"/>
      <c r="G41" s="147"/>
    </row>
    <row r="42" spans="1:10">
      <c r="A42" s="76" t="s">
        <v>18</v>
      </c>
      <c r="C42" s="147"/>
      <c r="D42" s="184"/>
      <c r="F42" s="147"/>
      <c r="G42" s="147"/>
    </row>
    <row r="43" spans="1:10">
      <c r="B43" s="135" t="s">
        <v>17</v>
      </c>
    </row>
    <row r="45" spans="1:10">
      <c r="A45" s="76" t="s">
        <v>57</v>
      </c>
      <c r="B45" s="148"/>
      <c r="C45" s="76"/>
      <c r="D45" s="76"/>
      <c r="E45" s="76"/>
    </row>
    <row r="46" spans="1:10">
      <c r="B46" s="76" t="s">
        <v>1</v>
      </c>
      <c r="C46" s="185">
        <v>0.92500000000000004</v>
      </c>
      <c r="D46" s="186"/>
      <c r="E46" s="118" t="s">
        <v>27</v>
      </c>
    </row>
    <row r="47" spans="1:10">
      <c r="A47" s="76"/>
      <c r="B47" s="76" t="s">
        <v>1</v>
      </c>
      <c r="C47" s="185">
        <v>1</v>
      </c>
      <c r="D47" s="186"/>
      <c r="E47" s="118" t="s">
        <v>28</v>
      </c>
      <c r="F47" s="379" t="s">
        <v>105</v>
      </c>
    </row>
    <row r="48" spans="1:10">
      <c r="A48" s="76"/>
      <c r="B48" s="76" t="s">
        <v>1</v>
      </c>
      <c r="C48" s="185">
        <v>1</v>
      </c>
      <c r="D48" s="186"/>
      <c r="E48" s="118" t="s">
        <v>109</v>
      </c>
      <c r="F48" s="379" t="s">
        <v>110</v>
      </c>
    </row>
    <row r="49" spans="1:8">
      <c r="A49" s="76"/>
      <c r="B49" s="76" t="s">
        <v>3</v>
      </c>
      <c r="C49" s="185">
        <v>0.92500000000000004</v>
      </c>
      <c r="D49" s="186"/>
      <c r="E49" s="118" t="s">
        <v>30</v>
      </c>
    </row>
    <row r="50" spans="1:8">
      <c r="A50" s="76"/>
      <c r="B50" s="76" t="s">
        <v>3</v>
      </c>
      <c r="C50" s="185">
        <v>1</v>
      </c>
      <c r="D50" s="186"/>
      <c r="E50" s="118" t="s">
        <v>28</v>
      </c>
      <c r="F50" s="379" t="s">
        <v>5</v>
      </c>
    </row>
    <row r="51" spans="1:8">
      <c r="B51" s="76" t="s">
        <v>3</v>
      </c>
      <c r="C51" s="185">
        <v>1</v>
      </c>
      <c r="D51" s="186"/>
      <c r="E51" s="118" t="s">
        <v>29</v>
      </c>
      <c r="F51" s="379" t="s">
        <v>111</v>
      </c>
    </row>
    <row r="52" spans="1:8">
      <c r="B52" s="76" t="s">
        <v>2</v>
      </c>
      <c r="C52" s="185">
        <v>0.94</v>
      </c>
      <c r="D52" s="186"/>
      <c r="E52" s="118" t="s">
        <v>31</v>
      </c>
    </row>
    <row r="53" spans="1:8">
      <c r="B53" s="76" t="s">
        <v>2</v>
      </c>
      <c r="C53" s="185">
        <v>0.95499999999999996</v>
      </c>
      <c r="D53" s="186"/>
      <c r="E53" s="118" t="s">
        <v>32</v>
      </c>
    </row>
    <row r="54" spans="1:8">
      <c r="B54" s="76" t="s">
        <v>2</v>
      </c>
      <c r="C54" s="185">
        <v>0.97</v>
      </c>
      <c r="D54" s="186"/>
      <c r="E54" s="118" t="s">
        <v>33</v>
      </c>
    </row>
    <row r="55" spans="1:8">
      <c r="B55" s="76" t="s">
        <v>2</v>
      </c>
      <c r="C55" s="185">
        <v>1</v>
      </c>
      <c r="D55" s="186"/>
      <c r="E55" s="118" t="s">
        <v>28</v>
      </c>
      <c r="F55" s="379" t="s">
        <v>105</v>
      </c>
      <c r="G55" s="379" t="s">
        <v>112</v>
      </c>
    </row>
    <row r="56" spans="1:8">
      <c r="B56" s="76" t="s">
        <v>2</v>
      </c>
      <c r="C56" s="185">
        <v>1</v>
      </c>
      <c r="D56" s="186"/>
      <c r="E56" s="118" t="s">
        <v>29</v>
      </c>
      <c r="F56" s="379" t="s">
        <v>110</v>
      </c>
    </row>
    <row r="57" spans="1:8">
      <c r="E57" s="155"/>
    </row>
    <row r="58" spans="1:8">
      <c r="A58" s="76" t="s">
        <v>67</v>
      </c>
      <c r="B58" s="76" t="s">
        <v>95</v>
      </c>
      <c r="C58" s="117" t="s">
        <v>188</v>
      </c>
      <c r="E58" s="155" t="s">
        <v>28</v>
      </c>
    </row>
    <row r="59" spans="1:8">
      <c r="B59" s="76" t="s">
        <v>95</v>
      </c>
      <c r="C59" s="144">
        <v>2.8000000000000001E-2</v>
      </c>
      <c r="E59" s="155" t="s">
        <v>116</v>
      </c>
    </row>
    <row r="60" spans="1:8">
      <c r="B60" s="135" t="s">
        <v>95</v>
      </c>
      <c r="C60" s="144">
        <v>1.2E-2</v>
      </c>
      <c r="E60" s="155" t="s">
        <v>29</v>
      </c>
    </row>
    <row r="61" spans="1:8">
      <c r="B61" s="135" t="s">
        <v>95</v>
      </c>
      <c r="C61" s="144">
        <v>6.0000000000000001E-3</v>
      </c>
      <c r="E61" s="155" t="s">
        <v>170</v>
      </c>
    </row>
    <row r="62" spans="1:8">
      <c r="B62" s="135" t="s">
        <v>95</v>
      </c>
      <c r="C62" s="144">
        <v>5.0000000000000001E-3</v>
      </c>
      <c r="E62" s="155" t="s">
        <v>172</v>
      </c>
    </row>
    <row r="63" spans="1:8">
      <c r="B63" s="135" t="s">
        <v>95</v>
      </c>
      <c r="C63" s="117" t="s">
        <v>223</v>
      </c>
      <c r="E63" s="143" t="s">
        <v>202</v>
      </c>
      <c r="F63" s="379" t="s">
        <v>456</v>
      </c>
      <c r="G63" s="379" t="s">
        <v>203</v>
      </c>
      <c r="H63" s="379" t="s">
        <v>257</v>
      </c>
    </row>
    <row r="64" spans="1:8">
      <c r="B64" s="135" t="s">
        <v>95</v>
      </c>
      <c r="C64" s="117" t="s">
        <v>224</v>
      </c>
      <c r="E64" s="143" t="s">
        <v>215</v>
      </c>
      <c r="F64" s="379" t="s">
        <v>451</v>
      </c>
      <c r="G64" s="379" t="s">
        <v>213</v>
      </c>
      <c r="H64" s="379" t="s">
        <v>258</v>
      </c>
    </row>
    <row r="65" spans="1:16">
      <c r="B65" s="135" t="s">
        <v>95</v>
      </c>
      <c r="C65" s="117" t="s">
        <v>224</v>
      </c>
      <c r="E65" s="143" t="s">
        <v>216</v>
      </c>
      <c r="F65" s="379" t="s">
        <v>462</v>
      </c>
      <c r="G65" s="379" t="s">
        <v>214</v>
      </c>
      <c r="H65" s="379" t="s">
        <v>548</v>
      </c>
    </row>
    <row r="66" spans="1:16">
      <c r="B66" s="135" t="s">
        <v>95</v>
      </c>
      <c r="C66" s="117" t="s">
        <v>224</v>
      </c>
      <c r="E66" s="143" t="s">
        <v>230</v>
      </c>
      <c r="F66" s="379" t="s">
        <v>452</v>
      </c>
      <c r="G66" s="379" t="s">
        <v>231</v>
      </c>
      <c r="H66" s="379" t="s">
        <v>548</v>
      </c>
    </row>
    <row r="67" spans="1:16">
      <c r="B67" s="135" t="s">
        <v>95</v>
      </c>
      <c r="C67" s="117" t="s">
        <v>270</v>
      </c>
      <c r="E67" s="143" t="s">
        <v>265</v>
      </c>
      <c r="F67" s="379" t="s">
        <v>463</v>
      </c>
      <c r="G67" s="379" t="s">
        <v>266</v>
      </c>
      <c r="H67" s="379" t="s">
        <v>267</v>
      </c>
    </row>
    <row r="68" spans="1:16">
      <c r="A68" s="397"/>
      <c r="B68" s="397" t="s">
        <v>95</v>
      </c>
      <c r="C68" s="398" t="s">
        <v>271</v>
      </c>
      <c r="D68" s="397"/>
      <c r="E68" s="399" t="s">
        <v>268</v>
      </c>
      <c r="F68" s="400" t="s">
        <v>453</v>
      </c>
      <c r="G68" s="400" t="s">
        <v>269</v>
      </c>
      <c r="H68" s="400" t="s">
        <v>547</v>
      </c>
      <c r="I68" s="397"/>
      <c r="J68" s="397"/>
      <c r="K68" s="397"/>
      <c r="L68" s="397" t="s">
        <v>443</v>
      </c>
    </row>
    <row r="69" spans="1:16">
      <c r="A69" s="397"/>
      <c r="B69" s="397" t="s">
        <v>95</v>
      </c>
      <c r="C69" s="398" t="s">
        <v>271</v>
      </c>
      <c r="D69" s="397"/>
      <c r="E69" s="399" t="s">
        <v>320</v>
      </c>
      <c r="F69" s="400" t="s">
        <v>454</v>
      </c>
      <c r="G69" s="400" t="s">
        <v>321</v>
      </c>
      <c r="H69" s="486" t="s">
        <v>375</v>
      </c>
      <c r="I69" s="397"/>
      <c r="J69" s="397"/>
      <c r="K69" s="397"/>
      <c r="L69" s="457" t="s">
        <v>48</v>
      </c>
      <c r="M69" s="400" t="s">
        <v>375</v>
      </c>
      <c r="P69" s="217"/>
    </row>
    <row r="70" spans="1:16">
      <c r="A70" s="397"/>
      <c r="B70" s="397" t="s">
        <v>95</v>
      </c>
      <c r="C70" s="398" t="s">
        <v>371</v>
      </c>
      <c r="D70" s="397"/>
      <c r="E70" s="399" t="s">
        <v>372</v>
      </c>
      <c r="F70" s="400" t="s">
        <v>455</v>
      </c>
      <c r="G70" s="400" t="s">
        <v>373</v>
      </c>
      <c r="H70" s="486" t="s">
        <v>374</v>
      </c>
      <c r="I70" s="397"/>
      <c r="J70" s="397"/>
      <c r="K70" s="397"/>
      <c r="L70" s="397" t="s">
        <v>173</v>
      </c>
      <c r="M70" s="400" t="s">
        <v>546</v>
      </c>
      <c r="P70" s="217"/>
    </row>
    <row r="71" spans="1:16">
      <c r="A71" s="397"/>
      <c r="B71" s="397" t="s">
        <v>95</v>
      </c>
      <c r="C71" s="398" t="s">
        <v>496</v>
      </c>
      <c r="D71" s="397"/>
      <c r="E71" s="399" t="s">
        <v>468</v>
      </c>
      <c r="F71" s="400" t="s">
        <v>471</v>
      </c>
      <c r="G71" s="400" t="s">
        <v>474</v>
      </c>
      <c r="H71" s="379" t="s">
        <v>477</v>
      </c>
      <c r="I71" s="397"/>
      <c r="J71" s="397"/>
      <c r="K71" s="397"/>
      <c r="L71" s="397"/>
      <c r="M71" s="416" t="s">
        <v>397</v>
      </c>
      <c r="P71" s="155"/>
    </row>
    <row r="72" spans="1:16">
      <c r="B72" s="397" t="s">
        <v>95</v>
      </c>
      <c r="C72" s="398" t="s">
        <v>497</v>
      </c>
      <c r="E72" s="399" t="s">
        <v>469</v>
      </c>
      <c r="F72" s="400" t="s">
        <v>472</v>
      </c>
      <c r="G72" s="400" t="s">
        <v>475</v>
      </c>
      <c r="H72" s="379" t="s">
        <v>490</v>
      </c>
      <c r="P72" s="217"/>
    </row>
    <row r="73" spans="1:16">
      <c r="A73" s="135" t="str">
        <f>Umse!C1</f>
        <v>1.1.</v>
      </c>
      <c r="B73" s="397" t="s">
        <v>95</v>
      </c>
      <c r="C73" s="398" t="s">
        <v>633</v>
      </c>
      <c r="E73" s="399" t="s">
        <v>470</v>
      </c>
      <c r="F73" s="400" t="s">
        <v>473</v>
      </c>
      <c r="G73" s="400" t="s">
        <v>476</v>
      </c>
      <c r="H73" s="400" t="s">
        <v>624</v>
      </c>
      <c r="P73" s="155"/>
    </row>
    <row r="74" spans="1:16">
      <c r="A74" s="135" t="str">
        <f>Umse!D1</f>
        <v>1.2.</v>
      </c>
      <c r="B74" s="397" t="s">
        <v>95</v>
      </c>
      <c r="C74" s="117" t="s">
        <v>623</v>
      </c>
      <c r="E74" s="399" t="s">
        <v>625</v>
      </c>
      <c r="F74" s="400" t="s">
        <v>631</v>
      </c>
      <c r="G74" s="400" t="s">
        <v>629</v>
      </c>
      <c r="H74" s="400" t="s">
        <v>628</v>
      </c>
      <c r="O74" s="189"/>
      <c r="P74" s="189"/>
    </row>
    <row r="75" spans="1:16">
      <c r="A75" s="135" t="str">
        <f>Umse!E1</f>
        <v>1.3.</v>
      </c>
      <c r="B75" s="397" t="s">
        <v>95</v>
      </c>
      <c r="C75" s="398" t="s">
        <v>622</v>
      </c>
      <c r="E75" s="399" t="s">
        <v>626</v>
      </c>
      <c r="F75" s="400" t="s">
        <v>632</v>
      </c>
      <c r="G75" s="400" t="s">
        <v>630</v>
      </c>
      <c r="H75" s="400" t="s">
        <v>627</v>
      </c>
      <c r="P75" s="155"/>
    </row>
    <row r="76" spans="1:16">
      <c r="I76" s="189"/>
      <c r="J76" s="190"/>
      <c r="K76" s="219"/>
      <c r="L76" s="218"/>
      <c r="M76" s="216"/>
      <c r="N76" s="155"/>
      <c r="P76" s="155"/>
    </row>
    <row r="77" spans="1:16">
      <c r="I77" s="189"/>
      <c r="J77" s="190"/>
      <c r="K77" s="219"/>
      <c r="L77" s="218"/>
      <c r="M77" s="216"/>
      <c r="N77" s="155"/>
      <c r="P77" s="155"/>
    </row>
    <row r="78" spans="1:16">
      <c r="I78" s="189"/>
      <c r="J78" s="190"/>
      <c r="K78" s="219"/>
      <c r="L78" s="218"/>
      <c r="M78" s="216"/>
      <c r="N78" s="155"/>
      <c r="P78" s="155"/>
    </row>
    <row r="79" spans="1:16">
      <c r="I79" s="189"/>
      <c r="J79" s="190"/>
      <c r="K79" s="219"/>
      <c r="L79" s="218"/>
      <c r="M79" s="216"/>
      <c r="N79" s="155"/>
      <c r="P79" s="155"/>
    </row>
    <row r="80" spans="1:16">
      <c r="B80" s="76" t="s">
        <v>69</v>
      </c>
      <c r="C80" s="117" t="s">
        <v>188</v>
      </c>
      <c r="E80" s="155" t="s">
        <v>28</v>
      </c>
      <c r="I80" s="189"/>
      <c r="J80" s="190"/>
    </row>
    <row r="81" spans="1:13">
      <c r="B81" s="76" t="s">
        <v>2</v>
      </c>
      <c r="C81" s="117" t="s">
        <v>188</v>
      </c>
      <c r="E81" s="155" t="s">
        <v>109</v>
      </c>
      <c r="I81" s="189"/>
      <c r="J81" s="190"/>
    </row>
    <row r="82" spans="1:13">
      <c r="B82" s="76" t="s">
        <v>69</v>
      </c>
      <c r="C82" s="144">
        <v>2.8000000000000001E-2</v>
      </c>
      <c r="E82" s="155" t="s">
        <v>116</v>
      </c>
      <c r="I82" s="189"/>
      <c r="J82" s="190"/>
    </row>
    <row r="83" spans="1:13">
      <c r="B83" s="76" t="s">
        <v>2</v>
      </c>
      <c r="C83" s="144">
        <v>2.8000000000000001E-2</v>
      </c>
      <c r="E83" s="155" t="s">
        <v>116</v>
      </c>
      <c r="I83" s="189"/>
      <c r="J83" s="190"/>
    </row>
    <row r="84" spans="1:13">
      <c r="B84" s="135" t="s">
        <v>171</v>
      </c>
      <c r="C84" s="144">
        <v>1.2E-2</v>
      </c>
      <c r="E84" s="155" t="s">
        <v>29</v>
      </c>
      <c r="I84" s="189"/>
      <c r="J84" s="190"/>
    </row>
    <row r="85" spans="1:13">
      <c r="B85" s="135" t="s">
        <v>171</v>
      </c>
      <c r="C85" s="144">
        <v>6.0000000000000001E-3</v>
      </c>
      <c r="E85" s="155" t="s">
        <v>170</v>
      </c>
      <c r="I85" s="189"/>
      <c r="J85" s="190"/>
    </row>
    <row r="86" spans="1:13">
      <c r="B86" s="135" t="s">
        <v>171</v>
      </c>
      <c r="C86" s="144">
        <v>5.0000000000000001E-3</v>
      </c>
      <c r="E86" s="155" t="s">
        <v>172</v>
      </c>
      <c r="I86" s="189"/>
      <c r="J86" s="190"/>
    </row>
    <row r="87" spans="1:13">
      <c r="B87" s="135" t="s">
        <v>171</v>
      </c>
      <c r="C87" s="117" t="s">
        <v>223</v>
      </c>
      <c r="E87" s="143" t="s">
        <v>202</v>
      </c>
      <c r="F87" s="379" t="s">
        <v>456</v>
      </c>
      <c r="G87" s="379" t="s">
        <v>203</v>
      </c>
      <c r="H87" s="379" t="s">
        <v>257</v>
      </c>
      <c r="I87" s="189"/>
    </row>
    <row r="88" spans="1:13">
      <c r="B88" s="135" t="s">
        <v>171</v>
      </c>
      <c r="C88" s="117" t="s">
        <v>224</v>
      </c>
      <c r="E88" s="143" t="s">
        <v>215</v>
      </c>
      <c r="F88" s="379" t="s">
        <v>451</v>
      </c>
      <c r="G88" s="379" t="s">
        <v>213</v>
      </c>
      <c r="H88" s="379" t="s">
        <v>258</v>
      </c>
      <c r="I88" s="189"/>
    </row>
    <row r="89" spans="1:13">
      <c r="B89" s="135" t="s">
        <v>171</v>
      </c>
      <c r="C89" s="117" t="s">
        <v>224</v>
      </c>
      <c r="E89" s="143" t="s">
        <v>216</v>
      </c>
      <c r="F89" s="379" t="s">
        <v>462</v>
      </c>
      <c r="G89" s="379" t="s">
        <v>214</v>
      </c>
      <c r="H89" s="379" t="s">
        <v>548</v>
      </c>
      <c r="I89" s="189"/>
    </row>
    <row r="90" spans="1:13">
      <c r="A90" s="397"/>
      <c r="B90" s="397" t="s">
        <v>171</v>
      </c>
      <c r="C90" s="398" t="s">
        <v>270</v>
      </c>
      <c r="D90" s="397"/>
      <c r="E90" s="399" t="s">
        <v>265</v>
      </c>
      <c r="F90" s="400" t="s">
        <v>463</v>
      </c>
      <c r="G90" s="400" t="s">
        <v>266</v>
      </c>
      <c r="H90" s="400" t="s">
        <v>267</v>
      </c>
      <c r="I90" s="397"/>
      <c r="J90" s="397"/>
      <c r="K90" s="397"/>
      <c r="L90" s="397"/>
    </row>
    <row r="91" spans="1:13">
      <c r="A91" s="397"/>
      <c r="B91" s="397" t="s">
        <v>171</v>
      </c>
      <c r="C91" s="398" t="s">
        <v>271</v>
      </c>
      <c r="D91" s="397"/>
      <c r="E91" s="399" t="s">
        <v>268</v>
      </c>
      <c r="F91" s="400" t="s">
        <v>453</v>
      </c>
      <c r="G91" s="400" t="s">
        <v>269</v>
      </c>
      <c r="H91" s="400" t="s">
        <v>547</v>
      </c>
      <c r="I91" s="397"/>
      <c r="J91" s="397"/>
      <c r="K91" s="397"/>
      <c r="L91" s="397" t="s">
        <v>443</v>
      </c>
    </row>
    <row r="92" spans="1:13">
      <c r="A92" s="397"/>
      <c r="B92" s="397" t="s">
        <v>171</v>
      </c>
      <c r="C92" s="398" t="s">
        <v>271</v>
      </c>
      <c r="D92" s="397"/>
      <c r="E92" s="399" t="s">
        <v>320</v>
      </c>
      <c r="F92" s="400" t="s">
        <v>454</v>
      </c>
      <c r="G92" s="400" t="s">
        <v>321</v>
      </c>
      <c r="H92" s="486" t="s">
        <v>375</v>
      </c>
      <c r="I92" s="397"/>
      <c r="J92" s="486" t="s">
        <v>378</v>
      </c>
      <c r="K92" s="397"/>
      <c r="L92" s="397" t="s">
        <v>49</v>
      </c>
      <c r="M92" s="400" t="s">
        <v>375</v>
      </c>
    </row>
    <row r="93" spans="1:13">
      <c r="A93" s="397"/>
      <c r="B93" s="397" t="s">
        <v>171</v>
      </c>
      <c r="C93" s="398" t="s">
        <v>371</v>
      </c>
      <c r="D93" s="397"/>
      <c r="E93" s="399" t="s">
        <v>372</v>
      </c>
      <c r="F93" s="400" t="s">
        <v>455</v>
      </c>
      <c r="G93" s="400" t="s">
        <v>373</v>
      </c>
      <c r="H93" s="486" t="s">
        <v>546</v>
      </c>
      <c r="I93" s="397"/>
      <c r="J93" s="400" t="s">
        <v>377</v>
      </c>
      <c r="K93" s="486" t="s">
        <v>375</v>
      </c>
      <c r="L93" s="397" t="s">
        <v>175</v>
      </c>
      <c r="M93" s="400" t="s">
        <v>546</v>
      </c>
    </row>
    <row r="94" spans="1:13">
      <c r="B94" s="397" t="s">
        <v>171</v>
      </c>
      <c r="C94" s="398" t="s">
        <v>496</v>
      </c>
      <c r="D94" s="397"/>
      <c r="E94" s="399" t="s">
        <v>468</v>
      </c>
      <c r="F94" s="400" t="s">
        <v>471</v>
      </c>
      <c r="G94" s="400" t="s">
        <v>474</v>
      </c>
      <c r="H94" s="379" t="s">
        <v>477</v>
      </c>
      <c r="I94" s="397"/>
      <c r="J94" s="397"/>
      <c r="K94" s="397"/>
      <c r="L94" s="397"/>
      <c r="M94" s="416" t="s">
        <v>397</v>
      </c>
    </row>
    <row r="95" spans="1:13">
      <c r="A95" s="397"/>
      <c r="B95" s="397" t="s">
        <v>171</v>
      </c>
      <c r="C95" s="398" t="s">
        <v>497</v>
      </c>
      <c r="D95" s="397"/>
      <c r="E95" s="399" t="s">
        <v>469</v>
      </c>
      <c r="F95" s="400" t="s">
        <v>472</v>
      </c>
      <c r="G95" s="400" t="s">
        <v>475</v>
      </c>
      <c r="H95" s="379" t="s">
        <v>490</v>
      </c>
      <c r="I95" s="397"/>
      <c r="J95" s="397"/>
      <c r="K95" s="397"/>
      <c r="L95" s="397"/>
    </row>
    <row r="96" spans="1:13">
      <c r="A96" s="617" t="str">
        <f>Umse!C2</f>
        <v>2.1.</v>
      </c>
      <c r="B96" s="617" t="s">
        <v>652</v>
      </c>
      <c r="C96" s="398" t="s">
        <v>633</v>
      </c>
      <c r="D96" s="397"/>
      <c r="E96" s="399" t="s">
        <v>470</v>
      </c>
      <c r="F96" s="400" t="s">
        <v>473</v>
      </c>
      <c r="G96" s="400" t="s">
        <v>476</v>
      </c>
      <c r="H96" s="400" t="s">
        <v>657</v>
      </c>
      <c r="I96" s="397"/>
      <c r="J96" s="397"/>
      <c r="K96" s="397"/>
      <c r="L96" s="397" t="s">
        <v>444</v>
      </c>
    </row>
    <row r="97" spans="1:13">
      <c r="A97" s="617" t="str">
        <f>Umse!G2</f>
        <v>2.5.</v>
      </c>
      <c r="B97" s="617" t="s">
        <v>652</v>
      </c>
      <c r="C97" s="117" t="s">
        <v>623</v>
      </c>
      <c r="E97" s="399" t="s">
        <v>625</v>
      </c>
      <c r="F97" s="400" t="s">
        <v>631</v>
      </c>
      <c r="G97" s="400" t="s">
        <v>629</v>
      </c>
      <c r="H97" s="400" t="s">
        <v>658</v>
      </c>
      <c r="I97" s="397"/>
      <c r="J97" s="397"/>
      <c r="K97" s="397"/>
      <c r="L97" s="397"/>
    </row>
    <row r="98" spans="1:13">
      <c r="A98" s="617" t="str">
        <f>Umse!K2</f>
        <v>2.9.</v>
      </c>
      <c r="B98" s="617" t="s">
        <v>652</v>
      </c>
      <c r="C98" s="398" t="s">
        <v>622</v>
      </c>
      <c r="E98" s="399" t="s">
        <v>626</v>
      </c>
      <c r="F98" s="400" t="s">
        <v>632</v>
      </c>
      <c r="G98" s="400" t="s">
        <v>630</v>
      </c>
      <c r="H98" s="400" t="s">
        <v>627</v>
      </c>
      <c r="I98" s="397"/>
      <c r="J98" s="397"/>
      <c r="K98" s="397"/>
      <c r="L98" s="397"/>
    </row>
    <row r="99" spans="1:13">
      <c r="B99" s="397" t="s">
        <v>653</v>
      </c>
      <c r="C99" s="398" t="s">
        <v>496</v>
      </c>
      <c r="D99" s="397"/>
      <c r="E99" s="399" t="s">
        <v>468</v>
      </c>
      <c r="F99" s="400" t="s">
        <v>471</v>
      </c>
      <c r="G99" s="400" t="s">
        <v>474</v>
      </c>
      <c r="H99" s="379" t="s">
        <v>477</v>
      </c>
      <c r="I99" s="397"/>
      <c r="J99" s="397"/>
      <c r="K99" s="397"/>
      <c r="L99" s="397" t="s">
        <v>49</v>
      </c>
      <c r="M99" s="400" t="s">
        <v>378</v>
      </c>
    </row>
    <row r="100" spans="1:13">
      <c r="B100" s="397" t="s">
        <v>653</v>
      </c>
      <c r="C100" s="398" t="s">
        <v>497</v>
      </c>
      <c r="D100" s="397"/>
      <c r="E100" s="399" t="s">
        <v>469</v>
      </c>
      <c r="F100" s="400" t="s">
        <v>472</v>
      </c>
      <c r="G100" s="400" t="s">
        <v>475</v>
      </c>
      <c r="H100" s="379" t="s">
        <v>490</v>
      </c>
      <c r="I100" s="397"/>
      <c r="J100" s="397"/>
      <c r="K100" s="397"/>
      <c r="L100" s="397"/>
      <c r="M100" s="416" t="s">
        <v>397</v>
      </c>
    </row>
    <row r="101" spans="1:13">
      <c r="A101" s="617" t="str">
        <f>Umse!E2</f>
        <v>2.3.</v>
      </c>
      <c r="B101" s="617" t="s">
        <v>653</v>
      </c>
      <c r="C101" s="398" t="s">
        <v>633</v>
      </c>
      <c r="D101" s="397"/>
      <c r="E101" s="399" t="s">
        <v>470</v>
      </c>
      <c r="F101" s="400" t="s">
        <v>473</v>
      </c>
      <c r="G101" s="400" t="s">
        <v>476</v>
      </c>
      <c r="H101" s="400" t="s">
        <v>657</v>
      </c>
      <c r="I101" s="397"/>
      <c r="J101" s="397"/>
      <c r="K101" s="397"/>
      <c r="L101" s="397"/>
    </row>
    <row r="102" spans="1:13">
      <c r="A102" s="617" t="str">
        <f>Umse!I2</f>
        <v>2.7.</v>
      </c>
      <c r="B102" s="617" t="s">
        <v>653</v>
      </c>
      <c r="C102" s="117" t="s">
        <v>623</v>
      </c>
      <c r="E102" s="399" t="s">
        <v>625</v>
      </c>
      <c r="F102" s="400" t="s">
        <v>631</v>
      </c>
      <c r="G102" s="400" t="s">
        <v>629</v>
      </c>
      <c r="H102" s="400" t="s">
        <v>658</v>
      </c>
      <c r="I102" s="397"/>
      <c r="J102" s="397"/>
      <c r="K102" s="397"/>
      <c r="L102" s="397"/>
    </row>
    <row r="103" spans="1:13">
      <c r="A103" s="617" t="str">
        <f>Umse!M2</f>
        <v>2.11.</v>
      </c>
      <c r="B103" s="617" t="s">
        <v>653</v>
      </c>
      <c r="C103" s="398" t="s">
        <v>622</v>
      </c>
      <c r="E103" s="399" t="s">
        <v>626</v>
      </c>
      <c r="F103" s="400" t="s">
        <v>632</v>
      </c>
      <c r="G103" s="400" t="s">
        <v>630</v>
      </c>
      <c r="H103" s="400" t="s">
        <v>627</v>
      </c>
      <c r="I103" s="397"/>
      <c r="J103" s="397"/>
      <c r="K103" s="397"/>
      <c r="L103" s="397"/>
    </row>
    <row r="104" spans="1:13">
      <c r="B104" s="397" t="s">
        <v>654</v>
      </c>
      <c r="C104" s="398" t="s">
        <v>504</v>
      </c>
      <c r="D104" s="397"/>
      <c r="E104" s="399" t="s">
        <v>468</v>
      </c>
      <c r="F104" s="400" t="s">
        <v>471</v>
      </c>
      <c r="G104" s="400" t="s">
        <v>474</v>
      </c>
      <c r="H104" s="379" t="s">
        <v>507</v>
      </c>
      <c r="I104" s="397"/>
      <c r="J104" s="397"/>
      <c r="K104" s="397"/>
      <c r="L104" s="397"/>
    </row>
    <row r="105" spans="1:13">
      <c r="B105" s="397" t="s">
        <v>654</v>
      </c>
      <c r="C105" s="398" t="s">
        <v>656</v>
      </c>
      <c r="D105" s="397"/>
      <c r="E105" s="399" t="s">
        <v>508</v>
      </c>
      <c r="F105" s="400" t="s">
        <v>509</v>
      </c>
      <c r="G105" s="400" t="s">
        <v>510</v>
      </c>
      <c r="H105" s="379" t="s">
        <v>490</v>
      </c>
      <c r="I105" s="397"/>
      <c r="J105" s="397"/>
      <c r="K105" s="397"/>
      <c r="L105" s="397" t="s">
        <v>445</v>
      </c>
    </row>
    <row r="106" spans="1:13">
      <c r="A106" s="617" t="str">
        <f>Umse!C3</f>
        <v>3.1.</v>
      </c>
      <c r="B106" s="617" t="s">
        <v>654</v>
      </c>
      <c r="C106" s="117" t="s">
        <v>655</v>
      </c>
      <c r="D106" s="397"/>
      <c r="E106" s="399" t="s">
        <v>470</v>
      </c>
      <c r="F106" s="400" t="s">
        <v>473</v>
      </c>
      <c r="G106" s="400" t="s">
        <v>476</v>
      </c>
      <c r="H106" s="400" t="s">
        <v>657</v>
      </c>
      <c r="I106" s="397"/>
      <c r="J106" s="397"/>
      <c r="K106" s="397"/>
      <c r="L106" s="397" t="s">
        <v>154</v>
      </c>
      <c r="M106" s="400" t="s">
        <v>375</v>
      </c>
    </row>
    <row r="107" spans="1:13">
      <c r="A107" s="617" t="str">
        <f>Umse!G3</f>
        <v>3.5.</v>
      </c>
      <c r="B107" s="617" t="s">
        <v>654</v>
      </c>
      <c r="C107" s="117" t="s">
        <v>623</v>
      </c>
      <c r="E107" s="399" t="s">
        <v>625</v>
      </c>
      <c r="F107" s="400" t="s">
        <v>631</v>
      </c>
      <c r="G107" s="400" t="s">
        <v>629</v>
      </c>
      <c r="H107" s="400" t="s">
        <v>658</v>
      </c>
      <c r="I107" s="397"/>
      <c r="J107" s="397"/>
      <c r="K107" s="397"/>
      <c r="L107" s="397"/>
      <c r="M107" s="416" t="s">
        <v>397</v>
      </c>
    </row>
    <row r="108" spans="1:13">
      <c r="A108" s="617" t="str">
        <f>Umse!K3</f>
        <v>3.9.</v>
      </c>
      <c r="B108" s="617" t="s">
        <v>654</v>
      </c>
      <c r="C108" s="398" t="s">
        <v>622</v>
      </c>
      <c r="E108" s="399" t="s">
        <v>626</v>
      </c>
      <c r="F108" s="400" t="s">
        <v>632</v>
      </c>
      <c r="G108" s="400" t="s">
        <v>630</v>
      </c>
      <c r="H108" s="400" t="s">
        <v>627</v>
      </c>
      <c r="I108" s="397"/>
      <c r="J108" s="397"/>
      <c r="K108" s="397"/>
      <c r="L108" s="397"/>
      <c r="M108" s="400"/>
    </row>
    <row r="109" spans="1:13">
      <c r="A109" s="397"/>
      <c r="B109" s="397"/>
      <c r="C109" s="398"/>
      <c r="D109" s="397"/>
      <c r="E109" s="399"/>
      <c r="F109" s="400"/>
      <c r="G109" s="400"/>
      <c r="H109" s="400"/>
      <c r="I109" s="397"/>
      <c r="J109" s="397"/>
      <c r="K109" s="397"/>
      <c r="L109" s="397"/>
      <c r="M109" s="400"/>
    </row>
    <row r="110" spans="1:13">
      <c r="A110" s="397"/>
      <c r="B110" s="397"/>
      <c r="C110" s="398"/>
      <c r="D110" s="397"/>
      <c r="E110" s="399"/>
      <c r="F110" s="400"/>
      <c r="G110" s="400"/>
      <c r="H110" s="400"/>
      <c r="I110" s="397"/>
      <c r="J110" s="397"/>
      <c r="K110" s="397"/>
      <c r="L110" s="397"/>
      <c r="M110" s="400"/>
    </row>
    <row r="111" spans="1:13">
      <c r="A111" s="397"/>
      <c r="B111" s="397"/>
      <c r="C111" s="398"/>
      <c r="D111" s="397"/>
      <c r="E111" s="399"/>
      <c r="F111" s="400"/>
      <c r="G111" s="400"/>
      <c r="H111" s="400"/>
      <c r="I111" s="397"/>
      <c r="J111" s="397"/>
      <c r="K111" s="397"/>
      <c r="L111" s="397"/>
      <c r="M111" s="400"/>
    </row>
    <row r="112" spans="1:13">
      <c r="A112" s="397"/>
      <c r="B112" s="397"/>
      <c r="C112" s="398"/>
      <c r="D112" s="397"/>
      <c r="E112" s="399"/>
      <c r="F112" s="400"/>
      <c r="G112" s="400"/>
      <c r="H112" s="400"/>
      <c r="I112" s="397"/>
      <c r="J112" s="397"/>
      <c r="K112" s="397"/>
      <c r="L112" s="397"/>
      <c r="M112" s="400"/>
    </row>
    <row r="113" spans="1:13">
      <c r="A113" s="397"/>
      <c r="B113" s="397"/>
      <c r="C113" s="398"/>
      <c r="D113" s="397"/>
      <c r="E113" s="399"/>
      <c r="F113" s="400"/>
      <c r="G113" s="400"/>
      <c r="H113" s="400"/>
      <c r="I113" s="397"/>
      <c r="J113" s="397"/>
      <c r="K113" s="397"/>
      <c r="L113" s="397"/>
      <c r="M113" s="400"/>
    </row>
    <row r="114" spans="1:13">
      <c r="A114" s="397"/>
      <c r="B114" s="397"/>
      <c r="C114" s="398"/>
      <c r="D114" s="397"/>
      <c r="E114" s="399"/>
      <c r="F114" s="400"/>
      <c r="G114" s="400"/>
      <c r="H114" s="400"/>
      <c r="I114" s="397"/>
      <c r="J114" s="397"/>
      <c r="K114" s="397"/>
      <c r="L114" s="397"/>
      <c r="M114" s="400"/>
    </row>
    <row r="115" spans="1:13">
      <c r="A115" s="397"/>
      <c r="B115" s="397"/>
      <c r="C115" s="398"/>
      <c r="D115" s="397"/>
      <c r="E115" s="399"/>
      <c r="F115" s="400"/>
      <c r="G115" s="400"/>
      <c r="H115" s="400"/>
      <c r="I115" s="397"/>
      <c r="J115" s="397"/>
      <c r="K115" s="397"/>
      <c r="L115" s="397"/>
      <c r="M115" s="400"/>
    </row>
    <row r="116" spans="1:13">
      <c r="A116" s="397"/>
      <c r="B116" s="397"/>
      <c r="C116" s="398"/>
      <c r="D116" s="397"/>
      <c r="E116" s="399"/>
      <c r="F116" s="400"/>
      <c r="G116" s="400"/>
      <c r="H116" s="400"/>
      <c r="I116" s="397"/>
      <c r="J116" s="397"/>
      <c r="K116" s="397"/>
      <c r="L116" s="397"/>
      <c r="M116" s="400"/>
    </row>
    <row r="117" spans="1:13">
      <c r="A117" s="397"/>
      <c r="B117" s="397"/>
      <c r="C117" s="398"/>
      <c r="D117" s="397"/>
      <c r="E117" s="399"/>
      <c r="F117" s="400"/>
      <c r="G117" s="400"/>
      <c r="H117" s="400"/>
      <c r="I117" s="397"/>
      <c r="J117" s="397"/>
      <c r="K117" s="397"/>
      <c r="L117" s="397"/>
      <c r="M117" s="400"/>
    </row>
    <row r="118" spans="1:13">
      <c r="A118" s="397"/>
      <c r="B118" s="397"/>
      <c r="C118" s="398"/>
      <c r="D118" s="397"/>
      <c r="E118" s="399"/>
      <c r="F118" s="400"/>
      <c r="G118" s="400"/>
      <c r="H118" s="400"/>
      <c r="I118" s="397"/>
      <c r="J118" s="397"/>
      <c r="K118" s="397"/>
      <c r="L118" s="397"/>
      <c r="M118" s="400"/>
    </row>
    <row r="119" spans="1:13">
      <c r="A119" s="397"/>
      <c r="B119" s="397"/>
      <c r="C119" s="397"/>
      <c r="D119" s="397"/>
      <c r="E119" s="397"/>
      <c r="F119" s="400"/>
      <c r="G119" s="400"/>
      <c r="H119" s="400"/>
      <c r="I119" s="397"/>
      <c r="J119" s="397"/>
      <c r="K119" s="397"/>
      <c r="L119" s="397"/>
    </row>
    <row r="121" spans="1:13">
      <c r="B121" s="76" t="s">
        <v>68</v>
      </c>
      <c r="C121" s="144">
        <v>2.9000000000000001E-2</v>
      </c>
      <c r="E121" s="155" t="s">
        <v>28</v>
      </c>
    </row>
    <row r="122" spans="1:13">
      <c r="B122" s="76" t="s">
        <v>3</v>
      </c>
      <c r="C122" s="144">
        <v>2.9000000000000001E-2</v>
      </c>
      <c r="E122" s="155" t="s">
        <v>70</v>
      </c>
    </row>
    <row r="123" spans="1:13">
      <c r="B123" s="76" t="s">
        <v>137</v>
      </c>
      <c r="C123" s="117" t="s">
        <v>189</v>
      </c>
      <c r="E123" s="155" t="s">
        <v>135</v>
      </c>
    </row>
    <row r="124" spans="1:13">
      <c r="B124" s="76" t="s">
        <v>137</v>
      </c>
      <c r="C124" s="144">
        <v>1.2E-2</v>
      </c>
      <c r="E124" s="155" t="s">
        <v>138</v>
      </c>
    </row>
    <row r="125" spans="1:13">
      <c r="B125" s="76" t="s">
        <v>137</v>
      </c>
      <c r="C125" s="117" t="str">
        <f>'L Tab'!AH32</f>
        <v xml:space="preserve"> ( + 1,50 % ) </v>
      </c>
      <c r="E125" s="155" t="s">
        <v>198</v>
      </c>
      <c r="F125" s="379" t="s">
        <v>449</v>
      </c>
      <c r="G125" s="379" t="s">
        <v>195</v>
      </c>
      <c r="H125" s="379" t="s">
        <v>255</v>
      </c>
    </row>
    <row r="126" spans="1:13">
      <c r="B126" s="76" t="s">
        <v>137</v>
      </c>
      <c r="C126" s="117" t="str">
        <f>'L Tab'!AP32</f>
        <v xml:space="preserve"> ( + 1,90 %  + 17 Euro ) </v>
      </c>
      <c r="E126" s="143" t="s">
        <v>199</v>
      </c>
      <c r="F126" s="379" t="s">
        <v>450</v>
      </c>
      <c r="G126" s="379" t="s">
        <v>197</v>
      </c>
      <c r="H126" s="379" t="s">
        <v>257</v>
      </c>
    </row>
    <row r="127" spans="1:13">
      <c r="B127" s="76" t="s">
        <v>137</v>
      </c>
      <c r="C127" s="117" t="str">
        <f>'L Tab'!AX32</f>
        <v xml:space="preserve"> ( + 2,65 % ) </v>
      </c>
      <c r="E127" s="143" t="s">
        <v>215</v>
      </c>
      <c r="F127" s="379" t="s">
        <v>451</v>
      </c>
      <c r="G127" s="379" t="s">
        <v>213</v>
      </c>
      <c r="H127" s="379" t="s">
        <v>259</v>
      </c>
    </row>
    <row r="128" spans="1:13">
      <c r="B128" s="76" t="s">
        <v>137</v>
      </c>
      <c r="C128" s="117" t="str">
        <f>'L Tab'!BF32</f>
        <v xml:space="preserve"> ( + 2,95 % ) </v>
      </c>
      <c r="E128" s="143" t="s">
        <v>230</v>
      </c>
      <c r="F128" s="379" t="s">
        <v>452</v>
      </c>
      <c r="G128" s="379" t="s">
        <v>231</v>
      </c>
      <c r="H128" s="379" t="s">
        <v>545</v>
      </c>
    </row>
    <row r="129" spans="1:8">
      <c r="B129" s="76" t="s">
        <v>137</v>
      </c>
      <c r="C129" s="117" t="str">
        <f>'L Tab'!BN32</f>
        <v xml:space="preserve"> ( + 2,10 % ) </v>
      </c>
      <c r="E129" s="143" t="s">
        <v>268</v>
      </c>
      <c r="F129" s="379" t="s">
        <v>453</v>
      </c>
      <c r="G129" s="379" t="s">
        <v>269</v>
      </c>
      <c r="H129" s="379" t="s">
        <v>322</v>
      </c>
    </row>
    <row r="130" spans="1:8">
      <c r="B130" s="76" t="s">
        <v>137</v>
      </c>
      <c r="C130" s="117" t="str">
        <f>'L Tab'!BV32</f>
        <v xml:space="preserve"> ( + 2,30 % mind 75 € ) </v>
      </c>
      <c r="E130" s="143" t="s">
        <v>320</v>
      </c>
      <c r="F130" s="379" t="s">
        <v>454</v>
      </c>
      <c r="G130" s="379" t="s">
        <v>321</v>
      </c>
      <c r="H130" s="379" t="s">
        <v>303</v>
      </c>
    </row>
    <row r="131" spans="1:8">
      <c r="B131" s="76" t="s">
        <v>137</v>
      </c>
      <c r="C131" s="117" t="str">
        <f>'L Tab'!CD32</f>
        <v xml:space="preserve"> ( + 2,00 % mind 75 € ) </v>
      </c>
      <c r="E131" s="143" t="s">
        <v>370</v>
      </c>
      <c r="F131" s="379" t="s">
        <v>446</v>
      </c>
      <c r="G131" s="379" t="s">
        <v>377</v>
      </c>
      <c r="H131" s="379" t="s">
        <v>401</v>
      </c>
    </row>
    <row r="132" spans="1:8" ht="11.25" customHeight="1">
      <c r="B132" s="76" t="s">
        <v>137</v>
      </c>
      <c r="C132" s="117" t="str">
        <f>'L Tab'!CL32</f>
        <v xml:space="preserve"> ( + 2,35 % + Einführung Stufe 6 ab EG 9 )</v>
      </c>
      <c r="E132" s="143" t="s">
        <v>402</v>
      </c>
      <c r="F132" s="379" t="s">
        <v>447</v>
      </c>
      <c r="G132" s="379" t="s">
        <v>403</v>
      </c>
      <c r="H132" s="379" t="s">
        <v>404</v>
      </c>
    </row>
    <row r="133" spans="1:8" ht="11.25" customHeight="1">
      <c r="B133" s="76" t="s">
        <v>137</v>
      </c>
      <c r="C133" s="117" t="str">
        <f>'L Tab'!CT32</f>
        <v>( Erhöhung Stufe 6 ab EG 9 )</v>
      </c>
      <c r="E133" s="143" t="s">
        <v>405</v>
      </c>
      <c r="F133" s="379" t="s">
        <v>448</v>
      </c>
      <c r="G133" s="379" t="s">
        <v>406</v>
      </c>
      <c r="H133" s="379" t="s">
        <v>544</v>
      </c>
    </row>
    <row r="134" spans="1:8">
      <c r="A134" s="397" t="str">
        <f>Umse!C5</f>
        <v>5.1.</v>
      </c>
      <c r="B134" s="76" t="s">
        <v>137</v>
      </c>
      <c r="C134" s="135" t="str">
        <f>'L Tab'!DB32</f>
        <v xml:space="preserve"> ( mindestens 100 € bzw + 3,01 % ab Stufe 2 ) </v>
      </c>
      <c r="E134" s="143" t="s">
        <v>519</v>
      </c>
      <c r="F134" s="379" t="s">
        <v>522</v>
      </c>
      <c r="G134" s="379" t="s">
        <v>525</v>
      </c>
      <c r="H134" s="379" t="s">
        <v>517</v>
      </c>
    </row>
    <row r="135" spans="1:8">
      <c r="A135" s="397" t="str">
        <f>Umse!N5</f>
        <v>5.12.</v>
      </c>
      <c r="B135" s="76" t="s">
        <v>137</v>
      </c>
      <c r="C135" s="135" t="str">
        <f>'L Tab'!DJ32</f>
        <v xml:space="preserve"> ( mindestens 90 € bzw + 3,12 % ab Stufe 2 ) </v>
      </c>
      <c r="E135" s="143" t="s">
        <v>520</v>
      </c>
      <c r="F135" s="379" t="s">
        <v>523</v>
      </c>
      <c r="G135" s="379" t="s">
        <v>526</v>
      </c>
      <c r="H135" s="379" t="s">
        <v>518</v>
      </c>
    </row>
    <row r="136" spans="1:8">
      <c r="A136" s="135" t="str">
        <f>Umse!Y5</f>
        <v>5.23.</v>
      </c>
      <c r="B136" s="76" t="s">
        <v>137</v>
      </c>
      <c r="C136" s="135" t="str">
        <f>'L Tab'!DR32</f>
        <v xml:space="preserve"> ( mindestens 50 € bzw + 1,29 % ab Stufe 2 ) </v>
      </c>
      <c r="E136" s="143" t="s">
        <v>521</v>
      </c>
      <c r="F136" s="379" t="s">
        <v>524</v>
      </c>
      <c r="G136" s="379" t="s">
        <v>527</v>
      </c>
      <c r="H136" s="379" t="s">
        <v>543</v>
      </c>
    </row>
    <row r="145" spans="1:10">
      <c r="C145" s="155"/>
    </row>
    <row r="146" spans="1:10">
      <c r="A146" s="415"/>
      <c r="B146" s="397" t="s">
        <v>435</v>
      </c>
      <c r="C146" s="398" t="str">
        <f>'AVH Tab'!B34</f>
        <v xml:space="preserve"> ( + 2,40 % ) </v>
      </c>
      <c r="D146" s="397"/>
      <c r="E146" s="399" t="s">
        <v>320</v>
      </c>
      <c r="F146" s="400" t="s">
        <v>454</v>
      </c>
      <c r="G146" s="400" t="s">
        <v>321</v>
      </c>
      <c r="H146" s="400" t="s">
        <v>378</v>
      </c>
    </row>
    <row r="147" spans="1:10">
      <c r="A147" s="415"/>
      <c r="B147" s="397" t="s">
        <v>435</v>
      </c>
      <c r="C147" s="476" t="s">
        <v>439</v>
      </c>
      <c r="D147" s="397"/>
      <c r="E147" s="399" t="s">
        <v>370</v>
      </c>
      <c r="F147" s="400" t="s">
        <v>446</v>
      </c>
      <c r="G147" s="400" t="s">
        <v>377</v>
      </c>
      <c r="H147" s="400" t="s">
        <v>375</v>
      </c>
    </row>
    <row r="148" spans="1:10">
      <c r="A148" s="415"/>
      <c r="B148" s="397" t="s">
        <v>435</v>
      </c>
      <c r="C148" s="398" t="str">
        <f>'AVH Tab'!R34</f>
        <v xml:space="preserve"> ( + 2,35 % ) </v>
      </c>
      <c r="D148" s="397"/>
      <c r="E148" s="399" t="s">
        <v>372</v>
      </c>
      <c r="F148" s="400" t="s">
        <v>455</v>
      </c>
      <c r="G148" s="400" t="s">
        <v>373</v>
      </c>
      <c r="H148" s="400" t="s">
        <v>401</v>
      </c>
    </row>
    <row r="149" spans="1:10">
      <c r="A149" s="415"/>
      <c r="B149" s="397" t="s">
        <v>435</v>
      </c>
      <c r="C149" s="476" t="str">
        <f>'AVH Tab'!Z34</f>
        <v xml:space="preserve"> ( Einführung Stufe 6 ab EG 9a )</v>
      </c>
      <c r="D149" s="397"/>
      <c r="E149" s="399" t="s">
        <v>402</v>
      </c>
      <c r="F149" s="500" t="s">
        <v>465</v>
      </c>
      <c r="G149" s="400" t="s">
        <v>403</v>
      </c>
      <c r="H149" s="400" t="s">
        <v>546</v>
      </c>
      <c r="J149" s="500" t="s">
        <v>465</v>
      </c>
    </row>
    <row r="150" spans="1:10">
      <c r="A150" s="415"/>
      <c r="B150" s="397" t="s">
        <v>435</v>
      </c>
      <c r="C150" s="398" t="s">
        <v>496</v>
      </c>
      <c r="D150" s="397"/>
      <c r="E150" s="399" t="s">
        <v>468</v>
      </c>
      <c r="F150" s="400" t="s">
        <v>471</v>
      </c>
      <c r="G150" s="400" t="s">
        <v>474</v>
      </c>
      <c r="H150" s="379" t="s">
        <v>404</v>
      </c>
      <c r="J150" s="501" t="s">
        <v>447</v>
      </c>
    </row>
    <row r="151" spans="1:10">
      <c r="A151" s="415"/>
      <c r="B151" s="397" t="s">
        <v>435</v>
      </c>
      <c r="C151" s="476" t="str">
        <f>'AVH Tab'!AP34</f>
        <v xml:space="preserve"> ( Erhöhung Stufe 6 ab EG 9a )</v>
      </c>
      <c r="D151" s="397"/>
      <c r="E151" s="399" t="s">
        <v>405</v>
      </c>
      <c r="F151" s="400" t="s">
        <v>448</v>
      </c>
      <c r="G151" s="400" t="s">
        <v>406</v>
      </c>
      <c r="H151" s="379" t="s">
        <v>477</v>
      </c>
    </row>
    <row r="152" spans="1:10">
      <c r="B152" s="397" t="s">
        <v>435</v>
      </c>
      <c r="C152" s="398" t="s">
        <v>497</v>
      </c>
      <c r="D152" s="397"/>
      <c r="E152" s="399" t="s">
        <v>469</v>
      </c>
      <c r="F152" s="400" t="s">
        <v>472</v>
      </c>
      <c r="G152" s="400" t="s">
        <v>475</v>
      </c>
      <c r="H152" s="379" t="s">
        <v>490</v>
      </c>
    </row>
    <row r="153" spans="1:10">
      <c r="A153" s="397" t="str">
        <f>Umse!C8</f>
        <v>8.1.</v>
      </c>
      <c r="B153" s="397" t="s">
        <v>435</v>
      </c>
      <c r="C153" s="398" t="s">
        <v>633</v>
      </c>
      <c r="D153" s="397"/>
      <c r="E153" s="399" t="s">
        <v>470</v>
      </c>
      <c r="F153" s="400" t="s">
        <v>473</v>
      </c>
      <c r="G153" s="400" t="s">
        <v>476</v>
      </c>
      <c r="H153" s="400" t="s">
        <v>657</v>
      </c>
    </row>
    <row r="154" spans="1:10">
      <c r="A154" s="397" t="str">
        <f>Umse!D8</f>
        <v>8.2.</v>
      </c>
      <c r="B154" s="397" t="s">
        <v>435</v>
      </c>
      <c r="C154" s="117" t="s">
        <v>623</v>
      </c>
      <c r="E154" s="399" t="s">
        <v>625</v>
      </c>
      <c r="F154" s="400" t="s">
        <v>631</v>
      </c>
      <c r="G154" s="400" t="s">
        <v>629</v>
      </c>
      <c r="H154" s="400" t="s">
        <v>658</v>
      </c>
    </row>
    <row r="155" spans="1:10">
      <c r="A155" s="397" t="str">
        <f>Umse!E8</f>
        <v>8.3.</v>
      </c>
      <c r="B155" s="397" t="s">
        <v>435</v>
      </c>
      <c r="C155" s="398" t="s">
        <v>622</v>
      </c>
      <c r="E155" s="399" t="s">
        <v>626</v>
      </c>
      <c r="F155" s="400" t="s">
        <v>632</v>
      </c>
      <c r="G155" s="400" t="s">
        <v>630</v>
      </c>
      <c r="H155" s="400" t="s">
        <v>627</v>
      </c>
    </row>
    <row r="156" spans="1:10">
      <c r="A156" s="415"/>
      <c r="B156" s="397"/>
      <c r="C156" s="397"/>
      <c r="D156" s="397"/>
      <c r="E156" s="397"/>
      <c r="F156" s="400"/>
      <c r="G156" s="416"/>
      <c r="H156" s="416"/>
    </row>
    <row r="157" spans="1:10">
      <c r="A157" s="415"/>
      <c r="B157" s="397"/>
      <c r="C157" s="397"/>
      <c r="D157" s="397"/>
      <c r="E157" s="397"/>
      <c r="F157" s="400"/>
      <c r="G157" s="416"/>
      <c r="H157" s="416"/>
    </row>
    <row r="158" spans="1:10">
      <c r="A158" s="415"/>
      <c r="B158" s="397"/>
      <c r="C158" s="397"/>
      <c r="D158" s="397"/>
      <c r="E158" s="397"/>
      <c r="F158" s="400"/>
      <c r="G158" s="416"/>
      <c r="H158" s="416"/>
    </row>
    <row r="159" spans="1:10">
      <c r="A159" s="415"/>
      <c r="B159" s="397"/>
      <c r="C159" s="397"/>
      <c r="D159" s="397"/>
      <c r="E159" s="397"/>
      <c r="F159" s="400"/>
      <c r="G159" s="416"/>
      <c r="H159" s="416"/>
    </row>
    <row r="160" spans="1:10">
      <c r="A160" s="415"/>
      <c r="B160" s="397"/>
      <c r="C160" s="397"/>
      <c r="D160" s="397"/>
      <c r="E160" s="397"/>
      <c r="F160" s="400"/>
      <c r="G160" s="416"/>
      <c r="H160" s="416"/>
    </row>
    <row r="161" spans="1:8">
      <c r="A161" s="415"/>
      <c r="B161" s="397"/>
      <c r="C161" s="397"/>
      <c r="D161" s="397"/>
      <c r="E161" s="397"/>
      <c r="F161" s="400"/>
      <c r="G161" s="416"/>
      <c r="H161" s="416"/>
    </row>
    <row r="162" spans="1:8">
      <c r="B162" s="135" t="s">
        <v>201</v>
      </c>
      <c r="C162" s="117" t="str">
        <f>'L Tab'!AH32</f>
        <v xml:space="preserve"> ( + 1,50 % ) </v>
      </c>
      <c r="E162" s="155" t="s">
        <v>198</v>
      </c>
      <c r="F162" s="379" t="s">
        <v>449</v>
      </c>
      <c r="G162" s="379" t="s">
        <v>195</v>
      </c>
      <c r="H162" s="379" t="s">
        <v>256</v>
      </c>
    </row>
    <row r="163" spans="1:8">
      <c r="B163" s="135" t="s">
        <v>201</v>
      </c>
      <c r="C163" s="117" t="str">
        <f>'L Tab'!AP45</f>
        <v xml:space="preserve"> ( + 2,60 % ) </v>
      </c>
      <c r="E163" s="143" t="s">
        <v>202</v>
      </c>
      <c r="F163" s="379" t="s">
        <v>456</v>
      </c>
      <c r="G163" s="379" t="s">
        <v>203</v>
      </c>
      <c r="H163" s="379" t="s">
        <v>261</v>
      </c>
    </row>
    <row r="164" spans="1:8">
      <c r="B164" s="135" t="s">
        <v>201</v>
      </c>
      <c r="C164" s="117" t="str">
        <f>'L Tab'!AX45</f>
        <v xml:space="preserve"> ( + 2,80 % ) </v>
      </c>
      <c r="E164" s="143" t="s">
        <v>237</v>
      </c>
      <c r="F164" s="379" t="s">
        <v>457</v>
      </c>
      <c r="G164" s="379" t="s">
        <v>239</v>
      </c>
      <c r="H164" s="379" t="s">
        <v>260</v>
      </c>
    </row>
    <row r="165" spans="1:8">
      <c r="B165" s="135" t="s">
        <v>201</v>
      </c>
      <c r="C165" s="117" t="str">
        <f>'L Tab'!BF45</f>
        <v xml:space="preserve"> ( + 2,80 % ) </v>
      </c>
      <c r="E165" s="143" t="s">
        <v>238</v>
      </c>
      <c r="F165" s="379" t="s">
        <v>458</v>
      </c>
      <c r="G165" s="379" t="s">
        <v>240</v>
      </c>
      <c r="H165" s="379" t="s">
        <v>545</v>
      </c>
    </row>
    <row r="166" spans="1:8">
      <c r="B166" s="397" t="s">
        <v>201</v>
      </c>
      <c r="C166" s="398" t="str">
        <f>'L Tab'!BN45</f>
        <v xml:space="preserve"> ( + 2,00 % ) </v>
      </c>
      <c r="D166" s="397"/>
      <c r="E166" s="399" t="s">
        <v>268</v>
      </c>
      <c r="F166" s="400" t="s">
        <v>453</v>
      </c>
      <c r="G166" s="400" t="s">
        <v>269</v>
      </c>
      <c r="H166" s="400" t="s">
        <v>324</v>
      </c>
    </row>
    <row r="167" spans="1:8" ht="11.25" customHeight="1">
      <c r="B167" s="397" t="s">
        <v>201</v>
      </c>
      <c r="C167" s="398" t="str">
        <f>'L Tab'!BV45</f>
        <v xml:space="preserve"> ( + 2,40 % mind 80 € bis EG 9 ) </v>
      </c>
      <c r="D167" s="397"/>
      <c r="E167" s="399" t="s">
        <v>319</v>
      </c>
      <c r="F167" s="400" t="s">
        <v>459</v>
      </c>
      <c r="G167" s="400" t="s">
        <v>323</v>
      </c>
      <c r="H167" s="400" t="s">
        <v>549</v>
      </c>
    </row>
    <row r="168" spans="1:8">
      <c r="B168" s="397" t="s">
        <v>201</v>
      </c>
      <c r="C168" s="398" t="str">
        <f>'L Tab'!CD45</f>
        <v xml:space="preserve"> ( + 2,00 % mind 75 € ) </v>
      </c>
      <c r="E168" s="399" t="s">
        <v>407</v>
      </c>
      <c r="F168" s="400" t="s">
        <v>460</v>
      </c>
      <c r="G168" s="400" t="s">
        <v>408</v>
      </c>
      <c r="H168" s="400" t="s">
        <v>401</v>
      </c>
    </row>
    <row r="169" spans="1:8">
      <c r="B169" s="397" t="s">
        <v>201</v>
      </c>
      <c r="C169" s="398" t="str">
        <f>'L Tab'!CL45</f>
        <v>( Einführung Stufe 6 ab EG 9 )</v>
      </c>
      <c r="E169" s="399" t="s">
        <v>402</v>
      </c>
      <c r="F169" s="400" t="s">
        <v>447</v>
      </c>
      <c r="G169" s="400" t="s">
        <v>403</v>
      </c>
      <c r="H169" s="400" t="s">
        <v>409</v>
      </c>
    </row>
    <row r="170" spans="1:8">
      <c r="B170" s="397" t="s">
        <v>201</v>
      </c>
      <c r="C170" s="398" t="str">
        <f>'L Tab'!CT45</f>
        <v xml:space="preserve"> ( + 2,20 % ) </v>
      </c>
      <c r="E170" s="399" t="s">
        <v>410</v>
      </c>
      <c r="F170" s="400" t="s">
        <v>461</v>
      </c>
      <c r="G170" s="400" t="s">
        <v>411</v>
      </c>
      <c r="H170" s="400" t="s">
        <v>404</v>
      </c>
    </row>
    <row r="171" spans="1:8">
      <c r="B171" s="397" t="s">
        <v>201</v>
      </c>
      <c r="C171" s="398" t="str">
        <f>'L Tab'!DB45</f>
        <v>( Erhöhung Stufe 6 ab EG 9 )</v>
      </c>
      <c r="E171" s="399" t="s">
        <v>405</v>
      </c>
      <c r="F171" s="400" t="s">
        <v>448</v>
      </c>
      <c r="G171" s="400" t="s">
        <v>406</v>
      </c>
      <c r="H171" s="400" t="s">
        <v>544</v>
      </c>
    </row>
    <row r="172" spans="1:8">
      <c r="A172" s="135" t="str">
        <f>Umse!C9</f>
        <v>9.1.</v>
      </c>
      <c r="B172" s="397" t="s">
        <v>201</v>
      </c>
      <c r="C172" s="135" t="str">
        <f>'L Tab'!DJ45</f>
        <v xml:space="preserve"> ( mindestens 100 € bzw + 3,00 % ab Stufe 2 ) </v>
      </c>
      <c r="E172" s="399" t="s">
        <v>508</v>
      </c>
      <c r="F172" s="400" t="s">
        <v>509</v>
      </c>
      <c r="G172" s="400" t="s">
        <v>510</v>
      </c>
      <c r="H172" s="400" t="s">
        <v>575</v>
      </c>
    </row>
    <row r="173" spans="1:8">
      <c r="A173" s="135" t="str">
        <f>Umse!D9</f>
        <v>9.2.</v>
      </c>
      <c r="B173" s="397" t="s">
        <v>201</v>
      </c>
      <c r="C173" s="135" t="str">
        <f>'L Tab'!DR45</f>
        <v>( Einführung EG 9b und EG 9a )</v>
      </c>
      <c r="E173" s="399" t="s">
        <v>576</v>
      </c>
      <c r="F173" s="400" t="s">
        <v>577</v>
      </c>
      <c r="G173" s="400" t="s">
        <v>578</v>
      </c>
      <c r="H173" s="400" t="s">
        <v>579</v>
      </c>
    </row>
    <row r="174" spans="1:8">
      <c r="A174" s="135" t="str">
        <f>Umse!E9</f>
        <v>9.3.</v>
      </c>
      <c r="B174" s="397" t="s">
        <v>201</v>
      </c>
      <c r="C174" s="135" t="str">
        <f>'L Tab'!DZ45</f>
        <v xml:space="preserve"> ( mindestens 100 € bzw + 3,12 % ab Stufe 2 ) </v>
      </c>
      <c r="E174" s="399" t="s">
        <v>580</v>
      </c>
      <c r="F174" s="400" t="s">
        <v>581</v>
      </c>
      <c r="G174" s="400" t="s">
        <v>582</v>
      </c>
      <c r="H174" s="400" t="s">
        <v>518</v>
      </c>
    </row>
    <row r="175" spans="1:8">
      <c r="A175" s="135" t="str">
        <f>Umse!F9</f>
        <v>9.4.</v>
      </c>
      <c r="B175" s="397" t="s">
        <v>201</v>
      </c>
      <c r="C175" s="135" t="str">
        <f>'L Tab'!EH45</f>
        <v xml:space="preserve"> ( mindestens 40 € bzw + 1,30 % ab Stufe 2 ) </v>
      </c>
      <c r="E175" s="143" t="s">
        <v>521</v>
      </c>
      <c r="F175" s="379" t="s">
        <v>524</v>
      </c>
      <c r="G175" s="379" t="s">
        <v>527</v>
      </c>
      <c r="H175" s="379" t="s">
        <v>543</v>
      </c>
    </row>
    <row r="182" spans="1:8">
      <c r="A182" s="457" t="str">
        <f>Umse!C10</f>
        <v>10.1.</v>
      </c>
      <c r="B182" s="135" t="s">
        <v>585</v>
      </c>
      <c r="C182" s="135" t="str">
        <f>'L Tab'!DJ81</f>
        <v xml:space="preserve"> ( mindestens 100 € bzw + 3,20 % ) </v>
      </c>
      <c r="E182" s="143" t="s">
        <v>519</v>
      </c>
      <c r="F182" s="379" t="s">
        <v>522</v>
      </c>
      <c r="G182" s="379" t="s">
        <v>525</v>
      </c>
      <c r="H182" s="379" t="s">
        <v>517</v>
      </c>
    </row>
    <row r="183" spans="1:8">
      <c r="A183" s="457" t="str">
        <f>Umse!D10</f>
        <v>10.2.</v>
      </c>
      <c r="B183" s="135" t="s">
        <v>585</v>
      </c>
      <c r="C183" s="135" t="str">
        <f>'L Tab'!DR81</f>
        <v xml:space="preserve"> ( mindestens 90 € bzw + 3,20 % ) </v>
      </c>
      <c r="E183" s="143" t="s">
        <v>520</v>
      </c>
      <c r="F183" s="379" t="s">
        <v>523</v>
      </c>
      <c r="G183" s="379" t="s">
        <v>526</v>
      </c>
      <c r="H183" s="379" t="s">
        <v>518</v>
      </c>
    </row>
    <row r="184" spans="1:8">
      <c r="A184" s="457" t="str">
        <f>Umse!E10</f>
        <v>10.3.</v>
      </c>
      <c r="B184" s="135" t="s">
        <v>585</v>
      </c>
      <c r="C184" s="135" t="str">
        <f>'L Tab'!DZ81</f>
        <v xml:space="preserve"> ( mindestens 50 € bzw + 1,40 % ) </v>
      </c>
      <c r="E184" s="143" t="s">
        <v>521</v>
      </c>
      <c r="F184" s="379" t="s">
        <v>524</v>
      </c>
      <c r="G184" s="379" t="s">
        <v>527</v>
      </c>
      <c r="H184" s="379" t="s">
        <v>543</v>
      </c>
    </row>
  </sheetData>
  <sheetProtection selectLockedCells="1" selectUnlockedCells="1"/>
  <phoneticPr fontId="0" type="noConversion"/>
  <dataValidations count="5">
    <dataValidation type="list" allowBlank="1" showInputMessage="1" showErrorMessage="1" sqref="H69:H70">
      <formula1>$M$69:$M$71</formula1>
    </dataValidation>
    <dataValidation type="list" allowBlank="1" showInputMessage="1" showErrorMessage="1" sqref="H92:H93">
      <formula1>$M$92:$M$94</formula1>
    </dataValidation>
    <dataValidation type="list" allowBlank="1" showInputMessage="1" showErrorMessage="1" sqref="J92">
      <formula1>$M$99:$M$100</formula1>
    </dataValidation>
    <dataValidation type="list" allowBlank="1" showInputMessage="1" showErrorMessage="1" sqref="F149">
      <formula1>$J$149:$J$150</formula1>
    </dataValidation>
    <dataValidation type="list" allowBlank="1" showInputMessage="1" showErrorMessage="1" sqref="K93">
      <formula1>$M$106:$M$118</formula1>
    </dataValidation>
  </dataValidations>
  <pageMargins left="0.78740157499999996" right="0.78740157499999996" top="0.984251969" bottom="0.984251969" header="0.4921259845" footer="0.4921259845"/>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C00000"/>
  </sheetPr>
  <dimension ref="A1:Q474"/>
  <sheetViews>
    <sheetView topLeftCell="A403" workbookViewId="0">
      <selection activeCell="J55" sqref="J55"/>
    </sheetView>
  </sheetViews>
  <sheetFormatPr baseColWidth="10" defaultColWidth="8.5703125" defaultRowHeight="11.25"/>
  <cols>
    <col min="1" max="1" width="23.140625" style="135" customWidth="1"/>
    <col min="2" max="9" width="8.5703125" style="135"/>
    <col min="10" max="10" width="23.140625" style="135" customWidth="1"/>
    <col min="11" max="11" width="8.5703125" style="135" customWidth="1"/>
    <col min="12" max="18" width="8.5703125" style="135"/>
    <col min="19" max="20" width="8.5703125" style="135" customWidth="1"/>
    <col min="21" max="25" width="8.5703125" style="135"/>
    <col min="26" max="26" width="8.85546875" style="135" bestFit="1" customWidth="1"/>
    <col min="27" max="16384" width="8.5703125" style="135"/>
  </cols>
  <sheetData>
    <row r="1" spans="1:8">
      <c r="A1" s="173" t="s">
        <v>25</v>
      </c>
      <c r="B1" s="75">
        <v>2005</v>
      </c>
      <c r="C1" s="74" t="s">
        <v>7</v>
      </c>
      <c r="D1" s="74" t="s">
        <v>8</v>
      </c>
      <c r="E1" s="74" t="s">
        <v>9</v>
      </c>
      <c r="F1" s="74" t="s">
        <v>10</v>
      </c>
      <c r="G1" s="74" t="s">
        <v>11</v>
      </c>
      <c r="H1" s="74" t="s">
        <v>12</v>
      </c>
    </row>
    <row r="2" spans="1:8">
      <c r="B2" s="74" t="s">
        <v>13</v>
      </c>
      <c r="C2" s="36">
        <v>4275</v>
      </c>
      <c r="D2" s="36">
        <v>4750</v>
      </c>
      <c r="E2" s="36">
        <v>5200</v>
      </c>
      <c r="F2" s="36">
        <v>5500</v>
      </c>
      <c r="G2" s="36">
        <v>5570</v>
      </c>
      <c r="H2" s="36" t="s">
        <v>15</v>
      </c>
    </row>
    <row r="3" spans="1:8">
      <c r="B3" s="74">
        <v>15</v>
      </c>
      <c r="C3" s="36">
        <v>3384</v>
      </c>
      <c r="D3" s="36">
        <v>3760</v>
      </c>
      <c r="E3" s="36">
        <v>3900</v>
      </c>
      <c r="F3" s="36">
        <v>4400</v>
      </c>
      <c r="G3" s="36">
        <v>4780</v>
      </c>
      <c r="H3" s="36" t="s">
        <v>15</v>
      </c>
    </row>
    <row r="4" spans="1:8">
      <c r="B4" s="74">
        <v>14</v>
      </c>
      <c r="C4" s="36">
        <v>3060</v>
      </c>
      <c r="D4" s="36">
        <v>3400</v>
      </c>
      <c r="E4" s="36">
        <v>3600</v>
      </c>
      <c r="F4" s="36">
        <v>3900</v>
      </c>
      <c r="G4" s="36">
        <v>4360</v>
      </c>
      <c r="H4" s="36" t="s">
        <v>15</v>
      </c>
    </row>
    <row r="5" spans="1:8">
      <c r="B5" s="74">
        <v>13</v>
      </c>
      <c r="C5" s="36">
        <v>2817</v>
      </c>
      <c r="D5" s="36">
        <v>3130</v>
      </c>
      <c r="E5" s="36">
        <v>3300</v>
      </c>
      <c r="F5" s="36">
        <v>3630</v>
      </c>
      <c r="G5" s="36">
        <v>4090</v>
      </c>
      <c r="H5" s="36" t="s">
        <v>15</v>
      </c>
    </row>
    <row r="6" spans="1:8">
      <c r="B6" s="74">
        <v>12</v>
      </c>
      <c r="C6" s="36">
        <v>2520</v>
      </c>
      <c r="D6" s="36">
        <v>2800</v>
      </c>
      <c r="E6" s="36">
        <v>3200</v>
      </c>
      <c r="F6" s="36">
        <v>3550</v>
      </c>
      <c r="G6" s="36">
        <v>4000</v>
      </c>
      <c r="H6" s="36" t="s">
        <v>15</v>
      </c>
    </row>
    <row r="7" spans="1:8">
      <c r="B7" s="74">
        <v>11</v>
      </c>
      <c r="C7" s="36">
        <v>2430</v>
      </c>
      <c r="D7" s="36">
        <v>2700</v>
      </c>
      <c r="E7" s="36">
        <v>2900</v>
      </c>
      <c r="F7" s="36">
        <v>3200</v>
      </c>
      <c r="G7" s="36">
        <v>3635</v>
      </c>
      <c r="H7" s="36" t="s">
        <v>15</v>
      </c>
    </row>
    <row r="8" spans="1:8">
      <c r="B8" s="74">
        <v>10</v>
      </c>
      <c r="C8" s="36">
        <v>2340</v>
      </c>
      <c r="D8" s="36">
        <v>2600</v>
      </c>
      <c r="E8" s="36">
        <v>2800</v>
      </c>
      <c r="F8" s="36">
        <v>3000</v>
      </c>
      <c r="G8" s="36">
        <v>3380</v>
      </c>
      <c r="H8" s="36" t="s">
        <v>15</v>
      </c>
    </row>
    <row r="9" spans="1:8">
      <c r="B9" s="74">
        <v>9</v>
      </c>
      <c r="C9" s="36">
        <v>2061</v>
      </c>
      <c r="D9" s="36">
        <v>2290</v>
      </c>
      <c r="E9" s="36">
        <v>2410</v>
      </c>
      <c r="F9" s="36">
        <v>2730</v>
      </c>
      <c r="G9" s="36">
        <v>2980</v>
      </c>
      <c r="H9" s="36" t="s">
        <v>15</v>
      </c>
    </row>
    <row r="10" spans="1:8">
      <c r="B10" s="74">
        <v>8</v>
      </c>
      <c r="C10" s="36">
        <v>1926</v>
      </c>
      <c r="D10" s="36">
        <v>2140</v>
      </c>
      <c r="E10" s="36">
        <v>2240</v>
      </c>
      <c r="F10" s="36">
        <v>2330</v>
      </c>
      <c r="G10" s="36">
        <v>2430</v>
      </c>
      <c r="H10" s="36">
        <v>2493</v>
      </c>
    </row>
    <row r="11" spans="1:8">
      <c r="B11" s="74">
        <v>7</v>
      </c>
      <c r="C11" s="36">
        <v>1800</v>
      </c>
      <c r="D11" s="36">
        <v>2000</v>
      </c>
      <c r="E11" s="36">
        <v>2130</v>
      </c>
      <c r="F11" s="36">
        <v>2230</v>
      </c>
      <c r="G11" s="36">
        <v>2305</v>
      </c>
      <c r="H11" s="36">
        <v>2375</v>
      </c>
    </row>
    <row r="12" spans="1:8">
      <c r="B12" s="74">
        <v>6</v>
      </c>
      <c r="C12" s="36">
        <v>1764</v>
      </c>
      <c r="D12" s="36">
        <v>1960</v>
      </c>
      <c r="E12" s="36">
        <v>2060</v>
      </c>
      <c r="F12" s="36">
        <v>2155</v>
      </c>
      <c r="G12" s="36">
        <v>2220</v>
      </c>
      <c r="H12" s="36">
        <v>2285</v>
      </c>
    </row>
    <row r="13" spans="1:8">
      <c r="B13" s="74">
        <v>5</v>
      </c>
      <c r="C13" s="36">
        <v>1688</v>
      </c>
      <c r="D13" s="36">
        <v>1875</v>
      </c>
      <c r="E13" s="36">
        <v>1970</v>
      </c>
      <c r="F13" s="36">
        <v>2065</v>
      </c>
      <c r="G13" s="36">
        <v>2135</v>
      </c>
      <c r="H13" s="36">
        <v>2185</v>
      </c>
    </row>
    <row r="14" spans="1:8">
      <c r="B14" s="74">
        <v>4</v>
      </c>
      <c r="C14" s="36">
        <v>1602</v>
      </c>
      <c r="D14" s="36">
        <v>1780</v>
      </c>
      <c r="E14" s="36">
        <v>1900</v>
      </c>
      <c r="F14" s="36">
        <v>1970</v>
      </c>
      <c r="G14" s="36">
        <v>2040</v>
      </c>
      <c r="H14" s="36">
        <v>2081</v>
      </c>
    </row>
    <row r="15" spans="1:8">
      <c r="B15" s="74">
        <v>3</v>
      </c>
      <c r="C15" s="36">
        <v>1575</v>
      </c>
      <c r="D15" s="36">
        <v>1750</v>
      </c>
      <c r="E15" s="36">
        <v>1800</v>
      </c>
      <c r="F15" s="36">
        <v>1880</v>
      </c>
      <c r="G15" s="36">
        <v>1940</v>
      </c>
      <c r="H15" s="36">
        <v>1995</v>
      </c>
    </row>
    <row r="16" spans="1:8">
      <c r="B16" s="74" t="s">
        <v>14</v>
      </c>
      <c r="C16" s="36">
        <v>1503</v>
      </c>
      <c r="D16" s="36">
        <v>1670</v>
      </c>
      <c r="E16" s="36">
        <v>1730</v>
      </c>
      <c r="F16" s="36">
        <v>1810</v>
      </c>
      <c r="G16" s="36">
        <v>1865</v>
      </c>
      <c r="H16" s="36">
        <v>1906</v>
      </c>
    </row>
    <row r="17" spans="2:8">
      <c r="B17" s="74">
        <v>2</v>
      </c>
      <c r="C17" s="36">
        <v>1449</v>
      </c>
      <c r="D17" s="36">
        <v>1610</v>
      </c>
      <c r="E17" s="36">
        <v>1660</v>
      </c>
      <c r="F17" s="36">
        <v>1710</v>
      </c>
      <c r="G17" s="36">
        <v>1820</v>
      </c>
      <c r="H17" s="36">
        <v>1935</v>
      </c>
    </row>
    <row r="18" spans="2:8">
      <c r="B18" s="74">
        <v>1</v>
      </c>
      <c r="C18" s="36" t="s">
        <v>15</v>
      </c>
      <c r="D18" s="36">
        <v>1286</v>
      </c>
      <c r="E18" s="36">
        <v>1310</v>
      </c>
      <c r="F18" s="36">
        <v>1340</v>
      </c>
      <c r="G18" s="36">
        <v>1368</v>
      </c>
      <c r="H18" s="36">
        <v>1440</v>
      </c>
    </row>
    <row r="19" spans="2:8">
      <c r="B19" s="135" t="str">
        <f>""</f>
        <v/>
      </c>
      <c r="C19" s="135" t="str">
        <f>""</f>
        <v/>
      </c>
      <c r="D19" s="135" t="str">
        <f>""</f>
        <v/>
      </c>
      <c r="E19" s="135" t="str">
        <f>""</f>
        <v/>
      </c>
      <c r="F19" s="135" t="str">
        <f>""</f>
        <v/>
      </c>
      <c r="G19" s="135" t="str">
        <f>""</f>
        <v/>
      </c>
      <c r="H19" s="135" t="str">
        <f>""</f>
        <v/>
      </c>
    </row>
    <row r="20" spans="2:8">
      <c r="C20" s="174"/>
    </row>
    <row r="21" spans="2:8">
      <c r="B21" s="146">
        <f>Para!C46</f>
        <v>0.92500000000000004</v>
      </c>
      <c r="C21" s="147"/>
      <c r="D21" s="147"/>
      <c r="E21" s="147"/>
      <c r="F21" s="147"/>
      <c r="G21" s="147"/>
      <c r="H21" s="147"/>
    </row>
    <row r="22" spans="2:8">
      <c r="B22" s="75">
        <v>2005</v>
      </c>
      <c r="C22" s="75" t="str">
        <f t="shared" ref="C22:H22" si="0">C1</f>
        <v>Stufe 1</v>
      </c>
      <c r="D22" s="75" t="str">
        <f t="shared" si="0"/>
        <v>Stufe 2</v>
      </c>
      <c r="E22" s="75" t="str">
        <f t="shared" si="0"/>
        <v>Stufe 3</v>
      </c>
      <c r="F22" s="75" t="str">
        <f t="shared" si="0"/>
        <v>Stufe 4</v>
      </c>
      <c r="G22" s="75" t="str">
        <f t="shared" si="0"/>
        <v>Stufe 5</v>
      </c>
      <c r="H22" s="75" t="str">
        <f t="shared" si="0"/>
        <v>Stufe 6</v>
      </c>
    </row>
    <row r="23" spans="2:8">
      <c r="B23" s="115" t="str">
        <f>B2</f>
        <v>15Ü</v>
      </c>
      <c r="C23" s="72">
        <f>IF(C2="-","-",ROUND(C2*Para!$C$46,0))</f>
        <v>3954</v>
      </c>
      <c r="D23" s="72">
        <f>IF(D2="-","-",ROUND(D2*Para!$C$46,0))</f>
        <v>4394</v>
      </c>
      <c r="E23" s="72">
        <f>IF(E2="-","-",ROUND(E2*Para!$C$46,0))</f>
        <v>4810</v>
      </c>
      <c r="F23" s="72">
        <f>IF(F2="-","-",ROUND(F2*Para!$C$46,0))</f>
        <v>5088</v>
      </c>
      <c r="G23" s="72">
        <f>IF(G2="-","-",ROUND(G2*Para!$C$46,0))</f>
        <v>5152</v>
      </c>
      <c r="H23" s="72" t="str">
        <f>IF(H2="-","-",ROUND(H2*Para!$C$46,0))</f>
        <v>-</v>
      </c>
    </row>
    <row r="24" spans="2:8">
      <c r="B24" s="115">
        <f>B3</f>
        <v>15</v>
      </c>
      <c r="C24" s="72">
        <f>IF(C3="-","-",ROUND(C3*Para!$C$46,0))</f>
        <v>3130</v>
      </c>
      <c r="D24" s="72">
        <f>IF(D3="-","-",ROUND(D3*Para!$C$46,0))</f>
        <v>3478</v>
      </c>
      <c r="E24" s="72">
        <f>IF(E3="-","-",ROUND(E3*Para!$C$46,0))</f>
        <v>3608</v>
      </c>
      <c r="F24" s="72">
        <f>IF(F3="-","-",ROUND(F3*Para!$C$46,0))</f>
        <v>4070</v>
      </c>
      <c r="G24" s="72">
        <f>IF(G3="-","-",ROUND(G3*Para!$C$46,0))</f>
        <v>4422</v>
      </c>
      <c r="H24" s="72" t="str">
        <f>IF(H3="-","-",ROUND(H3*Para!$C$46,0))</f>
        <v>-</v>
      </c>
    </row>
    <row r="25" spans="2:8">
      <c r="B25" s="115">
        <f>B4</f>
        <v>14</v>
      </c>
      <c r="C25" s="72">
        <f>IF(C4="-","-",ROUND(C4*Para!$C$46,0))</f>
        <v>2831</v>
      </c>
      <c r="D25" s="72">
        <f>IF(D4="-","-",ROUND(D4*Para!$C$46,0))</f>
        <v>3145</v>
      </c>
      <c r="E25" s="72">
        <f>IF(E4="-","-",ROUND(E4*Para!$C$46,0))</f>
        <v>3330</v>
      </c>
      <c r="F25" s="72">
        <f>IF(F4="-","-",ROUND(F4*Para!$C$46,0))</f>
        <v>3608</v>
      </c>
      <c r="G25" s="72">
        <f>IF(G4="-","-",ROUND(G4*Para!$C$46,0))</f>
        <v>4033</v>
      </c>
      <c r="H25" s="72" t="str">
        <f>IF(H4="-","-",ROUND(H4*Para!$C$46,0))</f>
        <v>-</v>
      </c>
    </row>
    <row r="26" spans="2:8">
      <c r="B26" s="115">
        <f t="shared" ref="B26:B39" si="1">B5</f>
        <v>13</v>
      </c>
      <c r="C26" s="72">
        <f>IF(C5="-","-",ROUND(C5*Para!$C$46,0))</f>
        <v>2606</v>
      </c>
      <c r="D26" s="72">
        <f>IF(D5="-","-",ROUND(D5*Para!$C$46,0))</f>
        <v>2895</v>
      </c>
      <c r="E26" s="72">
        <f>IF(E5="-","-",ROUND(E5*Para!$C$46,0))</f>
        <v>3053</v>
      </c>
      <c r="F26" s="72">
        <f>IF(F5="-","-",ROUND(F5*Para!$C$46,0))</f>
        <v>3358</v>
      </c>
      <c r="G26" s="72">
        <f>IF(G5="-","-",ROUND(G5*Para!$C$46,0))</f>
        <v>3783</v>
      </c>
      <c r="H26" s="72" t="str">
        <f>IF(H5="-","-",ROUND(H5*Para!$C$46,0))</f>
        <v>-</v>
      </c>
    </row>
    <row r="27" spans="2:8">
      <c r="B27" s="115">
        <f t="shared" si="1"/>
        <v>12</v>
      </c>
      <c r="C27" s="72">
        <f>IF(C6="-","-",ROUND(C6*Para!$C$46,0))</f>
        <v>2331</v>
      </c>
      <c r="D27" s="72">
        <f>IF(D6="-","-",ROUND(D6*Para!$C$46,0))</f>
        <v>2590</v>
      </c>
      <c r="E27" s="72">
        <f>IF(E6="-","-",ROUND(E6*Para!$C$46,0))</f>
        <v>2960</v>
      </c>
      <c r="F27" s="72">
        <f>IF(F6="-","-",ROUND(F6*Para!$C$46,0))</f>
        <v>3284</v>
      </c>
      <c r="G27" s="72">
        <f>IF(G6="-","-",ROUND(G6*Para!$C$46,0))</f>
        <v>3700</v>
      </c>
      <c r="H27" s="72" t="str">
        <f>IF(H6="-","-",ROUND(H6*Para!$C$46,0))</f>
        <v>-</v>
      </c>
    </row>
    <row r="28" spans="2:8">
      <c r="B28" s="115">
        <f t="shared" si="1"/>
        <v>11</v>
      </c>
      <c r="C28" s="72">
        <f>IF(C7="-","-",ROUND(C7*Para!$C$46,0))</f>
        <v>2248</v>
      </c>
      <c r="D28" s="72">
        <f>IF(D7="-","-",ROUND(D7*Para!$C$46,0))</f>
        <v>2498</v>
      </c>
      <c r="E28" s="72">
        <f>IF(E7="-","-",ROUND(E7*Para!$C$46,0))</f>
        <v>2683</v>
      </c>
      <c r="F28" s="72">
        <f>IF(F7="-","-",ROUND(F7*Para!$C$46,0))</f>
        <v>2960</v>
      </c>
      <c r="G28" s="72">
        <f>IF(G7="-","-",ROUND(G7*Para!$C$46,0))</f>
        <v>3362</v>
      </c>
      <c r="H28" s="72" t="str">
        <f>IF(H7="-","-",ROUND(H7*Para!$C$46,0))</f>
        <v>-</v>
      </c>
    </row>
    <row r="29" spans="2:8">
      <c r="B29" s="115">
        <f t="shared" si="1"/>
        <v>10</v>
      </c>
      <c r="C29" s="72">
        <f>IF(C8="-","-",ROUND(C8*Para!$C$46,0))</f>
        <v>2165</v>
      </c>
      <c r="D29" s="72">
        <f>IF(D8="-","-",ROUND(D8*Para!$C$46,0))</f>
        <v>2405</v>
      </c>
      <c r="E29" s="72">
        <f>IF(E8="-","-",ROUND(E8*Para!$C$46,0))</f>
        <v>2590</v>
      </c>
      <c r="F29" s="72">
        <f>IF(F8="-","-",ROUND(F8*Para!$C$46,0))</f>
        <v>2775</v>
      </c>
      <c r="G29" s="72">
        <f>IF(G8="-","-",ROUND(G8*Para!$C$46,0))</f>
        <v>3127</v>
      </c>
      <c r="H29" s="72" t="str">
        <f>IF(H8="-","-",ROUND(H8*Para!$C$46,0))</f>
        <v>-</v>
      </c>
    </row>
    <row r="30" spans="2:8">
      <c r="B30" s="115">
        <f t="shared" si="1"/>
        <v>9</v>
      </c>
      <c r="C30" s="72">
        <f>IF(C9="-","-",ROUND(C9*Para!$C$46,0))</f>
        <v>1906</v>
      </c>
      <c r="D30" s="72">
        <f>IF(D9="-","-",ROUND(D9*Para!$C$46,0))</f>
        <v>2118</v>
      </c>
      <c r="E30" s="72">
        <f>IF(E9="-","-",ROUND(E9*Para!$C$46,0))</f>
        <v>2229</v>
      </c>
      <c r="F30" s="72">
        <f>IF(F9="-","-",ROUND(F9*Para!$C$46,0))</f>
        <v>2525</v>
      </c>
      <c r="G30" s="72">
        <f>IF(G9="-","-",ROUND(G9*Para!$C$46,0))</f>
        <v>2757</v>
      </c>
      <c r="H30" s="72" t="str">
        <f>IF(H9="-","-",ROUND(H9*Para!$C$46,0))</f>
        <v>-</v>
      </c>
    </row>
    <row r="31" spans="2:8">
      <c r="B31" s="115">
        <f t="shared" si="1"/>
        <v>8</v>
      </c>
      <c r="C31" s="72">
        <f>IF(C10="-","-",ROUND(C10*Para!$C$46,0))</f>
        <v>1782</v>
      </c>
      <c r="D31" s="72">
        <f>IF(D10="-","-",ROUND(D10*Para!$C$46,0))</f>
        <v>1980</v>
      </c>
      <c r="E31" s="72">
        <f>IF(E10="-","-",ROUND(E10*Para!$C$46,0))</f>
        <v>2072</v>
      </c>
      <c r="F31" s="72">
        <f>IF(F10="-","-",ROUND(F10*Para!$C$46,0))</f>
        <v>2155</v>
      </c>
      <c r="G31" s="72">
        <f>IF(G10="-","-",ROUND(G10*Para!$C$46,0))</f>
        <v>2248</v>
      </c>
      <c r="H31" s="72">
        <f>IF(H10="-","-",ROUND(H10*Para!$C$46,0))</f>
        <v>2306</v>
      </c>
    </row>
    <row r="32" spans="2:8">
      <c r="B32" s="115">
        <f t="shared" si="1"/>
        <v>7</v>
      </c>
      <c r="C32" s="72">
        <f>IF(C11="-","-",ROUND(C11*Para!$C$46,0))</f>
        <v>1665</v>
      </c>
      <c r="D32" s="72">
        <f>IF(D11="-","-",ROUND(D11*Para!$C$46,0))</f>
        <v>1850</v>
      </c>
      <c r="E32" s="72">
        <f>IF(E11="-","-",ROUND(E11*Para!$C$46,0))</f>
        <v>1970</v>
      </c>
      <c r="F32" s="72">
        <f>IF(F11="-","-",ROUND(F11*Para!$C$46,0))</f>
        <v>2063</v>
      </c>
      <c r="G32" s="72">
        <f>IF(G11="-","-",ROUND(G11*Para!$C$46,0))</f>
        <v>2132</v>
      </c>
      <c r="H32" s="72">
        <f>IF(H11="-","-",ROUND(H11*Para!$C$46,0))</f>
        <v>2197</v>
      </c>
    </row>
    <row r="33" spans="2:8">
      <c r="B33" s="115">
        <f t="shared" si="1"/>
        <v>6</v>
      </c>
      <c r="C33" s="72">
        <f>IF(C12="-","-",ROUND(C12*Para!$C$46,0))</f>
        <v>1632</v>
      </c>
      <c r="D33" s="72">
        <f>IF(D12="-","-",ROUND(D12*Para!$C$46,0))</f>
        <v>1813</v>
      </c>
      <c r="E33" s="72">
        <f>IF(E12="-","-",ROUND(E12*Para!$C$46,0))</f>
        <v>1906</v>
      </c>
      <c r="F33" s="72">
        <f>IF(F12="-","-",ROUND(F12*Para!$C$46,0))</f>
        <v>1993</v>
      </c>
      <c r="G33" s="72">
        <f>IF(G12="-","-",ROUND(G12*Para!$C$46,0))</f>
        <v>2054</v>
      </c>
      <c r="H33" s="72">
        <f>IF(H12="-","-",ROUND(H12*Para!$C$46,0))</f>
        <v>2114</v>
      </c>
    </row>
    <row r="34" spans="2:8">
      <c r="B34" s="115">
        <f t="shared" si="1"/>
        <v>5</v>
      </c>
      <c r="C34" s="72">
        <f>IF(C13="-","-",ROUND(C13*Para!$C$46,0))</f>
        <v>1561</v>
      </c>
      <c r="D34" s="72">
        <f>IF(D13="-","-",ROUND(D13*Para!$C$46,0))</f>
        <v>1734</v>
      </c>
      <c r="E34" s="72">
        <f>IF(E13="-","-",ROUND(E13*Para!$C$46,0))</f>
        <v>1822</v>
      </c>
      <c r="F34" s="72">
        <f>IF(F13="-","-",ROUND(F13*Para!$C$46,0))</f>
        <v>1910</v>
      </c>
      <c r="G34" s="72">
        <f>IF(G13="-","-",ROUND(G13*Para!$C$46,0))</f>
        <v>1975</v>
      </c>
      <c r="H34" s="72">
        <f>IF(H13="-","-",ROUND(H13*Para!$C$46,0))</f>
        <v>2021</v>
      </c>
    </row>
    <row r="35" spans="2:8">
      <c r="B35" s="115">
        <f t="shared" si="1"/>
        <v>4</v>
      </c>
      <c r="C35" s="72">
        <f>IF(C14="-","-",ROUND(C14*Para!$C$46,0))</f>
        <v>1482</v>
      </c>
      <c r="D35" s="72">
        <f>IF(D14="-","-",ROUND(D14*Para!$C$46,0))</f>
        <v>1647</v>
      </c>
      <c r="E35" s="72">
        <f>IF(E14="-","-",ROUND(E14*Para!$C$46,0))</f>
        <v>1758</v>
      </c>
      <c r="F35" s="72">
        <f>IF(F14="-","-",ROUND(F14*Para!$C$46,0))</f>
        <v>1822</v>
      </c>
      <c r="G35" s="72">
        <f>IF(G14="-","-",ROUND(G14*Para!$C$46,0))</f>
        <v>1887</v>
      </c>
      <c r="H35" s="72">
        <f>IF(H14="-","-",ROUND(H14*Para!$C$46,0))</f>
        <v>1925</v>
      </c>
    </row>
    <row r="36" spans="2:8">
      <c r="B36" s="115">
        <f t="shared" si="1"/>
        <v>3</v>
      </c>
      <c r="C36" s="72">
        <f>IF(C15="-","-",ROUND(C15*Para!$C$46,0))</f>
        <v>1457</v>
      </c>
      <c r="D36" s="72">
        <f>IF(D15="-","-",ROUND(D15*Para!$C$46,0))</f>
        <v>1619</v>
      </c>
      <c r="E36" s="72">
        <f>IF(E15="-","-",ROUND(E15*Para!$C$46,0))</f>
        <v>1665</v>
      </c>
      <c r="F36" s="72">
        <f>IF(F15="-","-",ROUND(F15*Para!$C$46,0))</f>
        <v>1739</v>
      </c>
      <c r="G36" s="72">
        <f>IF(G15="-","-",ROUND(G15*Para!$C$46,0))</f>
        <v>1795</v>
      </c>
      <c r="H36" s="72">
        <f>IF(H15="-","-",ROUND(H15*Para!$C$46,0))</f>
        <v>1845</v>
      </c>
    </row>
    <row r="37" spans="2:8">
      <c r="B37" s="115" t="str">
        <f t="shared" si="1"/>
        <v>2Ü</v>
      </c>
      <c r="C37" s="72">
        <f>IF(C16="-","-",ROUND(C16*Para!$C$46,0))</f>
        <v>1390</v>
      </c>
      <c r="D37" s="72">
        <f>IF(D16="-","-",ROUND(D16*Para!$C$46,0))</f>
        <v>1545</v>
      </c>
      <c r="E37" s="72">
        <f>IF(E16="-","-",ROUND(E16*Para!$C$46,0))</f>
        <v>1600</v>
      </c>
      <c r="F37" s="72">
        <f>IF(F16="-","-",ROUND(F16*Para!$C$46,0))</f>
        <v>1674</v>
      </c>
      <c r="G37" s="72">
        <f>IF(G16="-","-",ROUND(G16*Para!$C$46,0))</f>
        <v>1725</v>
      </c>
      <c r="H37" s="72">
        <f>IF(H16="-","-",ROUND(H16*Para!$C$46,0))</f>
        <v>1763</v>
      </c>
    </row>
    <row r="38" spans="2:8">
      <c r="B38" s="115">
        <f t="shared" si="1"/>
        <v>2</v>
      </c>
      <c r="C38" s="72">
        <f>IF(C17="-","-",ROUND(C17*Para!$C$46,0))</f>
        <v>1340</v>
      </c>
      <c r="D38" s="72">
        <f>IF(D17="-","-",ROUND(D17*Para!$C$46,0))</f>
        <v>1489</v>
      </c>
      <c r="E38" s="72">
        <f>IF(E17="-","-",ROUND(E17*Para!$C$46,0))</f>
        <v>1536</v>
      </c>
      <c r="F38" s="72">
        <f>IF(F17="-","-",ROUND(F17*Para!$C$46,0))</f>
        <v>1582</v>
      </c>
      <c r="G38" s="72">
        <f>IF(G17="-","-",ROUND(G17*Para!$C$46,0))</f>
        <v>1684</v>
      </c>
      <c r="H38" s="72">
        <f>IF(H17="-","-",ROUND(H17*Para!$C$46,0))</f>
        <v>1790</v>
      </c>
    </row>
    <row r="39" spans="2:8">
      <c r="B39" s="115">
        <f t="shared" si="1"/>
        <v>1</v>
      </c>
      <c r="C39" s="72" t="str">
        <f>IF(C18="-","-",ROUND(C18*Para!$C$46,0))</f>
        <v>-</v>
      </c>
      <c r="D39" s="72">
        <f>IF(D18="-","-",ROUND(D18*Para!$C$46,0))</f>
        <v>1190</v>
      </c>
      <c r="E39" s="72">
        <f>IF(E18="-","-",ROUND(E18*Para!$C$46,0))</f>
        <v>1212</v>
      </c>
      <c r="F39" s="72">
        <f>IF(F18="-","-",ROUND(F18*Para!$C$46,0))</f>
        <v>1240</v>
      </c>
      <c r="G39" s="72">
        <f>IF(G18="-","-",ROUND(G18*Para!$C$46,0))</f>
        <v>1265</v>
      </c>
      <c r="H39" s="72">
        <f>IF(H18="-","-",ROUND(H18*Para!$C$46,0))</f>
        <v>1332</v>
      </c>
    </row>
    <row r="40" spans="2:8">
      <c r="B40" s="135" t="str">
        <f>""</f>
        <v/>
      </c>
      <c r="C40" s="135" t="str">
        <f>""</f>
        <v/>
      </c>
      <c r="D40" s="135" t="str">
        <f>""</f>
        <v/>
      </c>
      <c r="E40" s="135" t="str">
        <f>""</f>
        <v/>
      </c>
      <c r="F40" s="135" t="str">
        <f>""</f>
        <v/>
      </c>
      <c r="G40" s="135" t="str">
        <f>""</f>
        <v/>
      </c>
      <c r="H40" s="135" t="str">
        <f>""</f>
        <v/>
      </c>
    </row>
    <row r="41" spans="2:8">
      <c r="C41" s="174"/>
    </row>
    <row r="42" spans="2:8">
      <c r="B42" s="146">
        <f>Para!C47</f>
        <v>1</v>
      </c>
      <c r="C42" s="148" t="str">
        <f>Para!F47</f>
        <v>EG 1 - 9 (bis IVb BAT-O)</v>
      </c>
      <c r="D42" s="147"/>
      <c r="E42" s="147"/>
      <c r="F42" s="147"/>
      <c r="G42" s="147"/>
      <c r="H42" s="147"/>
    </row>
    <row r="43" spans="2:8">
      <c r="B43" s="75">
        <v>2008</v>
      </c>
      <c r="C43" s="75" t="str">
        <f t="shared" ref="C43:H43" si="2">C1</f>
        <v>Stufe 1</v>
      </c>
      <c r="D43" s="75" t="str">
        <f t="shared" si="2"/>
        <v>Stufe 2</v>
      </c>
      <c r="E43" s="75" t="str">
        <f t="shared" si="2"/>
        <v>Stufe 3</v>
      </c>
      <c r="F43" s="75" t="str">
        <f t="shared" si="2"/>
        <v>Stufe 4</v>
      </c>
      <c r="G43" s="75" t="str">
        <f t="shared" si="2"/>
        <v>Stufe 5</v>
      </c>
      <c r="H43" s="75" t="str">
        <f t="shared" si="2"/>
        <v>Stufe 6</v>
      </c>
    </row>
    <row r="44" spans="2:8">
      <c r="B44" s="75" t="str">
        <f>B2</f>
        <v>15Ü</v>
      </c>
      <c r="C44" s="72">
        <f t="shared" ref="C44:H44" si="3">C23</f>
        <v>3954</v>
      </c>
      <c r="D44" s="72">
        <f t="shared" si="3"/>
        <v>4394</v>
      </c>
      <c r="E44" s="72">
        <f t="shared" si="3"/>
        <v>4810</v>
      </c>
      <c r="F44" s="72">
        <f t="shared" si="3"/>
        <v>5088</v>
      </c>
      <c r="G44" s="72">
        <f t="shared" si="3"/>
        <v>5152</v>
      </c>
      <c r="H44" s="72" t="str">
        <f t="shared" si="3"/>
        <v>-</v>
      </c>
    </row>
    <row r="45" spans="2:8">
      <c r="B45" s="75">
        <f t="shared" ref="B45:B60" si="4">B3</f>
        <v>15</v>
      </c>
      <c r="C45" s="72">
        <f t="shared" ref="C45:H50" si="5">C24</f>
        <v>3130</v>
      </c>
      <c r="D45" s="72">
        <f t="shared" si="5"/>
        <v>3478</v>
      </c>
      <c r="E45" s="72">
        <f t="shared" si="5"/>
        <v>3608</v>
      </c>
      <c r="F45" s="72">
        <f t="shared" si="5"/>
        <v>4070</v>
      </c>
      <c r="G45" s="72">
        <f t="shared" si="5"/>
        <v>4422</v>
      </c>
      <c r="H45" s="72" t="str">
        <f t="shared" si="5"/>
        <v>-</v>
      </c>
    </row>
    <row r="46" spans="2:8">
      <c r="B46" s="75">
        <f t="shared" si="4"/>
        <v>14</v>
      </c>
      <c r="C46" s="72">
        <f t="shared" si="5"/>
        <v>2831</v>
      </c>
      <c r="D46" s="72">
        <f t="shared" si="5"/>
        <v>3145</v>
      </c>
      <c r="E46" s="72">
        <f t="shared" si="5"/>
        <v>3330</v>
      </c>
      <c r="F46" s="72">
        <f t="shared" si="5"/>
        <v>3608</v>
      </c>
      <c r="G46" s="72">
        <f t="shared" si="5"/>
        <v>4033</v>
      </c>
      <c r="H46" s="72" t="str">
        <f t="shared" si="5"/>
        <v>-</v>
      </c>
    </row>
    <row r="47" spans="2:8">
      <c r="B47" s="75">
        <f t="shared" si="4"/>
        <v>13</v>
      </c>
      <c r="C47" s="72">
        <f t="shared" si="5"/>
        <v>2606</v>
      </c>
      <c r="D47" s="72">
        <f t="shared" si="5"/>
        <v>2895</v>
      </c>
      <c r="E47" s="72">
        <f t="shared" si="5"/>
        <v>3053</v>
      </c>
      <c r="F47" s="72">
        <f t="shared" si="5"/>
        <v>3358</v>
      </c>
      <c r="G47" s="72">
        <f t="shared" si="5"/>
        <v>3783</v>
      </c>
      <c r="H47" s="72" t="str">
        <f t="shared" si="5"/>
        <v>-</v>
      </c>
    </row>
    <row r="48" spans="2:8">
      <c r="B48" s="75">
        <f t="shared" si="4"/>
        <v>12</v>
      </c>
      <c r="C48" s="72">
        <f t="shared" si="5"/>
        <v>2331</v>
      </c>
      <c r="D48" s="72">
        <f t="shared" si="5"/>
        <v>2590</v>
      </c>
      <c r="E48" s="72">
        <f t="shared" si="5"/>
        <v>2960</v>
      </c>
      <c r="F48" s="72">
        <f t="shared" si="5"/>
        <v>3284</v>
      </c>
      <c r="G48" s="72">
        <f t="shared" si="5"/>
        <v>3700</v>
      </c>
      <c r="H48" s="72" t="str">
        <f t="shared" si="5"/>
        <v>-</v>
      </c>
    </row>
    <row r="49" spans="2:8">
      <c r="B49" s="75">
        <f t="shared" si="4"/>
        <v>11</v>
      </c>
      <c r="C49" s="72">
        <f t="shared" si="5"/>
        <v>2248</v>
      </c>
      <c r="D49" s="72">
        <f t="shared" si="5"/>
        <v>2498</v>
      </c>
      <c r="E49" s="72">
        <f t="shared" si="5"/>
        <v>2683</v>
      </c>
      <c r="F49" s="72">
        <f t="shared" si="5"/>
        <v>2960</v>
      </c>
      <c r="G49" s="72">
        <f t="shared" si="5"/>
        <v>3362</v>
      </c>
      <c r="H49" s="72" t="str">
        <f t="shared" si="5"/>
        <v>-</v>
      </c>
    </row>
    <row r="50" spans="2:8">
      <c r="B50" s="75">
        <f t="shared" si="4"/>
        <v>10</v>
      </c>
      <c r="C50" s="72">
        <f t="shared" si="5"/>
        <v>2165</v>
      </c>
      <c r="D50" s="72">
        <f t="shared" si="5"/>
        <v>2405</v>
      </c>
      <c r="E50" s="72">
        <f t="shared" si="5"/>
        <v>2590</v>
      </c>
      <c r="F50" s="72">
        <f t="shared" si="5"/>
        <v>2775</v>
      </c>
      <c r="G50" s="72">
        <f t="shared" si="5"/>
        <v>3127</v>
      </c>
      <c r="H50" s="72" t="str">
        <f t="shared" si="5"/>
        <v>-</v>
      </c>
    </row>
    <row r="51" spans="2:8">
      <c r="B51" s="115">
        <f t="shared" si="4"/>
        <v>9</v>
      </c>
      <c r="C51" s="72">
        <f t="shared" ref="C51:H51" si="6">C9</f>
        <v>2061</v>
      </c>
      <c r="D51" s="72">
        <f t="shared" si="6"/>
        <v>2290</v>
      </c>
      <c r="E51" s="72">
        <f t="shared" si="6"/>
        <v>2410</v>
      </c>
      <c r="F51" s="72">
        <f t="shared" si="6"/>
        <v>2730</v>
      </c>
      <c r="G51" s="72">
        <f t="shared" si="6"/>
        <v>2980</v>
      </c>
      <c r="H51" s="72" t="str">
        <f t="shared" si="6"/>
        <v>-</v>
      </c>
    </row>
    <row r="52" spans="2:8">
      <c r="B52" s="115">
        <f t="shared" si="4"/>
        <v>8</v>
      </c>
      <c r="C52" s="72">
        <f t="shared" ref="C52:H60" si="7">C10</f>
        <v>1926</v>
      </c>
      <c r="D52" s="72">
        <f t="shared" si="7"/>
        <v>2140</v>
      </c>
      <c r="E52" s="72">
        <f t="shared" si="7"/>
        <v>2240</v>
      </c>
      <c r="F52" s="72">
        <f t="shared" si="7"/>
        <v>2330</v>
      </c>
      <c r="G52" s="72">
        <f t="shared" si="7"/>
        <v>2430</v>
      </c>
      <c r="H52" s="72">
        <f t="shared" si="7"/>
        <v>2493</v>
      </c>
    </row>
    <row r="53" spans="2:8">
      <c r="B53" s="115">
        <f t="shared" si="4"/>
        <v>7</v>
      </c>
      <c r="C53" s="72">
        <f t="shared" si="7"/>
        <v>1800</v>
      </c>
      <c r="D53" s="72">
        <f t="shared" si="7"/>
        <v>2000</v>
      </c>
      <c r="E53" s="72">
        <f t="shared" si="7"/>
        <v>2130</v>
      </c>
      <c r="F53" s="72">
        <f t="shared" si="7"/>
        <v>2230</v>
      </c>
      <c r="G53" s="72">
        <f t="shared" si="7"/>
        <v>2305</v>
      </c>
      <c r="H53" s="72">
        <f t="shared" si="7"/>
        <v>2375</v>
      </c>
    </row>
    <row r="54" spans="2:8">
      <c r="B54" s="115">
        <f t="shared" si="4"/>
        <v>6</v>
      </c>
      <c r="C54" s="72">
        <f t="shared" si="7"/>
        <v>1764</v>
      </c>
      <c r="D54" s="72">
        <f t="shared" si="7"/>
        <v>1960</v>
      </c>
      <c r="E54" s="72">
        <f t="shared" si="7"/>
        <v>2060</v>
      </c>
      <c r="F54" s="72">
        <f t="shared" si="7"/>
        <v>2155</v>
      </c>
      <c r="G54" s="72">
        <f t="shared" si="7"/>
        <v>2220</v>
      </c>
      <c r="H54" s="72">
        <f t="shared" si="7"/>
        <v>2285</v>
      </c>
    </row>
    <row r="55" spans="2:8">
      <c r="B55" s="115">
        <f t="shared" si="4"/>
        <v>5</v>
      </c>
      <c r="C55" s="72">
        <f t="shared" si="7"/>
        <v>1688</v>
      </c>
      <c r="D55" s="72">
        <f t="shared" si="7"/>
        <v>1875</v>
      </c>
      <c r="E55" s="72">
        <f t="shared" si="7"/>
        <v>1970</v>
      </c>
      <c r="F55" s="72">
        <f t="shared" si="7"/>
        <v>2065</v>
      </c>
      <c r="G55" s="72">
        <f t="shared" si="7"/>
        <v>2135</v>
      </c>
      <c r="H55" s="72">
        <f t="shared" si="7"/>
        <v>2185</v>
      </c>
    </row>
    <row r="56" spans="2:8">
      <c r="B56" s="115">
        <f t="shared" si="4"/>
        <v>4</v>
      </c>
      <c r="C56" s="72">
        <f t="shared" si="7"/>
        <v>1602</v>
      </c>
      <c r="D56" s="72">
        <f t="shared" si="7"/>
        <v>1780</v>
      </c>
      <c r="E56" s="72">
        <f t="shared" si="7"/>
        <v>1900</v>
      </c>
      <c r="F56" s="72">
        <f t="shared" si="7"/>
        <v>1970</v>
      </c>
      <c r="G56" s="72">
        <f t="shared" si="7"/>
        <v>2040</v>
      </c>
      <c r="H56" s="72">
        <f t="shared" si="7"/>
        <v>2081</v>
      </c>
    </row>
    <row r="57" spans="2:8">
      <c r="B57" s="115">
        <f t="shared" si="4"/>
        <v>3</v>
      </c>
      <c r="C57" s="72">
        <f t="shared" si="7"/>
        <v>1575</v>
      </c>
      <c r="D57" s="72">
        <f t="shared" si="7"/>
        <v>1750</v>
      </c>
      <c r="E57" s="72">
        <f t="shared" si="7"/>
        <v>1800</v>
      </c>
      <c r="F57" s="72">
        <f t="shared" si="7"/>
        <v>1880</v>
      </c>
      <c r="G57" s="72">
        <f t="shared" si="7"/>
        <v>1940</v>
      </c>
      <c r="H57" s="72">
        <f t="shared" si="7"/>
        <v>1995</v>
      </c>
    </row>
    <row r="58" spans="2:8">
      <c r="B58" s="115" t="str">
        <f t="shared" si="4"/>
        <v>2Ü</v>
      </c>
      <c r="C58" s="72">
        <f t="shared" si="7"/>
        <v>1503</v>
      </c>
      <c r="D58" s="72">
        <f t="shared" si="7"/>
        <v>1670</v>
      </c>
      <c r="E58" s="72">
        <f t="shared" si="7"/>
        <v>1730</v>
      </c>
      <c r="F58" s="72">
        <f t="shared" si="7"/>
        <v>1810</v>
      </c>
      <c r="G58" s="72">
        <f t="shared" si="7"/>
        <v>1865</v>
      </c>
      <c r="H58" s="72">
        <f t="shared" si="7"/>
        <v>1906</v>
      </c>
    </row>
    <row r="59" spans="2:8">
      <c r="B59" s="115">
        <f t="shared" si="4"/>
        <v>2</v>
      </c>
      <c r="C59" s="72">
        <f t="shared" si="7"/>
        <v>1449</v>
      </c>
      <c r="D59" s="72">
        <f t="shared" si="7"/>
        <v>1610</v>
      </c>
      <c r="E59" s="72">
        <f t="shared" si="7"/>
        <v>1660</v>
      </c>
      <c r="F59" s="72">
        <f t="shared" si="7"/>
        <v>1710</v>
      </c>
      <c r="G59" s="72">
        <f t="shared" si="7"/>
        <v>1820</v>
      </c>
      <c r="H59" s="72">
        <f t="shared" si="7"/>
        <v>1935</v>
      </c>
    </row>
    <row r="60" spans="2:8">
      <c r="B60" s="115">
        <f t="shared" si="4"/>
        <v>1</v>
      </c>
      <c r="C60" s="72" t="str">
        <f t="shared" si="7"/>
        <v>-</v>
      </c>
      <c r="D60" s="72">
        <f t="shared" si="7"/>
        <v>1286</v>
      </c>
      <c r="E60" s="72">
        <f t="shared" si="7"/>
        <v>1310</v>
      </c>
      <c r="F60" s="72">
        <f t="shared" si="7"/>
        <v>1340</v>
      </c>
      <c r="G60" s="72">
        <f t="shared" si="7"/>
        <v>1368</v>
      </c>
      <c r="H60" s="72">
        <f t="shared" si="7"/>
        <v>1440</v>
      </c>
    </row>
    <row r="61" spans="2:8">
      <c r="B61" s="35"/>
      <c r="C61" s="73"/>
      <c r="D61" s="73"/>
      <c r="E61" s="73"/>
      <c r="F61" s="73"/>
      <c r="G61" s="73"/>
      <c r="H61" s="73"/>
    </row>
    <row r="63" spans="2:8">
      <c r="B63" s="147" t="s">
        <v>114</v>
      </c>
    </row>
    <row r="64" spans="2:8">
      <c r="B64" s="75">
        <v>2008</v>
      </c>
      <c r="C64" s="75" t="str">
        <f t="shared" ref="C64:H64" si="8">C1</f>
        <v>Stufe 1</v>
      </c>
      <c r="D64" s="75" t="str">
        <f t="shared" si="8"/>
        <v>Stufe 2</v>
      </c>
      <c r="E64" s="75" t="str">
        <f t="shared" si="8"/>
        <v>Stufe 3</v>
      </c>
      <c r="F64" s="75" t="str">
        <f t="shared" si="8"/>
        <v>Stufe 4</v>
      </c>
      <c r="G64" s="75" t="str">
        <f t="shared" si="8"/>
        <v>Stufe 5</v>
      </c>
      <c r="H64" s="75" t="str">
        <f t="shared" si="8"/>
        <v>Stufe 6</v>
      </c>
    </row>
    <row r="65" spans="2:8">
      <c r="B65" s="75" t="str">
        <f>B2</f>
        <v>15Ü</v>
      </c>
      <c r="C65" s="37">
        <f t="shared" ref="C65:H65" si="9">IF(C2="-","-",ROUND((C2+50)*1.031,2))</f>
        <v>4459.08</v>
      </c>
      <c r="D65" s="37">
        <f t="shared" si="9"/>
        <v>4948.8</v>
      </c>
      <c r="E65" s="37">
        <f t="shared" si="9"/>
        <v>5412.75</v>
      </c>
      <c r="F65" s="37">
        <f t="shared" si="9"/>
        <v>5722.05</v>
      </c>
      <c r="G65" s="37">
        <f t="shared" si="9"/>
        <v>5794.22</v>
      </c>
      <c r="H65" s="37" t="str">
        <f t="shared" si="9"/>
        <v>-</v>
      </c>
    </row>
    <row r="66" spans="2:8">
      <c r="B66" s="75">
        <f t="shared" ref="B66:B81" si="10">B3</f>
        <v>15</v>
      </c>
      <c r="C66" s="37">
        <f t="shared" ref="C66:H81" si="11">IF(C3="-","-",ROUND((C3+50)*1.031,2))</f>
        <v>3540.45</v>
      </c>
      <c r="D66" s="37">
        <f t="shared" si="11"/>
        <v>3928.11</v>
      </c>
      <c r="E66" s="37">
        <f t="shared" si="11"/>
        <v>4072.45</v>
      </c>
      <c r="F66" s="37">
        <f t="shared" si="11"/>
        <v>4587.95</v>
      </c>
      <c r="G66" s="37">
        <f t="shared" si="11"/>
        <v>4979.7299999999996</v>
      </c>
      <c r="H66" s="37" t="str">
        <f t="shared" si="11"/>
        <v>-</v>
      </c>
    </row>
    <row r="67" spans="2:8">
      <c r="B67" s="75">
        <f t="shared" si="10"/>
        <v>14</v>
      </c>
      <c r="C67" s="37">
        <f t="shared" si="11"/>
        <v>3206.41</v>
      </c>
      <c r="D67" s="37">
        <f t="shared" si="11"/>
        <v>3556.95</v>
      </c>
      <c r="E67" s="37">
        <f t="shared" si="11"/>
        <v>3763.15</v>
      </c>
      <c r="F67" s="37">
        <f t="shared" si="11"/>
        <v>4072.45</v>
      </c>
      <c r="G67" s="37">
        <f t="shared" si="11"/>
        <v>4546.71</v>
      </c>
      <c r="H67" s="37" t="str">
        <f t="shared" si="11"/>
        <v>-</v>
      </c>
    </row>
    <row r="68" spans="2:8">
      <c r="B68" s="75">
        <f t="shared" si="10"/>
        <v>13</v>
      </c>
      <c r="C68" s="37">
        <f t="shared" si="11"/>
        <v>2955.88</v>
      </c>
      <c r="D68" s="37">
        <f t="shared" si="11"/>
        <v>3278.58</v>
      </c>
      <c r="E68" s="37">
        <f t="shared" si="11"/>
        <v>3453.85</v>
      </c>
      <c r="F68" s="37">
        <f t="shared" si="11"/>
        <v>3794.08</v>
      </c>
      <c r="G68" s="37">
        <f t="shared" si="11"/>
        <v>4268.34</v>
      </c>
      <c r="H68" s="37" t="str">
        <f t="shared" si="11"/>
        <v>-</v>
      </c>
    </row>
    <row r="69" spans="2:8">
      <c r="B69" s="75">
        <f t="shared" si="10"/>
        <v>12</v>
      </c>
      <c r="C69" s="37">
        <f t="shared" si="11"/>
        <v>2649.67</v>
      </c>
      <c r="D69" s="37">
        <f t="shared" si="11"/>
        <v>2938.35</v>
      </c>
      <c r="E69" s="37">
        <f t="shared" si="11"/>
        <v>3350.75</v>
      </c>
      <c r="F69" s="37">
        <f t="shared" si="11"/>
        <v>3711.6</v>
      </c>
      <c r="G69" s="37">
        <f t="shared" si="11"/>
        <v>4175.55</v>
      </c>
      <c r="H69" s="37" t="str">
        <f t="shared" si="11"/>
        <v>-</v>
      </c>
    </row>
    <row r="70" spans="2:8">
      <c r="B70" s="75">
        <f t="shared" si="10"/>
        <v>11</v>
      </c>
      <c r="C70" s="37">
        <f t="shared" si="11"/>
        <v>2556.88</v>
      </c>
      <c r="D70" s="37">
        <f t="shared" si="11"/>
        <v>2835.25</v>
      </c>
      <c r="E70" s="37">
        <f t="shared" si="11"/>
        <v>3041.45</v>
      </c>
      <c r="F70" s="37">
        <f t="shared" si="11"/>
        <v>3350.75</v>
      </c>
      <c r="G70" s="37">
        <f t="shared" si="11"/>
        <v>3799.24</v>
      </c>
      <c r="H70" s="37" t="str">
        <f t="shared" si="11"/>
        <v>-</v>
      </c>
    </row>
    <row r="71" spans="2:8">
      <c r="B71" s="75">
        <f t="shared" si="10"/>
        <v>10</v>
      </c>
      <c r="C71" s="37">
        <f t="shared" si="11"/>
        <v>2464.09</v>
      </c>
      <c r="D71" s="37">
        <f t="shared" si="11"/>
        <v>2732.15</v>
      </c>
      <c r="E71" s="37">
        <f t="shared" si="11"/>
        <v>2938.35</v>
      </c>
      <c r="F71" s="37">
        <f t="shared" si="11"/>
        <v>3144.55</v>
      </c>
      <c r="G71" s="37">
        <f t="shared" si="11"/>
        <v>3536.33</v>
      </c>
      <c r="H71" s="37" t="str">
        <f t="shared" si="11"/>
        <v>-</v>
      </c>
    </row>
    <row r="72" spans="2:8">
      <c r="B72" s="75">
        <f t="shared" si="10"/>
        <v>9</v>
      </c>
      <c r="C72" s="37">
        <f t="shared" si="11"/>
        <v>2176.44</v>
      </c>
      <c r="D72" s="37">
        <f t="shared" si="11"/>
        <v>2412.54</v>
      </c>
      <c r="E72" s="37">
        <f t="shared" si="11"/>
        <v>2536.2600000000002</v>
      </c>
      <c r="F72" s="37">
        <f t="shared" si="11"/>
        <v>2866.18</v>
      </c>
      <c r="G72" s="37">
        <f t="shared" si="11"/>
        <v>3123.93</v>
      </c>
      <c r="H72" s="37" t="str">
        <f t="shared" si="11"/>
        <v>-</v>
      </c>
    </row>
    <row r="73" spans="2:8">
      <c r="B73" s="75">
        <f t="shared" si="10"/>
        <v>8</v>
      </c>
      <c r="C73" s="37">
        <f t="shared" si="11"/>
        <v>2037.26</v>
      </c>
      <c r="D73" s="37">
        <f t="shared" si="11"/>
        <v>2257.89</v>
      </c>
      <c r="E73" s="37">
        <f t="shared" si="11"/>
        <v>2360.9899999999998</v>
      </c>
      <c r="F73" s="37">
        <f t="shared" si="11"/>
        <v>2453.7800000000002</v>
      </c>
      <c r="G73" s="37">
        <f t="shared" si="11"/>
        <v>2556.88</v>
      </c>
      <c r="H73" s="37">
        <f t="shared" si="11"/>
        <v>2621.83</v>
      </c>
    </row>
    <row r="74" spans="2:8">
      <c r="B74" s="75">
        <f t="shared" si="10"/>
        <v>7</v>
      </c>
      <c r="C74" s="37">
        <f t="shared" si="11"/>
        <v>1907.35</v>
      </c>
      <c r="D74" s="37">
        <f t="shared" si="11"/>
        <v>2113.5500000000002</v>
      </c>
      <c r="E74" s="37">
        <f t="shared" si="11"/>
        <v>2247.58</v>
      </c>
      <c r="F74" s="37">
        <f t="shared" si="11"/>
        <v>2350.6799999999998</v>
      </c>
      <c r="G74" s="37">
        <f t="shared" si="11"/>
        <v>2428.0100000000002</v>
      </c>
      <c r="H74" s="37">
        <f t="shared" si="11"/>
        <v>2500.1799999999998</v>
      </c>
    </row>
    <row r="75" spans="2:8">
      <c r="B75" s="75">
        <f t="shared" si="10"/>
        <v>6</v>
      </c>
      <c r="C75" s="37">
        <f t="shared" si="11"/>
        <v>1870.23</v>
      </c>
      <c r="D75" s="37">
        <f t="shared" si="11"/>
        <v>2072.31</v>
      </c>
      <c r="E75" s="37">
        <f t="shared" si="11"/>
        <v>2175.41</v>
      </c>
      <c r="F75" s="37">
        <f t="shared" si="11"/>
        <v>2273.36</v>
      </c>
      <c r="G75" s="37">
        <f t="shared" si="11"/>
        <v>2340.37</v>
      </c>
      <c r="H75" s="37">
        <f t="shared" si="11"/>
        <v>2407.39</v>
      </c>
    </row>
    <row r="76" spans="2:8">
      <c r="B76" s="75">
        <f t="shared" si="10"/>
        <v>5</v>
      </c>
      <c r="C76" s="37">
        <f t="shared" si="11"/>
        <v>1791.88</v>
      </c>
      <c r="D76" s="37">
        <f t="shared" si="11"/>
        <v>1984.68</v>
      </c>
      <c r="E76" s="37">
        <f t="shared" si="11"/>
        <v>2082.62</v>
      </c>
      <c r="F76" s="37">
        <f t="shared" si="11"/>
        <v>2180.5700000000002</v>
      </c>
      <c r="G76" s="37">
        <f t="shared" si="11"/>
        <v>2252.7399999999998</v>
      </c>
      <c r="H76" s="37">
        <f t="shared" si="11"/>
        <v>2304.29</v>
      </c>
    </row>
    <row r="77" spans="2:8">
      <c r="B77" s="75">
        <f t="shared" si="10"/>
        <v>4</v>
      </c>
      <c r="C77" s="37">
        <f t="shared" si="11"/>
        <v>1703.21</v>
      </c>
      <c r="D77" s="37">
        <f t="shared" si="11"/>
        <v>1886.73</v>
      </c>
      <c r="E77" s="37">
        <f t="shared" si="11"/>
        <v>2010.45</v>
      </c>
      <c r="F77" s="37">
        <f t="shared" si="11"/>
        <v>2082.62</v>
      </c>
      <c r="G77" s="37">
        <f t="shared" si="11"/>
        <v>2154.79</v>
      </c>
      <c r="H77" s="37">
        <f t="shared" si="11"/>
        <v>2197.06</v>
      </c>
    </row>
    <row r="78" spans="2:8">
      <c r="B78" s="75">
        <f t="shared" si="10"/>
        <v>3</v>
      </c>
      <c r="C78" s="37">
        <f t="shared" si="11"/>
        <v>1675.38</v>
      </c>
      <c r="D78" s="37">
        <f t="shared" si="11"/>
        <v>1855.8</v>
      </c>
      <c r="E78" s="37">
        <f t="shared" si="11"/>
        <v>1907.35</v>
      </c>
      <c r="F78" s="37">
        <f t="shared" si="11"/>
        <v>1989.83</v>
      </c>
      <c r="G78" s="37">
        <f t="shared" si="11"/>
        <v>2051.69</v>
      </c>
      <c r="H78" s="37">
        <f t="shared" si="11"/>
        <v>2108.4</v>
      </c>
    </row>
    <row r="79" spans="2:8">
      <c r="B79" s="75" t="str">
        <f t="shared" si="10"/>
        <v>2Ü</v>
      </c>
      <c r="C79" s="37">
        <f t="shared" si="11"/>
        <v>1601.14</v>
      </c>
      <c r="D79" s="37">
        <f t="shared" si="11"/>
        <v>1773.32</v>
      </c>
      <c r="E79" s="37">
        <f t="shared" si="11"/>
        <v>1835.18</v>
      </c>
      <c r="F79" s="37">
        <f t="shared" si="11"/>
        <v>1917.66</v>
      </c>
      <c r="G79" s="37">
        <f t="shared" si="11"/>
        <v>1974.37</v>
      </c>
      <c r="H79" s="37">
        <f t="shared" si="11"/>
        <v>2016.64</v>
      </c>
    </row>
    <row r="80" spans="2:8">
      <c r="B80" s="75">
        <f t="shared" si="10"/>
        <v>2</v>
      </c>
      <c r="C80" s="37">
        <f t="shared" si="11"/>
        <v>1545.47</v>
      </c>
      <c r="D80" s="37">
        <f t="shared" si="11"/>
        <v>1711.46</v>
      </c>
      <c r="E80" s="37">
        <f t="shared" si="11"/>
        <v>1763.01</v>
      </c>
      <c r="F80" s="37">
        <f t="shared" si="11"/>
        <v>1814.56</v>
      </c>
      <c r="G80" s="37">
        <f t="shared" si="11"/>
        <v>1927.97</v>
      </c>
      <c r="H80" s="37">
        <f t="shared" si="11"/>
        <v>2046.54</v>
      </c>
    </row>
    <row r="81" spans="2:8">
      <c r="B81" s="75">
        <f t="shared" si="10"/>
        <v>1</v>
      </c>
      <c r="C81" s="37" t="str">
        <f t="shared" si="11"/>
        <v>-</v>
      </c>
      <c r="D81" s="37">
        <f t="shared" si="11"/>
        <v>1377.42</v>
      </c>
      <c r="E81" s="37">
        <f t="shared" si="11"/>
        <v>1402.16</v>
      </c>
      <c r="F81" s="37">
        <f t="shared" si="11"/>
        <v>1433.09</v>
      </c>
      <c r="G81" s="37">
        <f t="shared" si="11"/>
        <v>1461.96</v>
      </c>
      <c r="H81" s="37">
        <f t="shared" si="11"/>
        <v>1536.19</v>
      </c>
    </row>
    <row r="84" spans="2:8">
      <c r="B84" s="146">
        <f>B42</f>
        <v>1</v>
      </c>
      <c r="C84" s="148" t="str">
        <f>C42</f>
        <v>EG 1 - 9 (bis IVb BAT-O)</v>
      </c>
    </row>
    <row r="85" spans="2:8">
      <c r="B85" s="75">
        <v>2008</v>
      </c>
      <c r="C85" s="75" t="str">
        <f t="shared" ref="C85:H85" si="12">C1</f>
        <v>Stufe 1</v>
      </c>
      <c r="D85" s="75" t="str">
        <f t="shared" si="12"/>
        <v>Stufe 2</v>
      </c>
      <c r="E85" s="75" t="str">
        <f t="shared" si="12"/>
        <v>Stufe 3</v>
      </c>
      <c r="F85" s="75" t="str">
        <f t="shared" si="12"/>
        <v>Stufe 4</v>
      </c>
      <c r="G85" s="75" t="str">
        <f t="shared" si="12"/>
        <v>Stufe 5</v>
      </c>
      <c r="H85" s="75" t="str">
        <f t="shared" si="12"/>
        <v>Stufe 6</v>
      </c>
    </row>
    <row r="86" spans="2:8">
      <c r="B86" s="75" t="str">
        <f t="shared" ref="B86:B101" si="13">B2</f>
        <v>15Ü</v>
      </c>
      <c r="C86" s="37">
        <f t="shared" ref="C86:H86" si="14">IF(C65="-","-",ROUND(C65*0.925,2))</f>
        <v>4124.6499999999996</v>
      </c>
      <c r="D86" s="37">
        <f t="shared" si="14"/>
        <v>4577.6400000000003</v>
      </c>
      <c r="E86" s="37">
        <f t="shared" si="14"/>
        <v>5006.79</v>
      </c>
      <c r="F86" s="37">
        <f t="shared" si="14"/>
        <v>5292.9</v>
      </c>
      <c r="G86" s="37">
        <f t="shared" si="14"/>
        <v>5359.65</v>
      </c>
      <c r="H86" s="37" t="str">
        <f t="shared" si="14"/>
        <v>-</v>
      </c>
    </row>
    <row r="87" spans="2:8">
      <c r="B87" s="75">
        <f t="shared" si="13"/>
        <v>15</v>
      </c>
      <c r="C87" s="37">
        <f t="shared" ref="C87:H92" si="15">IF(C66="-","-",ROUND(C66*0.925,2))</f>
        <v>3274.92</v>
      </c>
      <c r="D87" s="37">
        <f t="shared" si="15"/>
        <v>3633.5</v>
      </c>
      <c r="E87" s="37">
        <f t="shared" si="15"/>
        <v>3767.02</v>
      </c>
      <c r="F87" s="37">
        <f t="shared" si="15"/>
        <v>4243.8500000000004</v>
      </c>
      <c r="G87" s="37">
        <f t="shared" si="15"/>
        <v>4606.25</v>
      </c>
      <c r="H87" s="37" t="str">
        <f t="shared" si="15"/>
        <v>-</v>
      </c>
    </row>
    <row r="88" spans="2:8">
      <c r="B88" s="75">
        <f t="shared" si="13"/>
        <v>14</v>
      </c>
      <c r="C88" s="37">
        <f t="shared" si="15"/>
        <v>2965.93</v>
      </c>
      <c r="D88" s="37">
        <f t="shared" si="15"/>
        <v>3290.18</v>
      </c>
      <c r="E88" s="37">
        <f t="shared" si="15"/>
        <v>3480.91</v>
      </c>
      <c r="F88" s="37">
        <f t="shared" si="15"/>
        <v>3767.02</v>
      </c>
      <c r="G88" s="37">
        <f t="shared" si="15"/>
        <v>4205.71</v>
      </c>
      <c r="H88" s="37" t="str">
        <f t="shared" si="15"/>
        <v>-</v>
      </c>
    </row>
    <row r="89" spans="2:8">
      <c r="B89" s="75">
        <f t="shared" si="13"/>
        <v>13</v>
      </c>
      <c r="C89" s="37">
        <f t="shared" si="15"/>
        <v>2734.19</v>
      </c>
      <c r="D89" s="37">
        <f t="shared" si="15"/>
        <v>3032.69</v>
      </c>
      <c r="E89" s="37">
        <f t="shared" si="15"/>
        <v>3194.81</v>
      </c>
      <c r="F89" s="37">
        <f t="shared" si="15"/>
        <v>3509.52</v>
      </c>
      <c r="G89" s="37">
        <f t="shared" si="15"/>
        <v>3948.21</v>
      </c>
      <c r="H89" s="37" t="str">
        <f t="shared" si="15"/>
        <v>-</v>
      </c>
    </row>
    <row r="90" spans="2:8">
      <c r="B90" s="75">
        <f t="shared" si="13"/>
        <v>12</v>
      </c>
      <c r="C90" s="37">
        <f t="shared" si="15"/>
        <v>2450.94</v>
      </c>
      <c r="D90" s="37">
        <f t="shared" si="15"/>
        <v>2717.97</v>
      </c>
      <c r="E90" s="37">
        <f t="shared" si="15"/>
        <v>3099.44</v>
      </c>
      <c r="F90" s="37">
        <f t="shared" si="15"/>
        <v>3433.23</v>
      </c>
      <c r="G90" s="37">
        <f t="shared" si="15"/>
        <v>3862.38</v>
      </c>
      <c r="H90" s="37" t="str">
        <f t="shared" si="15"/>
        <v>-</v>
      </c>
    </row>
    <row r="91" spans="2:8">
      <c r="B91" s="75">
        <f t="shared" si="13"/>
        <v>11</v>
      </c>
      <c r="C91" s="37">
        <f t="shared" si="15"/>
        <v>2365.11</v>
      </c>
      <c r="D91" s="37">
        <f t="shared" si="15"/>
        <v>2622.61</v>
      </c>
      <c r="E91" s="37">
        <f t="shared" si="15"/>
        <v>2813.34</v>
      </c>
      <c r="F91" s="37">
        <f t="shared" si="15"/>
        <v>3099.44</v>
      </c>
      <c r="G91" s="37">
        <f t="shared" si="15"/>
        <v>3514.3</v>
      </c>
      <c r="H91" s="37" t="str">
        <f t="shared" si="15"/>
        <v>-</v>
      </c>
    </row>
    <row r="92" spans="2:8">
      <c r="B92" s="75">
        <f t="shared" si="13"/>
        <v>10</v>
      </c>
      <c r="C92" s="37">
        <f t="shared" si="15"/>
        <v>2279.2800000000002</v>
      </c>
      <c r="D92" s="37">
        <f t="shared" si="15"/>
        <v>2527.2399999999998</v>
      </c>
      <c r="E92" s="37">
        <f t="shared" si="15"/>
        <v>2717.97</v>
      </c>
      <c r="F92" s="37">
        <f t="shared" si="15"/>
        <v>2908.71</v>
      </c>
      <c r="G92" s="37">
        <f t="shared" si="15"/>
        <v>3271.11</v>
      </c>
      <c r="H92" s="37" t="str">
        <f t="shared" si="15"/>
        <v>-</v>
      </c>
    </row>
    <row r="93" spans="2:8">
      <c r="B93" s="115">
        <f t="shared" si="13"/>
        <v>9</v>
      </c>
      <c r="C93" s="116">
        <f t="shared" ref="C93:H93" si="16">C72</f>
        <v>2176.44</v>
      </c>
      <c r="D93" s="116">
        <f t="shared" si="16"/>
        <v>2412.54</v>
      </c>
      <c r="E93" s="116">
        <f t="shared" si="16"/>
        <v>2536.2600000000002</v>
      </c>
      <c r="F93" s="116">
        <f t="shared" si="16"/>
        <v>2866.18</v>
      </c>
      <c r="G93" s="116">
        <f t="shared" si="16"/>
        <v>3123.93</v>
      </c>
      <c r="H93" s="116" t="str">
        <f t="shared" si="16"/>
        <v>-</v>
      </c>
    </row>
    <row r="94" spans="2:8">
      <c r="B94" s="115">
        <f t="shared" si="13"/>
        <v>8</v>
      </c>
      <c r="C94" s="116">
        <f t="shared" ref="C94:H94" si="17">C73</f>
        <v>2037.26</v>
      </c>
      <c r="D94" s="116">
        <f t="shared" si="17"/>
        <v>2257.89</v>
      </c>
      <c r="E94" s="116">
        <f t="shared" si="17"/>
        <v>2360.9899999999998</v>
      </c>
      <c r="F94" s="116">
        <f t="shared" si="17"/>
        <v>2453.7800000000002</v>
      </c>
      <c r="G94" s="116">
        <f t="shared" si="17"/>
        <v>2556.88</v>
      </c>
      <c r="H94" s="116">
        <f t="shared" si="17"/>
        <v>2621.83</v>
      </c>
    </row>
    <row r="95" spans="2:8">
      <c r="B95" s="115">
        <f t="shared" si="13"/>
        <v>7</v>
      </c>
      <c r="C95" s="116">
        <f t="shared" ref="C95:H95" si="18">C74</f>
        <v>1907.35</v>
      </c>
      <c r="D95" s="116">
        <f t="shared" si="18"/>
        <v>2113.5500000000002</v>
      </c>
      <c r="E95" s="116">
        <f t="shared" si="18"/>
        <v>2247.58</v>
      </c>
      <c r="F95" s="116">
        <f t="shared" si="18"/>
        <v>2350.6799999999998</v>
      </c>
      <c r="G95" s="116">
        <f t="shared" si="18"/>
        <v>2428.0100000000002</v>
      </c>
      <c r="H95" s="116">
        <f t="shared" si="18"/>
        <v>2500.1799999999998</v>
      </c>
    </row>
    <row r="96" spans="2:8">
      <c r="B96" s="115">
        <f t="shared" si="13"/>
        <v>6</v>
      </c>
      <c r="C96" s="116">
        <f t="shared" ref="C96:H96" si="19">C75</f>
        <v>1870.23</v>
      </c>
      <c r="D96" s="116">
        <f t="shared" si="19"/>
        <v>2072.31</v>
      </c>
      <c r="E96" s="116">
        <f t="shared" si="19"/>
        <v>2175.41</v>
      </c>
      <c r="F96" s="116">
        <f t="shared" si="19"/>
        <v>2273.36</v>
      </c>
      <c r="G96" s="116">
        <f t="shared" si="19"/>
        <v>2340.37</v>
      </c>
      <c r="H96" s="116">
        <f t="shared" si="19"/>
        <v>2407.39</v>
      </c>
    </row>
    <row r="97" spans="2:8">
      <c r="B97" s="115">
        <f t="shared" si="13"/>
        <v>5</v>
      </c>
      <c r="C97" s="116">
        <f t="shared" ref="C97:H97" si="20">C76</f>
        <v>1791.88</v>
      </c>
      <c r="D97" s="116">
        <f t="shared" si="20"/>
        <v>1984.68</v>
      </c>
      <c r="E97" s="116">
        <f t="shared" si="20"/>
        <v>2082.62</v>
      </c>
      <c r="F97" s="116">
        <f t="shared" si="20"/>
        <v>2180.5700000000002</v>
      </c>
      <c r="G97" s="116">
        <f t="shared" si="20"/>
        <v>2252.7399999999998</v>
      </c>
      <c r="H97" s="116">
        <f t="shared" si="20"/>
        <v>2304.29</v>
      </c>
    </row>
    <row r="98" spans="2:8">
      <c r="B98" s="115">
        <f t="shared" si="13"/>
        <v>4</v>
      </c>
      <c r="C98" s="116">
        <f t="shared" ref="C98:H98" si="21">C77</f>
        <v>1703.21</v>
      </c>
      <c r="D98" s="116">
        <f t="shared" si="21"/>
        <v>1886.73</v>
      </c>
      <c r="E98" s="116">
        <f t="shared" si="21"/>
        <v>2010.45</v>
      </c>
      <c r="F98" s="116">
        <f t="shared" si="21"/>
        <v>2082.62</v>
      </c>
      <c r="G98" s="116">
        <f t="shared" si="21"/>
        <v>2154.79</v>
      </c>
      <c r="H98" s="116">
        <f t="shared" si="21"/>
        <v>2197.06</v>
      </c>
    </row>
    <row r="99" spans="2:8">
      <c r="B99" s="115">
        <f t="shared" si="13"/>
        <v>3</v>
      </c>
      <c r="C99" s="116">
        <f t="shared" ref="C99:H99" si="22">C78</f>
        <v>1675.38</v>
      </c>
      <c r="D99" s="116">
        <f t="shared" si="22"/>
        <v>1855.8</v>
      </c>
      <c r="E99" s="116">
        <f t="shared" si="22"/>
        <v>1907.35</v>
      </c>
      <c r="F99" s="116">
        <f t="shared" si="22"/>
        <v>1989.83</v>
      </c>
      <c r="G99" s="116">
        <f t="shared" si="22"/>
        <v>2051.69</v>
      </c>
      <c r="H99" s="116">
        <f t="shared" si="22"/>
        <v>2108.4</v>
      </c>
    </row>
    <row r="100" spans="2:8">
      <c r="B100" s="115" t="str">
        <f t="shared" si="13"/>
        <v>2Ü</v>
      </c>
      <c r="C100" s="116">
        <f t="shared" ref="C100:H100" si="23">C79</f>
        <v>1601.14</v>
      </c>
      <c r="D100" s="116">
        <f t="shared" si="23"/>
        <v>1773.32</v>
      </c>
      <c r="E100" s="116">
        <f t="shared" si="23"/>
        <v>1835.18</v>
      </c>
      <c r="F100" s="116">
        <f t="shared" si="23"/>
        <v>1917.66</v>
      </c>
      <c r="G100" s="116">
        <f t="shared" si="23"/>
        <v>1974.37</v>
      </c>
      <c r="H100" s="116">
        <f t="shared" si="23"/>
        <v>2016.64</v>
      </c>
    </row>
    <row r="101" spans="2:8">
      <c r="B101" s="115">
        <f t="shared" si="13"/>
        <v>2</v>
      </c>
      <c r="C101" s="116">
        <f t="shared" ref="C101:H101" si="24">C80</f>
        <v>1545.47</v>
      </c>
      <c r="D101" s="116">
        <f t="shared" si="24"/>
        <v>1711.46</v>
      </c>
      <c r="E101" s="116">
        <f t="shared" si="24"/>
        <v>1763.01</v>
      </c>
      <c r="F101" s="116">
        <f t="shared" si="24"/>
        <v>1814.56</v>
      </c>
      <c r="G101" s="116">
        <f t="shared" si="24"/>
        <v>1927.97</v>
      </c>
      <c r="H101" s="116">
        <f t="shared" si="24"/>
        <v>2046.54</v>
      </c>
    </row>
    <row r="102" spans="2:8">
      <c r="B102" s="115">
        <f>B18</f>
        <v>1</v>
      </c>
      <c r="C102" s="116" t="str">
        <f t="shared" ref="C102:H102" si="25">C81</f>
        <v>-</v>
      </c>
      <c r="D102" s="116">
        <f t="shared" si="25"/>
        <v>1377.42</v>
      </c>
      <c r="E102" s="116">
        <f t="shared" si="25"/>
        <v>1402.16</v>
      </c>
      <c r="F102" s="116">
        <f t="shared" si="25"/>
        <v>1433.09</v>
      </c>
      <c r="G102" s="116">
        <f t="shared" si="25"/>
        <v>1461.96</v>
      </c>
      <c r="H102" s="116">
        <f t="shared" si="25"/>
        <v>1536.19</v>
      </c>
    </row>
    <row r="105" spans="2:8">
      <c r="B105" s="154" t="s">
        <v>115</v>
      </c>
    </row>
    <row r="106" spans="2:8">
      <c r="B106" s="75">
        <v>2009</v>
      </c>
      <c r="C106" s="75" t="str">
        <f t="shared" ref="C106:H106" si="26">C43</f>
        <v>Stufe 1</v>
      </c>
      <c r="D106" s="75" t="str">
        <f t="shared" si="26"/>
        <v>Stufe 2</v>
      </c>
      <c r="E106" s="75" t="str">
        <f t="shared" si="26"/>
        <v>Stufe 3</v>
      </c>
      <c r="F106" s="75" t="str">
        <f t="shared" si="26"/>
        <v>Stufe 4</v>
      </c>
      <c r="G106" s="75" t="str">
        <f t="shared" si="26"/>
        <v>Stufe 5</v>
      </c>
      <c r="H106" s="75" t="str">
        <f t="shared" si="26"/>
        <v>Stufe 6</v>
      </c>
    </row>
    <row r="107" spans="2:8">
      <c r="B107" s="75" t="str">
        <f>B44</f>
        <v>15Ü</v>
      </c>
      <c r="C107" s="37">
        <f t="shared" ref="C107:H107" si="27">IF(C65="-","-",ROUND(C65*1.028,2))</f>
        <v>4583.93</v>
      </c>
      <c r="D107" s="37">
        <f t="shared" si="27"/>
        <v>5087.37</v>
      </c>
      <c r="E107" s="37">
        <f t="shared" si="27"/>
        <v>5564.31</v>
      </c>
      <c r="F107" s="37">
        <f t="shared" si="27"/>
        <v>5882.27</v>
      </c>
      <c r="G107" s="37">
        <f t="shared" si="27"/>
        <v>5956.46</v>
      </c>
      <c r="H107" s="37" t="str">
        <f t="shared" si="27"/>
        <v>-</v>
      </c>
    </row>
    <row r="108" spans="2:8">
      <c r="B108" s="75">
        <f t="shared" ref="B108:B123" si="28">B45</f>
        <v>15</v>
      </c>
      <c r="C108" s="37">
        <f t="shared" ref="C108:H108" si="29">IF(C66="-","-",ROUND(C66*1.028,2))</f>
        <v>3639.58</v>
      </c>
      <c r="D108" s="37">
        <f t="shared" si="29"/>
        <v>4038.1</v>
      </c>
      <c r="E108" s="37">
        <f t="shared" si="29"/>
        <v>4186.4799999999996</v>
      </c>
      <c r="F108" s="37">
        <f t="shared" si="29"/>
        <v>4716.41</v>
      </c>
      <c r="G108" s="37">
        <f t="shared" si="29"/>
        <v>5119.16</v>
      </c>
      <c r="H108" s="37" t="str">
        <f t="shared" si="29"/>
        <v>-</v>
      </c>
    </row>
    <row r="109" spans="2:8">
      <c r="B109" s="75">
        <f t="shared" si="28"/>
        <v>14</v>
      </c>
      <c r="C109" s="37">
        <f t="shared" ref="C109:H109" si="30">IF(C67="-","-",ROUND(C67*1.028,2))</f>
        <v>3296.19</v>
      </c>
      <c r="D109" s="37">
        <f t="shared" si="30"/>
        <v>3656.54</v>
      </c>
      <c r="E109" s="37">
        <f t="shared" si="30"/>
        <v>3868.52</v>
      </c>
      <c r="F109" s="37">
        <f t="shared" si="30"/>
        <v>4186.4799999999996</v>
      </c>
      <c r="G109" s="37">
        <f t="shared" si="30"/>
        <v>4674.0200000000004</v>
      </c>
      <c r="H109" s="37" t="str">
        <f t="shared" si="30"/>
        <v>-</v>
      </c>
    </row>
    <row r="110" spans="2:8">
      <c r="B110" s="75">
        <f t="shared" si="28"/>
        <v>13</v>
      </c>
      <c r="C110" s="37">
        <f t="shared" ref="C110:H110" si="31">IF(C68="-","-",ROUND(C68*1.028,2))</f>
        <v>3038.64</v>
      </c>
      <c r="D110" s="37">
        <f t="shared" si="31"/>
        <v>3370.38</v>
      </c>
      <c r="E110" s="37">
        <f t="shared" si="31"/>
        <v>3550.56</v>
      </c>
      <c r="F110" s="37">
        <f t="shared" si="31"/>
        <v>3900.31</v>
      </c>
      <c r="G110" s="37">
        <f t="shared" si="31"/>
        <v>4387.8500000000004</v>
      </c>
      <c r="H110" s="37" t="str">
        <f t="shared" si="31"/>
        <v>-</v>
      </c>
    </row>
    <row r="111" spans="2:8">
      <c r="B111" s="75">
        <f t="shared" si="28"/>
        <v>12</v>
      </c>
      <c r="C111" s="37">
        <f t="shared" ref="C111:H111" si="32">IF(C69="-","-",ROUND(C69*1.028,2))</f>
        <v>2723.86</v>
      </c>
      <c r="D111" s="37">
        <f t="shared" si="32"/>
        <v>3020.62</v>
      </c>
      <c r="E111" s="37">
        <f t="shared" si="32"/>
        <v>3444.57</v>
      </c>
      <c r="F111" s="37">
        <f t="shared" si="32"/>
        <v>3815.52</v>
      </c>
      <c r="G111" s="37">
        <f t="shared" si="32"/>
        <v>4292.47</v>
      </c>
      <c r="H111" s="37" t="str">
        <f t="shared" si="32"/>
        <v>-</v>
      </c>
    </row>
    <row r="112" spans="2:8">
      <c r="B112" s="75">
        <f t="shared" si="28"/>
        <v>11</v>
      </c>
      <c r="C112" s="37">
        <f t="shared" ref="C112:H112" si="33">IF(C70="-","-",ROUND(C70*1.028,2))</f>
        <v>2628.47</v>
      </c>
      <c r="D112" s="37">
        <f t="shared" si="33"/>
        <v>2914.64</v>
      </c>
      <c r="E112" s="37">
        <f t="shared" si="33"/>
        <v>3126.61</v>
      </c>
      <c r="F112" s="37">
        <f t="shared" si="33"/>
        <v>3444.57</v>
      </c>
      <c r="G112" s="37">
        <f t="shared" si="33"/>
        <v>3905.62</v>
      </c>
      <c r="H112" s="37" t="str">
        <f t="shared" si="33"/>
        <v>-</v>
      </c>
    </row>
    <row r="113" spans="2:8">
      <c r="B113" s="75">
        <f t="shared" si="28"/>
        <v>10</v>
      </c>
      <c r="C113" s="37">
        <f t="shared" ref="C113:H113" si="34">IF(C71="-","-",ROUND(C71*1.028,2))</f>
        <v>2533.08</v>
      </c>
      <c r="D113" s="37">
        <f t="shared" si="34"/>
        <v>2808.65</v>
      </c>
      <c r="E113" s="37">
        <f t="shared" si="34"/>
        <v>3020.62</v>
      </c>
      <c r="F113" s="37">
        <f t="shared" si="34"/>
        <v>3232.6</v>
      </c>
      <c r="G113" s="37">
        <f t="shared" si="34"/>
        <v>3635.35</v>
      </c>
      <c r="H113" s="37" t="str">
        <f t="shared" si="34"/>
        <v>-</v>
      </c>
    </row>
    <row r="114" spans="2:8">
      <c r="B114" s="75">
        <f t="shared" si="28"/>
        <v>9</v>
      </c>
      <c r="C114" s="37">
        <f t="shared" ref="C114:H114" si="35">IF(C72="-","-",ROUND(C72*1.028,2))</f>
        <v>2237.38</v>
      </c>
      <c r="D114" s="37">
        <f t="shared" si="35"/>
        <v>2480.09</v>
      </c>
      <c r="E114" s="37">
        <f t="shared" si="35"/>
        <v>2607.2800000000002</v>
      </c>
      <c r="F114" s="37">
        <f t="shared" si="35"/>
        <v>2946.43</v>
      </c>
      <c r="G114" s="37">
        <f t="shared" si="35"/>
        <v>3211.4</v>
      </c>
      <c r="H114" s="37" t="str">
        <f t="shared" si="35"/>
        <v>-</v>
      </c>
    </row>
    <row r="115" spans="2:8">
      <c r="B115" s="75">
        <f t="shared" si="28"/>
        <v>8</v>
      </c>
      <c r="C115" s="37">
        <f t="shared" ref="C115:H115" si="36">IF(C73="-","-",ROUND(C73*1.028,2))</f>
        <v>2094.3000000000002</v>
      </c>
      <c r="D115" s="37">
        <f t="shared" si="36"/>
        <v>2321.11</v>
      </c>
      <c r="E115" s="37">
        <f t="shared" si="36"/>
        <v>2427.1</v>
      </c>
      <c r="F115" s="37">
        <f t="shared" si="36"/>
        <v>2522.4899999999998</v>
      </c>
      <c r="G115" s="37">
        <f t="shared" si="36"/>
        <v>2628.47</v>
      </c>
      <c r="H115" s="37">
        <f t="shared" si="36"/>
        <v>2695.24</v>
      </c>
    </row>
    <row r="116" spans="2:8">
      <c r="B116" s="75">
        <f t="shared" si="28"/>
        <v>7</v>
      </c>
      <c r="C116" s="37">
        <f t="shared" ref="C116:H116" si="37">IF(C74="-","-",ROUND(C74*1.028,2))</f>
        <v>1960.76</v>
      </c>
      <c r="D116" s="37">
        <f t="shared" si="37"/>
        <v>2172.73</v>
      </c>
      <c r="E116" s="37">
        <f t="shared" si="37"/>
        <v>2310.5100000000002</v>
      </c>
      <c r="F116" s="37">
        <f t="shared" si="37"/>
        <v>2416.5</v>
      </c>
      <c r="G116" s="37">
        <f t="shared" si="37"/>
        <v>2495.9899999999998</v>
      </c>
      <c r="H116" s="37">
        <f t="shared" si="37"/>
        <v>2570.19</v>
      </c>
    </row>
    <row r="117" spans="2:8">
      <c r="B117" s="75">
        <f t="shared" si="28"/>
        <v>6</v>
      </c>
      <c r="C117" s="37">
        <f t="shared" ref="C117:H117" si="38">IF(C75="-","-",ROUND(C75*1.028,2))</f>
        <v>1922.6</v>
      </c>
      <c r="D117" s="37">
        <f t="shared" si="38"/>
        <v>2130.33</v>
      </c>
      <c r="E117" s="37">
        <f t="shared" si="38"/>
        <v>2236.3200000000002</v>
      </c>
      <c r="F117" s="37">
        <f t="shared" si="38"/>
        <v>2337.0100000000002</v>
      </c>
      <c r="G117" s="37">
        <f t="shared" si="38"/>
        <v>2405.9</v>
      </c>
      <c r="H117" s="37">
        <f t="shared" si="38"/>
        <v>2474.8000000000002</v>
      </c>
    </row>
    <row r="118" spans="2:8">
      <c r="B118" s="75">
        <f t="shared" si="28"/>
        <v>5</v>
      </c>
      <c r="C118" s="37">
        <f t="shared" ref="C118:H118" si="39">IF(C76="-","-",ROUND(C76*1.028,2))</f>
        <v>1842.05</v>
      </c>
      <c r="D118" s="37">
        <f t="shared" si="39"/>
        <v>2040.25</v>
      </c>
      <c r="E118" s="37">
        <f t="shared" si="39"/>
        <v>2140.9299999999998</v>
      </c>
      <c r="F118" s="37">
        <f t="shared" si="39"/>
        <v>2241.63</v>
      </c>
      <c r="G118" s="37">
        <f t="shared" si="39"/>
        <v>2315.8200000000002</v>
      </c>
      <c r="H118" s="37">
        <f t="shared" si="39"/>
        <v>2368.81</v>
      </c>
    </row>
    <row r="119" spans="2:8">
      <c r="B119" s="75">
        <f t="shared" si="28"/>
        <v>4</v>
      </c>
      <c r="C119" s="37">
        <f t="shared" ref="C119:H119" si="40">IF(C77="-","-",ROUND(C77*1.028,2))</f>
        <v>1750.9</v>
      </c>
      <c r="D119" s="37">
        <f t="shared" si="40"/>
        <v>1939.56</v>
      </c>
      <c r="E119" s="37">
        <f t="shared" si="40"/>
        <v>2066.7399999999998</v>
      </c>
      <c r="F119" s="37">
        <f t="shared" si="40"/>
        <v>2140.9299999999998</v>
      </c>
      <c r="G119" s="37">
        <f t="shared" si="40"/>
        <v>2215.12</v>
      </c>
      <c r="H119" s="37">
        <f t="shared" si="40"/>
        <v>2258.58</v>
      </c>
    </row>
    <row r="120" spans="2:8">
      <c r="B120" s="75">
        <f t="shared" si="28"/>
        <v>3</v>
      </c>
      <c r="C120" s="37">
        <f t="shared" ref="C120:H120" si="41">IF(C78="-","-",ROUND(C78*1.028,2))</f>
        <v>1722.29</v>
      </c>
      <c r="D120" s="37">
        <f t="shared" si="41"/>
        <v>1907.76</v>
      </c>
      <c r="E120" s="37">
        <f t="shared" si="41"/>
        <v>1960.76</v>
      </c>
      <c r="F120" s="37">
        <f t="shared" si="41"/>
        <v>2045.55</v>
      </c>
      <c r="G120" s="37">
        <f t="shared" si="41"/>
        <v>2109.14</v>
      </c>
      <c r="H120" s="37">
        <f t="shared" si="41"/>
        <v>2167.44</v>
      </c>
    </row>
    <row r="121" spans="2:8">
      <c r="B121" s="75" t="str">
        <f t="shared" si="28"/>
        <v>2Ü</v>
      </c>
      <c r="C121" s="37">
        <f t="shared" ref="C121:H121" si="42">IF(C79="-","-",ROUND(C79*1.028,2))</f>
        <v>1645.97</v>
      </c>
      <c r="D121" s="37">
        <f t="shared" si="42"/>
        <v>1822.97</v>
      </c>
      <c r="E121" s="37">
        <f t="shared" si="42"/>
        <v>1886.57</v>
      </c>
      <c r="F121" s="37">
        <f t="shared" si="42"/>
        <v>1971.35</v>
      </c>
      <c r="G121" s="37">
        <f t="shared" si="42"/>
        <v>2029.65</v>
      </c>
      <c r="H121" s="37">
        <f t="shared" si="42"/>
        <v>2073.11</v>
      </c>
    </row>
    <row r="122" spans="2:8">
      <c r="B122" s="75">
        <f t="shared" si="28"/>
        <v>2</v>
      </c>
      <c r="C122" s="37">
        <f t="shared" ref="C122:H122" si="43">IF(C80="-","-",ROUND(C80*1.028,2))</f>
        <v>1588.74</v>
      </c>
      <c r="D122" s="37">
        <f t="shared" si="43"/>
        <v>1759.38</v>
      </c>
      <c r="E122" s="37">
        <f t="shared" si="43"/>
        <v>1812.37</v>
      </c>
      <c r="F122" s="37">
        <f t="shared" si="43"/>
        <v>1865.37</v>
      </c>
      <c r="G122" s="37">
        <f t="shared" si="43"/>
        <v>1981.95</v>
      </c>
      <c r="H122" s="37">
        <f t="shared" si="43"/>
        <v>2103.84</v>
      </c>
    </row>
    <row r="123" spans="2:8">
      <c r="B123" s="75">
        <f t="shared" si="28"/>
        <v>1</v>
      </c>
      <c r="C123" s="37" t="str">
        <f t="shared" ref="C123:H123" si="44">IF(C81="-","-",ROUND(C81*1.028,2))</f>
        <v>-</v>
      </c>
      <c r="D123" s="37">
        <f t="shared" si="44"/>
        <v>1415.99</v>
      </c>
      <c r="E123" s="37">
        <f t="shared" si="44"/>
        <v>1441.42</v>
      </c>
      <c r="F123" s="37">
        <f t="shared" si="44"/>
        <v>1473.22</v>
      </c>
      <c r="G123" s="37">
        <f t="shared" si="44"/>
        <v>1502.89</v>
      </c>
      <c r="H123" s="37">
        <f t="shared" si="44"/>
        <v>1579.2</v>
      </c>
    </row>
    <row r="126" spans="2:8">
      <c r="B126" s="172" t="s">
        <v>139</v>
      </c>
    </row>
    <row r="127" spans="2:8">
      <c r="B127" s="75">
        <v>2010</v>
      </c>
      <c r="C127" s="75" t="str">
        <f t="shared" ref="C127:H127" si="45">C64</f>
        <v>Stufe 1</v>
      </c>
      <c r="D127" s="75" t="str">
        <f t="shared" si="45"/>
        <v>Stufe 2</v>
      </c>
      <c r="E127" s="75" t="str">
        <f t="shared" si="45"/>
        <v>Stufe 3</v>
      </c>
      <c r="F127" s="75" t="str">
        <f t="shared" si="45"/>
        <v>Stufe 4</v>
      </c>
      <c r="G127" s="75" t="str">
        <f t="shared" si="45"/>
        <v>Stufe 5</v>
      </c>
      <c r="H127" s="75" t="str">
        <f t="shared" si="45"/>
        <v>Stufe 6</v>
      </c>
    </row>
    <row r="128" spans="2:8">
      <c r="B128" s="75" t="str">
        <f>B65</f>
        <v>15Ü</v>
      </c>
      <c r="C128" s="37">
        <f t="shared" ref="C128:H128" si="46">IF(C107="-","-",ROUND(C107*$B$126,2))</f>
        <v>4638.9399999999996</v>
      </c>
      <c r="D128" s="37">
        <f t="shared" si="46"/>
        <v>5148.42</v>
      </c>
      <c r="E128" s="37">
        <f t="shared" si="46"/>
        <v>5631.08</v>
      </c>
      <c r="F128" s="37">
        <f t="shared" si="46"/>
        <v>5952.86</v>
      </c>
      <c r="G128" s="37">
        <f t="shared" si="46"/>
        <v>6027.94</v>
      </c>
      <c r="H128" s="37" t="str">
        <f t="shared" si="46"/>
        <v>-</v>
      </c>
    </row>
    <row r="129" spans="2:8">
      <c r="B129" s="75">
        <f t="shared" ref="B129:B144" si="47">B66</f>
        <v>15</v>
      </c>
      <c r="C129" s="37">
        <f t="shared" ref="C129:H144" si="48">IF(C108="-","-",ROUND(C108*$B$126,2))</f>
        <v>3683.25</v>
      </c>
      <c r="D129" s="37">
        <f t="shared" si="48"/>
        <v>4086.56</v>
      </c>
      <c r="E129" s="37">
        <f t="shared" si="48"/>
        <v>4236.72</v>
      </c>
      <c r="F129" s="37">
        <f t="shared" si="48"/>
        <v>4773.01</v>
      </c>
      <c r="G129" s="37">
        <f t="shared" si="48"/>
        <v>5180.59</v>
      </c>
      <c r="H129" s="37" t="str">
        <f t="shared" si="48"/>
        <v>-</v>
      </c>
    </row>
    <row r="130" spans="2:8">
      <c r="B130" s="75">
        <f t="shared" si="47"/>
        <v>14</v>
      </c>
      <c r="C130" s="37">
        <f t="shared" si="48"/>
        <v>3335.74</v>
      </c>
      <c r="D130" s="37">
        <f t="shared" si="48"/>
        <v>3700.42</v>
      </c>
      <c r="E130" s="37">
        <f t="shared" si="48"/>
        <v>3914.94</v>
      </c>
      <c r="F130" s="37">
        <f t="shared" si="48"/>
        <v>4236.72</v>
      </c>
      <c r="G130" s="37">
        <f t="shared" si="48"/>
        <v>4730.1099999999997</v>
      </c>
      <c r="H130" s="37" t="str">
        <f t="shared" si="48"/>
        <v>-</v>
      </c>
    </row>
    <row r="131" spans="2:8">
      <c r="B131" s="75">
        <f t="shared" si="47"/>
        <v>13</v>
      </c>
      <c r="C131" s="37">
        <f t="shared" si="48"/>
        <v>3075.1</v>
      </c>
      <c r="D131" s="37">
        <f t="shared" si="48"/>
        <v>3410.82</v>
      </c>
      <c r="E131" s="37">
        <f t="shared" si="48"/>
        <v>3593.17</v>
      </c>
      <c r="F131" s="37">
        <f t="shared" si="48"/>
        <v>3947.11</v>
      </c>
      <c r="G131" s="37">
        <f t="shared" si="48"/>
        <v>4440.5</v>
      </c>
      <c r="H131" s="37" t="str">
        <f t="shared" si="48"/>
        <v>-</v>
      </c>
    </row>
    <row r="132" spans="2:8">
      <c r="B132" s="75">
        <f t="shared" si="47"/>
        <v>12</v>
      </c>
      <c r="C132" s="37">
        <f t="shared" si="48"/>
        <v>2756.55</v>
      </c>
      <c r="D132" s="37">
        <f t="shared" si="48"/>
        <v>3056.87</v>
      </c>
      <c r="E132" s="37">
        <f t="shared" si="48"/>
        <v>3485.9</v>
      </c>
      <c r="F132" s="37">
        <f t="shared" si="48"/>
        <v>3861.31</v>
      </c>
      <c r="G132" s="37">
        <f t="shared" si="48"/>
        <v>4343.9799999999996</v>
      </c>
      <c r="H132" s="37" t="str">
        <f t="shared" si="48"/>
        <v>-</v>
      </c>
    </row>
    <row r="133" spans="2:8">
      <c r="B133" s="75">
        <f t="shared" si="47"/>
        <v>11</v>
      </c>
      <c r="C133" s="37">
        <f t="shared" si="48"/>
        <v>2660.01</v>
      </c>
      <c r="D133" s="37">
        <f t="shared" si="48"/>
        <v>2949.62</v>
      </c>
      <c r="E133" s="37">
        <f t="shared" si="48"/>
        <v>3164.13</v>
      </c>
      <c r="F133" s="37">
        <f t="shared" si="48"/>
        <v>3485.9</v>
      </c>
      <c r="G133" s="37">
        <f t="shared" si="48"/>
        <v>3952.49</v>
      </c>
      <c r="H133" s="37" t="str">
        <f t="shared" si="48"/>
        <v>-</v>
      </c>
    </row>
    <row r="134" spans="2:8">
      <c r="B134" s="75">
        <f t="shared" si="47"/>
        <v>10</v>
      </c>
      <c r="C134" s="37">
        <f t="shared" si="48"/>
        <v>2563.48</v>
      </c>
      <c r="D134" s="37">
        <f t="shared" si="48"/>
        <v>2842.35</v>
      </c>
      <c r="E134" s="37">
        <f t="shared" si="48"/>
        <v>3056.87</v>
      </c>
      <c r="F134" s="37">
        <f t="shared" si="48"/>
        <v>3271.39</v>
      </c>
      <c r="G134" s="37">
        <f t="shared" si="48"/>
        <v>3678.97</v>
      </c>
      <c r="H134" s="37" t="str">
        <f t="shared" si="48"/>
        <v>-</v>
      </c>
    </row>
    <row r="135" spans="2:8">
      <c r="B135" s="75">
        <f t="shared" si="47"/>
        <v>9</v>
      </c>
      <c r="C135" s="37">
        <f t="shared" si="48"/>
        <v>2264.23</v>
      </c>
      <c r="D135" s="37">
        <f t="shared" si="48"/>
        <v>2509.85</v>
      </c>
      <c r="E135" s="37">
        <f t="shared" si="48"/>
        <v>2638.57</v>
      </c>
      <c r="F135" s="37">
        <f t="shared" si="48"/>
        <v>2981.79</v>
      </c>
      <c r="G135" s="37">
        <f t="shared" si="48"/>
        <v>3249.94</v>
      </c>
      <c r="H135" s="37" t="str">
        <f t="shared" si="48"/>
        <v>-</v>
      </c>
    </row>
    <row r="136" spans="2:8">
      <c r="B136" s="75">
        <f t="shared" si="47"/>
        <v>8</v>
      </c>
      <c r="C136" s="37">
        <f t="shared" si="48"/>
        <v>2119.4299999999998</v>
      </c>
      <c r="D136" s="37">
        <f t="shared" si="48"/>
        <v>2348.96</v>
      </c>
      <c r="E136" s="37">
        <f t="shared" si="48"/>
        <v>2456.23</v>
      </c>
      <c r="F136" s="37">
        <f t="shared" si="48"/>
        <v>2552.7600000000002</v>
      </c>
      <c r="G136" s="37">
        <f t="shared" si="48"/>
        <v>2660.01</v>
      </c>
      <c r="H136" s="37">
        <f t="shared" si="48"/>
        <v>2727.58</v>
      </c>
    </row>
    <row r="137" spans="2:8">
      <c r="B137" s="75">
        <f t="shared" si="47"/>
        <v>7</v>
      </c>
      <c r="C137" s="37">
        <f t="shared" si="48"/>
        <v>1984.29</v>
      </c>
      <c r="D137" s="37">
        <f t="shared" si="48"/>
        <v>2198.8000000000002</v>
      </c>
      <c r="E137" s="37">
        <f t="shared" si="48"/>
        <v>2338.2399999999998</v>
      </c>
      <c r="F137" s="37">
        <f t="shared" si="48"/>
        <v>2445.5</v>
      </c>
      <c r="G137" s="37">
        <f t="shared" si="48"/>
        <v>2525.94</v>
      </c>
      <c r="H137" s="37">
        <f t="shared" si="48"/>
        <v>2601.0300000000002</v>
      </c>
    </row>
    <row r="138" spans="2:8">
      <c r="B138" s="75">
        <f t="shared" si="47"/>
        <v>6</v>
      </c>
      <c r="C138" s="37">
        <f t="shared" si="48"/>
        <v>1945.67</v>
      </c>
      <c r="D138" s="37">
        <f t="shared" si="48"/>
        <v>2155.89</v>
      </c>
      <c r="E138" s="37">
        <f t="shared" si="48"/>
        <v>2263.16</v>
      </c>
      <c r="F138" s="37">
        <f t="shared" si="48"/>
        <v>2365.0500000000002</v>
      </c>
      <c r="G138" s="37">
        <f t="shared" si="48"/>
        <v>2434.77</v>
      </c>
      <c r="H138" s="37">
        <f t="shared" si="48"/>
        <v>2504.5</v>
      </c>
    </row>
    <row r="139" spans="2:8">
      <c r="B139" s="75">
        <f t="shared" si="47"/>
        <v>5</v>
      </c>
      <c r="C139" s="37">
        <f t="shared" si="48"/>
        <v>1864.15</v>
      </c>
      <c r="D139" s="37">
        <f t="shared" si="48"/>
        <v>2064.73</v>
      </c>
      <c r="E139" s="37">
        <f t="shared" si="48"/>
        <v>2166.62</v>
      </c>
      <c r="F139" s="37">
        <f t="shared" si="48"/>
        <v>2268.5300000000002</v>
      </c>
      <c r="G139" s="37">
        <f t="shared" si="48"/>
        <v>2343.61</v>
      </c>
      <c r="H139" s="37">
        <f t="shared" si="48"/>
        <v>2397.2399999999998</v>
      </c>
    </row>
    <row r="140" spans="2:8">
      <c r="B140" s="75">
        <f t="shared" si="47"/>
        <v>4</v>
      </c>
      <c r="C140" s="37">
        <f t="shared" si="48"/>
        <v>1771.91</v>
      </c>
      <c r="D140" s="37">
        <f t="shared" si="48"/>
        <v>1962.83</v>
      </c>
      <c r="E140" s="37">
        <f t="shared" si="48"/>
        <v>2091.54</v>
      </c>
      <c r="F140" s="37">
        <f t="shared" si="48"/>
        <v>2166.62</v>
      </c>
      <c r="G140" s="37">
        <f t="shared" si="48"/>
        <v>2241.6999999999998</v>
      </c>
      <c r="H140" s="37">
        <f t="shared" si="48"/>
        <v>2285.6799999999998</v>
      </c>
    </row>
    <row r="141" spans="2:8">
      <c r="B141" s="75">
        <f t="shared" si="47"/>
        <v>3</v>
      </c>
      <c r="C141" s="37">
        <f t="shared" si="48"/>
        <v>1742.96</v>
      </c>
      <c r="D141" s="37">
        <f t="shared" si="48"/>
        <v>1930.65</v>
      </c>
      <c r="E141" s="37">
        <f t="shared" si="48"/>
        <v>1984.29</v>
      </c>
      <c r="F141" s="37">
        <f t="shared" si="48"/>
        <v>2070.1</v>
      </c>
      <c r="G141" s="37">
        <f t="shared" si="48"/>
        <v>2134.4499999999998</v>
      </c>
      <c r="H141" s="37">
        <f t="shared" si="48"/>
        <v>2193.4499999999998</v>
      </c>
    </row>
    <row r="142" spans="2:8">
      <c r="B142" s="75" t="str">
        <f t="shared" si="47"/>
        <v>2Ü</v>
      </c>
      <c r="C142" s="37">
        <f t="shared" si="48"/>
        <v>1665.72</v>
      </c>
      <c r="D142" s="37">
        <f t="shared" si="48"/>
        <v>1844.85</v>
      </c>
      <c r="E142" s="37">
        <f t="shared" si="48"/>
        <v>1909.21</v>
      </c>
      <c r="F142" s="37">
        <f t="shared" si="48"/>
        <v>1995.01</v>
      </c>
      <c r="G142" s="37">
        <f t="shared" si="48"/>
        <v>2054.0100000000002</v>
      </c>
      <c r="H142" s="37">
        <f t="shared" si="48"/>
        <v>2097.9899999999998</v>
      </c>
    </row>
    <row r="143" spans="2:8">
      <c r="B143" s="75">
        <f t="shared" si="47"/>
        <v>2</v>
      </c>
      <c r="C143" s="37">
        <f t="shared" si="48"/>
        <v>1607.8</v>
      </c>
      <c r="D143" s="37">
        <f t="shared" si="48"/>
        <v>1780.49</v>
      </c>
      <c r="E143" s="37">
        <f t="shared" si="48"/>
        <v>1834.12</v>
      </c>
      <c r="F143" s="37">
        <f t="shared" si="48"/>
        <v>1887.75</v>
      </c>
      <c r="G143" s="37">
        <f t="shared" si="48"/>
        <v>2005.73</v>
      </c>
      <c r="H143" s="37">
        <f t="shared" si="48"/>
        <v>2129.09</v>
      </c>
    </row>
    <row r="144" spans="2:8">
      <c r="B144" s="75">
        <f t="shared" si="47"/>
        <v>1</v>
      </c>
      <c r="C144" s="37" t="str">
        <f t="shared" si="48"/>
        <v>-</v>
      </c>
      <c r="D144" s="37">
        <f t="shared" si="48"/>
        <v>1432.98</v>
      </c>
      <c r="E144" s="37">
        <f t="shared" si="48"/>
        <v>1458.72</v>
      </c>
      <c r="F144" s="37">
        <f t="shared" si="48"/>
        <v>1490.9</v>
      </c>
      <c r="G144" s="37">
        <f t="shared" si="48"/>
        <v>1520.92</v>
      </c>
      <c r="H144" s="37">
        <f t="shared" si="48"/>
        <v>1598.15</v>
      </c>
    </row>
    <row r="147" spans="1:8">
      <c r="B147" s="172" t="s">
        <v>140</v>
      </c>
    </row>
    <row r="148" spans="1:8">
      <c r="A148" s="155" t="s">
        <v>151</v>
      </c>
      <c r="B148" s="75">
        <v>2011</v>
      </c>
      <c r="C148" s="75" t="str">
        <f t="shared" ref="C148:H148" si="49">C85</f>
        <v>Stufe 1</v>
      </c>
      <c r="D148" s="75" t="str">
        <f t="shared" si="49"/>
        <v>Stufe 2</v>
      </c>
      <c r="E148" s="75" t="str">
        <f t="shared" si="49"/>
        <v>Stufe 3</v>
      </c>
      <c r="F148" s="75" t="str">
        <f t="shared" si="49"/>
        <v>Stufe 4</v>
      </c>
      <c r="G148" s="75" t="str">
        <f t="shared" si="49"/>
        <v>Stufe 5</v>
      </c>
      <c r="H148" s="75" t="str">
        <f t="shared" si="49"/>
        <v>Stufe 6</v>
      </c>
    </row>
    <row r="149" spans="1:8">
      <c r="B149" s="75" t="str">
        <f>B86</f>
        <v>15Ü</v>
      </c>
      <c r="C149" s="37">
        <f t="shared" ref="C149:H149" si="50">IF(C128="-","-",ROUND(C128*$B$147,2))</f>
        <v>4666.7700000000004</v>
      </c>
      <c r="D149" s="37">
        <f t="shared" si="50"/>
        <v>5179.3100000000004</v>
      </c>
      <c r="E149" s="37">
        <f t="shared" si="50"/>
        <v>5664.87</v>
      </c>
      <c r="F149" s="37">
        <f t="shared" si="50"/>
        <v>5988.58</v>
      </c>
      <c r="G149" s="37">
        <f t="shared" si="50"/>
        <v>6064.11</v>
      </c>
      <c r="H149" s="37" t="str">
        <f t="shared" si="50"/>
        <v>-</v>
      </c>
    </row>
    <row r="150" spans="1:8">
      <c r="B150" s="75">
        <f t="shared" ref="B150:B165" si="51">B87</f>
        <v>15</v>
      </c>
      <c r="C150" s="37">
        <f t="shared" ref="C150:H165" si="52">IF(C129="-","-",ROUND(C129*$B$147,2))</f>
        <v>3705.35</v>
      </c>
      <c r="D150" s="37">
        <f t="shared" si="52"/>
        <v>4111.08</v>
      </c>
      <c r="E150" s="37">
        <f t="shared" si="52"/>
        <v>4262.1400000000003</v>
      </c>
      <c r="F150" s="37">
        <f t="shared" si="52"/>
        <v>4801.6499999999996</v>
      </c>
      <c r="G150" s="37">
        <f t="shared" si="52"/>
        <v>5211.67</v>
      </c>
      <c r="H150" s="37" t="str">
        <f t="shared" si="52"/>
        <v>-</v>
      </c>
    </row>
    <row r="151" spans="1:8">
      <c r="B151" s="75">
        <f t="shared" si="51"/>
        <v>14</v>
      </c>
      <c r="C151" s="37">
        <f t="shared" si="52"/>
        <v>3355.75</v>
      </c>
      <c r="D151" s="37">
        <f t="shared" si="52"/>
        <v>3722.62</v>
      </c>
      <c r="E151" s="37">
        <f t="shared" si="52"/>
        <v>3938.43</v>
      </c>
      <c r="F151" s="37">
        <f t="shared" si="52"/>
        <v>4262.1400000000003</v>
      </c>
      <c r="G151" s="37">
        <f t="shared" si="52"/>
        <v>4758.49</v>
      </c>
      <c r="H151" s="37" t="str">
        <f t="shared" si="52"/>
        <v>-</v>
      </c>
    </row>
    <row r="152" spans="1:8">
      <c r="B152" s="75">
        <f t="shared" si="51"/>
        <v>13</v>
      </c>
      <c r="C152" s="37">
        <f t="shared" si="52"/>
        <v>3093.55</v>
      </c>
      <c r="D152" s="37">
        <f t="shared" si="52"/>
        <v>3431.28</v>
      </c>
      <c r="E152" s="37">
        <f t="shared" si="52"/>
        <v>3614.73</v>
      </c>
      <c r="F152" s="37">
        <f t="shared" si="52"/>
        <v>3970.79</v>
      </c>
      <c r="G152" s="37">
        <f t="shared" si="52"/>
        <v>4467.1400000000003</v>
      </c>
      <c r="H152" s="37" t="str">
        <f t="shared" si="52"/>
        <v>-</v>
      </c>
    </row>
    <row r="153" spans="1:8">
      <c r="B153" s="75">
        <f t="shared" si="51"/>
        <v>12</v>
      </c>
      <c r="C153" s="37">
        <f t="shared" si="52"/>
        <v>2773.09</v>
      </c>
      <c r="D153" s="37">
        <f t="shared" si="52"/>
        <v>3075.21</v>
      </c>
      <c r="E153" s="37">
        <f t="shared" si="52"/>
        <v>3506.82</v>
      </c>
      <c r="F153" s="37">
        <f t="shared" si="52"/>
        <v>3884.48</v>
      </c>
      <c r="G153" s="37">
        <f t="shared" si="52"/>
        <v>4370.04</v>
      </c>
      <c r="H153" s="37" t="str">
        <f t="shared" si="52"/>
        <v>-</v>
      </c>
    </row>
    <row r="154" spans="1:8">
      <c r="B154" s="75">
        <f t="shared" si="51"/>
        <v>11</v>
      </c>
      <c r="C154" s="37">
        <f t="shared" si="52"/>
        <v>2675.97</v>
      </c>
      <c r="D154" s="37">
        <f t="shared" si="52"/>
        <v>2967.32</v>
      </c>
      <c r="E154" s="37">
        <f t="shared" si="52"/>
        <v>3183.11</v>
      </c>
      <c r="F154" s="37">
        <f t="shared" si="52"/>
        <v>3506.82</v>
      </c>
      <c r="G154" s="37">
        <f t="shared" si="52"/>
        <v>3976.2</v>
      </c>
      <c r="H154" s="37" t="str">
        <f t="shared" si="52"/>
        <v>-</v>
      </c>
    </row>
    <row r="155" spans="1:8">
      <c r="B155" s="75">
        <f t="shared" si="51"/>
        <v>10</v>
      </c>
      <c r="C155" s="37">
        <f t="shared" si="52"/>
        <v>2578.86</v>
      </c>
      <c r="D155" s="37">
        <f t="shared" si="52"/>
        <v>2859.4</v>
      </c>
      <c r="E155" s="37">
        <f t="shared" si="52"/>
        <v>3075.21</v>
      </c>
      <c r="F155" s="37">
        <f t="shared" si="52"/>
        <v>3291.02</v>
      </c>
      <c r="G155" s="37">
        <f t="shared" si="52"/>
        <v>3701.04</v>
      </c>
      <c r="H155" s="37" t="str">
        <f t="shared" si="52"/>
        <v>-</v>
      </c>
    </row>
    <row r="156" spans="1:8">
      <c r="B156" s="75">
        <f t="shared" si="51"/>
        <v>9</v>
      </c>
      <c r="C156" s="37">
        <f t="shared" si="52"/>
        <v>2277.8200000000002</v>
      </c>
      <c r="D156" s="37">
        <f t="shared" si="52"/>
        <v>2524.91</v>
      </c>
      <c r="E156" s="37">
        <f t="shared" si="52"/>
        <v>2654.4</v>
      </c>
      <c r="F156" s="37">
        <f t="shared" si="52"/>
        <v>2999.68</v>
      </c>
      <c r="G156" s="37">
        <f t="shared" si="52"/>
        <v>3269.44</v>
      </c>
      <c r="H156" s="37" t="str">
        <f t="shared" si="52"/>
        <v>-</v>
      </c>
    </row>
    <row r="157" spans="1:8">
      <c r="B157" s="75">
        <f t="shared" si="51"/>
        <v>8</v>
      </c>
      <c r="C157" s="37">
        <f t="shared" si="52"/>
        <v>2132.15</v>
      </c>
      <c r="D157" s="37">
        <f t="shared" si="52"/>
        <v>2363.0500000000002</v>
      </c>
      <c r="E157" s="37">
        <f t="shared" si="52"/>
        <v>2470.9699999999998</v>
      </c>
      <c r="F157" s="37">
        <f t="shared" si="52"/>
        <v>2568.08</v>
      </c>
      <c r="G157" s="37">
        <f t="shared" si="52"/>
        <v>2675.97</v>
      </c>
      <c r="H157" s="37">
        <f t="shared" si="52"/>
        <v>2743.95</v>
      </c>
    </row>
    <row r="158" spans="1:8">
      <c r="B158" s="75">
        <f t="shared" si="51"/>
        <v>7</v>
      </c>
      <c r="C158" s="37">
        <f t="shared" si="52"/>
        <v>1996.2</v>
      </c>
      <c r="D158" s="37">
        <f t="shared" si="52"/>
        <v>2211.9899999999998</v>
      </c>
      <c r="E158" s="37">
        <f t="shared" si="52"/>
        <v>2352.27</v>
      </c>
      <c r="F158" s="37">
        <f t="shared" si="52"/>
        <v>2460.17</v>
      </c>
      <c r="G158" s="37">
        <f t="shared" si="52"/>
        <v>2541.1</v>
      </c>
      <c r="H158" s="37">
        <f t="shared" si="52"/>
        <v>2616.64</v>
      </c>
    </row>
    <row r="159" spans="1:8">
      <c r="B159" s="75">
        <f t="shared" si="51"/>
        <v>6</v>
      </c>
      <c r="C159" s="37">
        <f t="shared" si="52"/>
        <v>1957.34</v>
      </c>
      <c r="D159" s="37">
        <f t="shared" si="52"/>
        <v>2168.83</v>
      </c>
      <c r="E159" s="37">
        <f t="shared" si="52"/>
        <v>2276.7399999999998</v>
      </c>
      <c r="F159" s="37">
        <f t="shared" si="52"/>
        <v>2379.2399999999998</v>
      </c>
      <c r="G159" s="37">
        <f t="shared" si="52"/>
        <v>2449.38</v>
      </c>
      <c r="H159" s="37">
        <f t="shared" si="52"/>
        <v>2519.5300000000002</v>
      </c>
    </row>
    <row r="160" spans="1:8">
      <c r="B160" s="75">
        <f t="shared" si="51"/>
        <v>5</v>
      </c>
      <c r="C160" s="37">
        <f t="shared" si="52"/>
        <v>1875.33</v>
      </c>
      <c r="D160" s="37">
        <f t="shared" si="52"/>
        <v>2077.12</v>
      </c>
      <c r="E160" s="37">
        <f t="shared" si="52"/>
        <v>2179.62</v>
      </c>
      <c r="F160" s="37">
        <f t="shared" si="52"/>
        <v>2282.14</v>
      </c>
      <c r="G160" s="37">
        <f t="shared" si="52"/>
        <v>2357.67</v>
      </c>
      <c r="H160" s="37">
        <f t="shared" si="52"/>
        <v>2411.62</v>
      </c>
    </row>
    <row r="161" spans="1:8">
      <c r="B161" s="75">
        <f t="shared" si="51"/>
        <v>4</v>
      </c>
      <c r="C161" s="37">
        <f t="shared" si="52"/>
        <v>1782.54</v>
      </c>
      <c r="D161" s="37">
        <f t="shared" si="52"/>
        <v>1974.61</v>
      </c>
      <c r="E161" s="37">
        <f t="shared" si="52"/>
        <v>2104.09</v>
      </c>
      <c r="F161" s="37">
        <f t="shared" si="52"/>
        <v>2179.62</v>
      </c>
      <c r="G161" s="37">
        <f t="shared" si="52"/>
        <v>2255.15</v>
      </c>
      <c r="H161" s="37">
        <f t="shared" si="52"/>
        <v>2299.39</v>
      </c>
    </row>
    <row r="162" spans="1:8">
      <c r="B162" s="75">
        <f t="shared" si="51"/>
        <v>3</v>
      </c>
      <c r="C162" s="37">
        <f t="shared" si="52"/>
        <v>1753.42</v>
      </c>
      <c r="D162" s="37">
        <f t="shared" si="52"/>
        <v>1942.23</v>
      </c>
      <c r="E162" s="37">
        <f t="shared" si="52"/>
        <v>1996.2</v>
      </c>
      <c r="F162" s="37">
        <f t="shared" si="52"/>
        <v>2082.52</v>
      </c>
      <c r="G162" s="37">
        <f t="shared" si="52"/>
        <v>2147.2600000000002</v>
      </c>
      <c r="H162" s="37">
        <f t="shared" si="52"/>
        <v>2206.61</v>
      </c>
    </row>
    <row r="163" spans="1:8">
      <c r="B163" s="75" t="str">
        <f t="shared" si="51"/>
        <v>2Ü</v>
      </c>
      <c r="C163" s="37">
        <f t="shared" si="52"/>
        <v>1675.71</v>
      </c>
      <c r="D163" s="37">
        <f t="shared" si="52"/>
        <v>1855.92</v>
      </c>
      <c r="E163" s="37">
        <f t="shared" si="52"/>
        <v>1920.67</v>
      </c>
      <c r="F163" s="37">
        <f t="shared" si="52"/>
        <v>2006.98</v>
      </c>
      <c r="G163" s="37">
        <f t="shared" si="52"/>
        <v>2066.33</v>
      </c>
      <c r="H163" s="37">
        <f t="shared" si="52"/>
        <v>2110.58</v>
      </c>
    </row>
    <row r="164" spans="1:8">
      <c r="B164" s="75">
        <f t="shared" si="51"/>
        <v>2</v>
      </c>
      <c r="C164" s="37">
        <f t="shared" si="52"/>
        <v>1617.45</v>
      </c>
      <c r="D164" s="37">
        <f t="shared" si="52"/>
        <v>1791.17</v>
      </c>
      <c r="E164" s="37">
        <f t="shared" si="52"/>
        <v>1845.12</v>
      </c>
      <c r="F164" s="37">
        <f t="shared" si="52"/>
        <v>1899.08</v>
      </c>
      <c r="G164" s="37">
        <f t="shared" si="52"/>
        <v>2017.76</v>
      </c>
      <c r="H164" s="37">
        <f t="shared" si="52"/>
        <v>2141.86</v>
      </c>
    </row>
    <row r="165" spans="1:8">
      <c r="B165" s="75">
        <f t="shared" si="51"/>
        <v>1</v>
      </c>
      <c r="C165" s="37" t="str">
        <f t="shared" si="52"/>
        <v>-</v>
      </c>
      <c r="D165" s="37">
        <f t="shared" si="52"/>
        <v>1441.58</v>
      </c>
      <c r="E165" s="37">
        <f t="shared" si="52"/>
        <v>1467.47</v>
      </c>
      <c r="F165" s="37">
        <f t="shared" si="52"/>
        <v>1499.85</v>
      </c>
      <c r="G165" s="37">
        <f t="shared" si="52"/>
        <v>1530.05</v>
      </c>
      <c r="H165" s="37">
        <f t="shared" si="52"/>
        <v>1607.74</v>
      </c>
    </row>
    <row r="168" spans="1:8">
      <c r="B168" s="172" t="s">
        <v>150</v>
      </c>
    </row>
    <row r="169" spans="1:8">
      <c r="A169" s="155" t="s">
        <v>152</v>
      </c>
      <c r="B169" s="75">
        <v>2011</v>
      </c>
      <c r="C169" s="75" t="str">
        <f t="shared" ref="C169:H169" si="53">C106</f>
        <v>Stufe 1</v>
      </c>
      <c r="D169" s="75" t="str">
        <f t="shared" si="53"/>
        <v>Stufe 2</v>
      </c>
      <c r="E169" s="75" t="str">
        <f t="shared" si="53"/>
        <v>Stufe 3</v>
      </c>
      <c r="F169" s="75" t="str">
        <f t="shared" si="53"/>
        <v>Stufe 4</v>
      </c>
      <c r="G169" s="75" t="str">
        <f t="shared" si="53"/>
        <v>Stufe 5</v>
      </c>
      <c r="H169" s="75" t="str">
        <f t="shared" si="53"/>
        <v>Stufe 6</v>
      </c>
    </row>
    <row r="170" spans="1:8">
      <c r="B170" s="75" t="str">
        <f>B107</f>
        <v>15Ü</v>
      </c>
      <c r="C170" s="37">
        <f t="shared" ref="C170:H170" si="54">IF(C149="-","-",ROUND(C149*$B$168,2))</f>
        <v>4690.1000000000004</v>
      </c>
      <c r="D170" s="37">
        <f t="shared" si="54"/>
        <v>5205.21</v>
      </c>
      <c r="E170" s="37">
        <f t="shared" si="54"/>
        <v>5693.19</v>
      </c>
      <c r="F170" s="37">
        <f t="shared" si="54"/>
        <v>6018.52</v>
      </c>
      <c r="G170" s="37">
        <f t="shared" si="54"/>
        <v>6094.43</v>
      </c>
      <c r="H170" s="37" t="str">
        <f t="shared" si="54"/>
        <v>-</v>
      </c>
    </row>
    <row r="171" spans="1:8">
      <c r="B171" s="75">
        <f t="shared" ref="B171:B186" si="55">B108</f>
        <v>15</v>
      </c>
      <c r="C171" s="37">
        <f t="shared" ref="C171:H171" si="56">IF(C150="-","-",ROUND(C150*$B$168,2))</f>
        <v>3723.88</v>
      </c>
      <c r="D171" s="37">
        <f t="shared" si="56"/>
        <v>4131.6400000000003</v>
      </c>
      <c r="E171" s="37">
        <f t="shared" si="56"/>
        <v>4283.45</v>
      </c>
      <c r="F171" s="37">
        <f t="shared" si="56"/>
        <v>4825.66</v>
      </c>
      <c r="G171" s="37">
        <f t="shared" si="56"/>
        <v>5237.7299999999996</v>
      </c>
      <c r="H171" s="37" t="str">
        <f t="shared" si="56"/>
        <v>-</v>
      </c>
    </row>
    <row r="172" spans="1:8">
      <c r="B172" s="75">
        <f t="shared" si="55"/>
        <v>14</v>
      </c>
      <c r="C172" s="37">
        <f t="shared" ref="C172:H172" si="57">IF(C151="-","-",ROUND(C151*$B$168,2))</f>
        <v>3372.53</v>
      </c>
      <c r="D172" s="37">
        <f t="shared" si="57"/>
        <v>3741.23</v>
      </c>
      <c r="E172" s="37">
        <f t="shared" si="57"/>
        <v>3958.12</v>
      </c>
      <c r="F172" s="37">
        <f t="shared" si="57"/>
        <v>4283.45</v>
      </c>
      <c r="G172" s="37">
        <f t="shared" si="57"/>
        <v>4782.28</v>
      </c>
      <c r="H172" s="37" t="str">
        <f t="shared" si="57"/>
        <v>-</v>
      </c>
    </row>
    <row r="173" spans="1:8">
      <c r="B173" s="75">
        <f t="shared" si="55"/>
        <v>13</v>
      </c>
      <c r="C173" s="37">
        <f t="shared" ref="C173:H173" si="58">IF(C152="-","-",ROUND(C152*$B$168,2))</f>
        <v>3109.02</v>
      </c>
      <c r="D173" s="37">
        <f t="shared" si="58"/>
        <v>3448.44</v>
      </c>
      <c r="E173" s="37">
        <f t="shared" si="58"/>
        <v>3632.8</v>
      </c>
      <c r="F173" s="37">
        <f t="shared" si="58"/>
        <v>3990.64</v>
      </c>
      <c r="G173" s="37">
        <f t="shared" si="58"/>
        <v>4489.4799999999996</v>
      </c>
      <c r="H173" s="37" t="str">
        <f t="shared" si="58"/>
        <v>-</v>
      </c>
    </row>
    <row r="174" spans="1:8">
      <c r="B174" s="75">
        <f t="shared" si="55"/>
        <v>12</v>
      </c>
      <c r="C174" s="37">
        <f t="shared" ref="C174:H174" si="59">IF(C153="-","-",ROUND(C153*$B$168,2))</f>
        <v>2786.96</v>
      </c>
      <c r="D174" s="37">
        <f t="shared" si="59"/>
        <v>3090.59</v>
      </c>
      <c r="E174" s="37">
        <f t="shared" si="59"/>
        <v>3524.35</v>
      </c>
      <c r="F174" s="37">
        <f t="shared" si="59"/>
        <v>3903.9</v>
      </c>
      <c r="G174" s="37">
        <f t="shared" si="59"/>
        <v>4391.8900000000003</v>
      </c>
      <c r="H174" s="37" t="str">
        <f t="shared" si="59"/>
        <v>-</v>
      </c>
    </row>
    <row r="175" spans="1:8">
      <c r="B175" s="75">
        <f t="shared" si="55"/>
        <v>11</v>
      </c>
      <c r="C175" s="37">
        <f t="shared" ref="C175:H175" si="60">IF(C154="-","-",ROUND(C154*$B$168,2))</f>
        <v>2689.35</v>
      </c>
      <c r="D175" s="37">
        <f t="shared" si="60"/>
        <v>2982.16</v>
      </c>
      <c r="E175" s="37">
        <f t="shared" si="60"/>
        <v>3199.03</v>
      </c>
      <c r="F175" s="37">
        <f t="shared" si="60"/>
        <v>3524.35</v>
      </c>
      <c r="G175" s="37">
        <f t="shared" si="60"/>
        <v>3996.08</v>
      </c>
      <c r="H175" s="37" t="str">
        <f t="shared" si="60"/>
        <v>-</v>
      </c>
    </row>
    <row r="176" spans="1:8">
      <c r="B176" s="75">
        <f t="shared" si="55"/>
        <v>10</v>
      </c>
      <c r="C176" s="37">
        <f t="shared" ref="C176:H176" si="61">IF(C155="-","-",ROUND(C155*$B$168,2))</f>
        <v>2591.75</v>
      </c>
      <c r="D176" s="37">
        <f t="shared" si="61"/>
        <v>2873.7</v>
      </c>
      <c r="E176" s="37">
        <f t="shared" si="61"/>
        <v>3090.59</v>
      </c>
      <c r="F176" s="37">
        <f t="shared" si="61"/>
        <v>3307.48</v>
      </c>
      <c r="G176" s="37">
        <f t="shared" si="61"/>
        <v>3719.55</v>
      </c>
      <c r="H176" s="37" t="str">
        <f t="shared" si="61"/>
        <v>-</v>
      </c>
    </row>
    <row r="177" spans="1:8">
      <c r="B177" s="75">
        <f t="shared" si="55"/>
        <v>9</v>
      </c>
      <c r="C177" s="37">
        <f t="shared" ref="C177:H177" si="62">IF(C156="-","-",ROUND(C156*$B$168,2))</f>
        <v>2289.21</v>
      </c>
      <c r="D177" s="37">
        <f t="shared" si="62"/>
        <v>2537.5300000000002</v>
      </c>
      <c r="E177" s="37">
        <f t="shared" si="62"/>
        <v>2667.67</v>
      </c>
      <c r="F177" s="37">
        <f t="shared" si="62"/>
        <v>3014.68</v>
      </c>
      <c r="G177" s="37">
        <f t="shared" si="62"/>
        <v>3285.79</v>
      </c>
      <c r="H177" s="37" t="str">
        <f t="shared" si="62"/>
        <v>-</v>
      </c>
    </row>
    <row r="178" spans="1:8">
      <c r="B178" s="75">
        <f t="shared" si="55"/>
        <v>8</v>
      </c>
      <c r="C178" s="37">
        <f t="shared" ref="C178:H178" si="63">IF(C157="-","-",ROUND(C157*$B$168,2))</f>
        <v>2142.81</v>
      </c>
      <c r="D178" s="37">
        <f t="shared" si="63"/>
        <v>2374.87</v>
      </c>
      <c r="E178" s="37">
        <f t="shared" si="63"/>
        <v>2483.3200000000002</v>
      </c>
      <c r="F178" s="37">
        <f t="shared" si="63"/>
        <v>2580.92</v>
      </c>
      <c r="G178" s="37">
        <f t="shared" si="63"/>
        <v>2689.35</v>
      </c>
      <c r="H178" s="37">
        <f t="shared" si="63"/>
        <v>2757.67</v>
      </c>
    </row>
    <row r="179" spans="1:8">
      <c r="B179" s="75">
        <f t="shared" si="55"/>
        <v>7</v>
      </c>
      <c r="C179" s="37">
        <f t="shared" ref="C179:H179" si="64">IF(C158="-","-",ROUND(C158*$B$168,2))</f>
        <v>2006.18</v>
      </c>
      <c r="D179" s="37">
        <f t="shared" si="64"/>
        <v>2223.0500000000002</v>
      </c>
      <c r="E179" s="37">
        <f t="shared" si="64"/>
        <v>2364.0300000000002</v>
      </c>
      <c r="F179" s="37">
        <f t="shared" si="64"/>
        <v>2472.4699999999998</v>
      </c>
      <c r="G179" s="37">
        <f t="shared" si="64"/>
        <v>2553.81</v>
      </c>
      <c r="H179" s="37">
        <f t="shared" si="64"/>
        <v>2629.72</v>
      </c>
    </row>
    <row r="180" spans="1:8">
      <c r="B180" s="75">
        <f t="shared" si="55"/>
        <v>6</v>
      </c>
      <c r="C180" s="37">
        <f t="shared" ref="C180:H180" si="65">IF(C159="-","-",ROUND(C159*$B$168,2))</f>
        <v>1967.13</v>
      </c>
      <c r="D180" s="37">
        <f t="shared" si="65"/>
        <v>2179.67</v>
      </c>
      <c r="E180" s="37">
        <f t="shared" si="65"/>
        <v>2288.12</v>
      </c>
      <c r="F180" s="37">
        <f t="shared" si="65"/>
        <v>2391.14</v>
      </c>
      <c r="G180" s="37">
        <f t="shared" si="65"/>
        <v>2461.63</v>
      </c>
      <c r="H180" s="37">
        <f t="shared" si="65"/>
        <v>2532.13</v>
      </c>
    </row>
    <row r="181" spans="1:8">
      <c r="B181" s="75">
        <f t="shared" si="55"/>
        <v>5</v>
      </c>
      <c r="C181" s="37">
        <f t="shared" ref="C181:H181" si="66">IF(C160="-","-",ROUND(C160*$B$168,2))</f>
        <v>1884.71</v>
      </c>
      <c r="D181" s="37">
        <f t="shared" si="66"/>
        <v>2087.5100000000002</v>
      </c>
      <c r="E181" s="37">
        <f t="shared" si="66"/>
        <v>2190.52</v>
      </c>
      <c r="F181" s="37">
        <f t="shared" si="66"/>
        <v>2293.5500000000002</v>
      </c>
      <c r="G181" s="37">
        <f t="shared" si="66"/>
        <v>2369.46</v>
      </c>
      <c r="H181" s="37">
        <f t="shared" si="66"/>
        <v>2423.6799999999998</v>
      </c>
    </row>
    <row r="182" spans="1:8">
      <c r="B182" s="75">
        <f t="shared" si="55"/>
        <v>4</v>
      </c>
      <c r="C182" s="37">
        <f t="shared" ref="C182:H182" si="67">IF(C161="-","-",ROUND(C161*$B$168,2))</f>
        <v>1791.45</v>
      </c>
      <c r="D182" s="37">
        <f t="shared" si="67"/>
        <v>1984.48</v>
      </c>
      <c r="E182" s="37">
        <f t="shared" si="67"/>
        <v>2114.61</v>
      </c>
      <c r="F182" s="37">
        <f t="shared" si="67"/>
        <v>2190.52</v>
      </c>
      <c r="G182" s="37">
        <f t="shared" si="67"/>
        <v>2266.4299999999998</v>
      </c>
      <c r="H182" s="37">
        <f t="shared" si="67"/>
        <v>2310.89</v>
      </c>
    </row>
    <row r="183" spans="1:8">
      <c r="B183" s="75">
        <f t="shared" si="55"/>
        <v>3</v>
      </c>
      <c r="C183" s="37">
        <f t="shared" ref="C183:H183" si="68">IF(C162="-","-",ROUND(C162*$B$168,2))</f>
        <v>1762.19</v>
      </c>
      <c r="D183" s="37">
        <f t="shared" si="68"/>
        <v>1951.94</v>
      </c>
      <c r="E183" s="37">
        <f t="shared" si="68"/>
        <v>2006.18</v>
      </c>
      <c r="F183" s="37">
        <f t="shared" si="68"/>
        <v>2092.9299999999998</v>
      </c>
      <c r="G183" s="37">
        <f t="shared" si="68"/>
        <v>2158</v>
      </c>
      <c r="H183" s="37">
        <f t="shared" si="68"/>
        <v>2217.64</v>
      </c>
    </row>
    <row r="184" spans="1:8">
      <c r="B184" s="75" t="str">
        <f t="shared" si="55"/>
        <v>2Ü</v>
      </c>
      <c r="C184" s="37">
        <f t="shared" ref="C184:H184" si="69">IF(C163="-","-",ROUND(C163*$B$168,2))</f>
        <v>1684.09</v>
      </c>
      <c r="D184" s="37">
        <f t="shared" si="69"/>
        <v>1865.2</v>
      </c>
      <c r="E184" s="37">
        <f t="shared" si="69"/>
        <v>1930.27</v>
      </c>
      <c r="F184" s="37">
        <f t="shared" si="69"/>
        <v>2017.01</v>
      </c>
      <c r="G184" s="37">
        <f t="shared" si="69"/>
        <v>2076.66</v>
      </c>
      <c r="H184" s="37">
        <f t="shared" si="69"/>
        <v>2121.13</v>
      </c>
    </row>
    <row r="185" spans="1:8">
      <c r="B185" s="75">
        <f t="shared" si="55"/>
        <v>2</v>
      </c>
      <c r="C185" s="37">
        <f t="shared" ref="C185:H185" si="70">IF(C164="-","-",ROUND(C164*$B$168,2))</f>
        <v>1625.54</v>
      </c>
      <c r="D185" s="37">
        <f t="shared" si="70"/>
        <v>1800.13</v>
      </c>
      <c r="E185" s="37">
        <f t="shared" si="70"/>
        <v>1854.35</v>
      </c>
      <c r="F185" s="37">
        <f t="shared" si="70"/>
        <v>1908.58</v>
      </c>
      <c r="G185" s="37">
        <f t="shared" si="70"/>
        <v>2027.85</v>
      </c>
      <c r="H185" s="37">
        <f t="shared" si="70"/>
        <v>2152.5700000000002</v>
      </c>
    </row>
    <row r="186" spans="1:8">
      <c r="B186" s="75">
        <f t="shared" si="55"/>
        <v>1</v>
      </c>
      <c r="C186" s="37" t="str">
        <f t="shared" ref="C186:H186" si="71">IF(C165="-","-",ROUND(C165*$B$168,2))</f>
        <v>-</v>
      </c>
      <c r="D186" s="37">
        <f t="shared" si="71"/>
        <v>1448.79</v>
      </c>
      <c r="E186" s="37">
        <f t="shared" si="71"/>
        <v>1474.81</v>
      </c>
      <c r="F186" s="37">
        <f t="shared" si="71"/>
        <v>1507.35</v>
      </c>
      <c r="G186" s="37">
        <f t="shared" si="71"/>
        <v>1537.7</v>
      </c>
      <c r="H186" s="37">
        <f t="shared" si="71"/>
        <v>1615.78</v>
      </c>
    </row>
    <row r="189" spans="1:8">
      <c r="B189" s="172" t="s">
        <v>207</v>
      </c>
    </row>
    <row r="190" spans="1:8">
      <c r="A190" s="155" t="s">
        <v>206</v>
      </c>
      <c r="B190" s="75">
        <v>2012</v>
      </c>
      <c r="C190" s="75" t="str">
        <f t="shared" ref="C190:H190" si="72">C127</f>
        <v>Stufe 1</v>
      </c>
      <c r="D190" s="75" t="str">
        <f t="shared" si="72"/>
        <v>Stufe 2</v>
      </c>
      <c r="E190" s="75" t="str">
        <f t="shared" si="72"/>
        <v>Stufe 3</v>
      </c>
      <c r="F190" s="75" t="str">
        <f t="shared" si="72"/>
        <v>Stufe 4</v>
      </c>
      <c r="G190" s="75" t="str">
        <f t="shared" si="72"/>
        <v>Stufe 5</v>
      </c>
      <c r="H190" s="75" t="str">
        <f t="shared" si="72"/>
        <v>Stufe 6</v>
      </c>
    </row>
    <row r="191" spans="1:8">
      <c r="B191" s="75" t="str">
        <f>B128</f>
        <v>15Ü</v>
      </c>
      <c r="C191" s="37">
        <f t="shared" ref="C191:H191" si="73">IF(C170="-","-",ROUND(C170*$B$189,2))</f>
        <v>4854.25</v>
      </c>
      <c r="D191" s="37">
        <f t="shared" si="73"/>
        <v>5387.39</v>
      </c>
      <c r="E191" s="37">
        <f t="shared" si="73"/>
        <v>5892.45</v>
      </c>
      <c r="F191" s="37">
        <f t="shared" si="73"/>
        <v>6229.17</v>
      </c>
      <c r="G191" s="37">
        <f t="shared" si="73"/>
        <v>6307.74</v>
      </c>
      <c r="H191" s="37" t="str">
        <f t="shared" si="73"/>
        <v>-</v>
      </c>
    </row>
    <row r="192" spans="1:8">
      <c r="B192" s="75">
        <f t="shared" ref="B192:B207" si="74">B129</f>
        <v>15</v>
      </c>
      <c r="C192" s="37">
        <f t="shared" ref="C192:H192" si="75">IF(C171="-","-",ROUND(C171*$B$189,2))</f>
        <v>3854.22</v>
      </c>
      <c r="D192" s="37">
        <f t="shared" si="75"/>
        <v>4276.25</v>
      </c>
      <c r="E192" s="37">
        <f t="shared" si="75"/>
        <v>4433.37</v>
      </c>
      <c r="F192" s="37">
        <f t="shared" si="75"/>
        <v>4994.5600000000004</v>
      </c>
      <c r="G192" s="37">
        <f t="shared" si="75"/>
        <v>5421.05</v>
      </c>
      <c r="H192" s="37" t="str">
        <f t="shared" si="75"/>
        <v>-</v>
      </c>
    </row>
    <row r="193" spans="2:8">
      <c r="B193" s="75">
        <f t="shared" si="74"/>
        <v>14</v>
      </c>
      <c r="C193" s="37">
        <f t="shared" ref="C193:H193" si="76">IF(C172="-","-",ROUND(C172*$B$189,2))</f>
        <v>3490.57</v>
      </c>
      <c r="D193" s="37">
        <f t="shared" si="76"/>
        <v>3872.17</v>
      </c>
      <c r="E193" s="37">
        <f t="shared" si="76"/>
        <v>4096.6499999999996</v>
      </c>
      <c r="F193" s="37">
        <f t="shared" si="76"/>
        <v>4433.37</v>
      </c>
      <c r="G193" s="37">
        <f t="shared" si="76"/>
        <v>4949.66</v>
      </c>
      <c r="H193" s="37" t="str">
        <f t="shared" si="76"/>
        <v>-</v>
      </c>
    </row>
    <row r="194" spans="2:8">
      <c r="B194" s="75">
        <f t="shared" si="74"/>
        <v>13</v>
      </c>
      <c r="C194" s="37">
        <f t="shared" ref="C194:H194" si="77">IF(C173="-","-",ROUND(C173*$B$189,2))</f>
        <v>3217.84</v>
      </c>
      <c r="D194" s="37">
        <f t="shared" si="77"/>
        <v>3569.14</v>
      </c>
      <c r="E194" s="37">
        <f t="shared" si="77"/>
        <v>3759.95</v>
      </c>
      <c r="F194" s="37">
        <f t="shared" si="77"/>
        <v>4130.3100000000004</v>
      </c>
      <c r="G194" s="37">
        <f t="shared" si="77"/>
        <v>4646.6099999999997</v>
      </c>
      <c r="H194" s="37" t="str">
        <f t="shared" si="77"/>
        <v>-</v>
      </c>
    </row>
    <row r="195" spans="2:8">
      <c r="B195" s="75">
        <f t="shared" si="74"/>
        <v>12</v>
      </c>
      <c r="C195" s="37">
        <f t="shared" ref="C195:H195" si="78">IF(C174="-","-",ROUND(C174*$B$189,2))</f>
        <v>2884.5</v>
      </c>
      <c r="D195" s="37">
        <f t="shared" si="78"/>
        <v>3198.76</v>
      </c>
      <c r="E195" s="37">
        <f t="shared" si="78"/>
        <v>3647.7</v>
      </c>
      <c r="F195" s="37">
        <f t="shared" si="78"/>
        <v>4040.54</v>
      </c>
      <c r="G195" s="37">
        <f t="shared" si="78"/>
        <v>4545.6099999999997</v>
      </c>
      <c r="H195" s="37" t="str">
        <f t="shared" si="78"/>
        <v>-</v>
      </c>
    </row>
    <row r="196" spans="2:8">
      <c r="B196" s="75">
        <f t="shared" si="74"/>
        <v>11</v>
      </c>
      <c r="C196" s="37">
        <f t="shared" ref="C196:H196" si="79">IF(C175="-","-",ROUND(C175*$B$189,2))</f>
        <v>2783.48</v>
      </c>
      <c r="D196" s="37">
        <f t="shared" si="79"/>
        <v>3086.54</v>
      </c>
      <c r="E196" s="37">
        <f t="shared" si="79"/>
        <v>3311</v>
      </c>
      <c r="F196" s="37">
        <f t="shared" si="79"/>
        <v>3647.7</v>
      </c>
      <c r="G196" s="37">
        <f t="shared" si="79"/>
        <v>4135.9399999999996</v>
      </c>
      <c r="H196" s="37" t="str">
        <f t="shared" si="79"/>
        <v>-</v>
      </c>
    </row>
    <row r="197" spans="2:8">
      <c r="B197" s="75">
        <f t="shared" si="74"/>
        <v>10</v>
      </c>
      <c r="C197" s="37">
        <f t="shared" ref="C197:H197" si="80">IF(C176="-","-",ROUND(C176*$B$189,2))</f>
        <v>2682.46</v>
      </c>
      <c r="D197" s="37">
        <f t="shared" si="80"/>
        <v>2974.28</v>
      </c>
      <c r="E197" s="37">
        <f t="shared" si="80"/>
        <v>3198.76</v>
      </c>
      <c r="F197" s="37">
        <f t="shared" si="80"/>
        <v>3423.24</v>
      </c>
      <c r="G197" s="37">
        <f t="shared" si="80"/>
        <v>3849.73</v>
      </c>
      <c r="H197" s="37" t="str">
        <f t="shared" si="80"/>
        <v>-</v>
      </c>
    </row>
    <row r="198" spans="2:8">
      <c r="B198" s="75">
        <f t="shared" si="74"/>
        <v>9</v>
      </c>
      <c r="C198" s="37">
        <f t="shared" ref="C198:H198" si="81">IF(C177="-","-",ROUND(C177*$B$189,2))</f>
        <v>2369.33</v>
      </c>
      <c r="D198" s="37">
        <f t="shared" si="81"/>
        <v>2626.34</v>
      </c>
      <c r="E198" s="37">
        <f t="shared" si="81"/>
        <v>2761.04</v>
      </c>
      <c r="F198" s="37">
        <f t="shared" si="81"/>
        <v>3120.19</v>
      </c>
      <c r="G198" s="37">
        <f t="shared" si="81"/>
        <v>3400.79</v>
      </c>
      <c r="H198" s="37" t="str">
        <f t="shared" si="81"/>
        <v>-</v>
      </c>
    </row>
    <row r="199" spans="2:8">
      <c r="B199" s="75">
        <f t="shared" si="74"/>
        <v>8</v>
      </c>
      <c r="C199" s="37">
        <f t="shared" ref="C199:H199" si="82">IF(C178="-","-",ROUND(C178*$B$189,2))</f>
        <v>2217.81</v>
      </c>
      <c r="D199" s="37">
        <f t="shared" si="82"/>
        <v>2457.9899999999998</v>
      </c>
      <c r="E199" s="37">
        <f t="shared" si="82"/>
        <v>2570.2399999999998</v>
      </c>
      <c r="F199" s="37">
        <f t="shared" si="82"/>
        <v>2671.25</v>
      </c>
      <c r="G199" s="37">
        <f t="shared" si="82"/>
        <v>2783.48</v>
      </c>
      <c r="H199" s="37">
        <f t="shared" si="82"/>
        <v>2854.19</v>
      </c>
    </row>
    <row r="200" spans="2:8">
      <c r="B200" s="75">
        <f t="shared" si="74"/>
        <v>7</v>
      </c>
      <c r="C200" s="37">
        <f t="shared" ref="C200:H200" si="83">IF(C179="-","-",ROUND(C179*$B$189,2))</f>
        <v>2076.4</v>
      </c>
      <c r="D200" s="37">
        <f t="shared" si="83"/>
        <v>2300.86</v>
      </c>
      <c r="E200" s="37">
        <f t="shared" si="83"/>
        <v>2446.77</v>
      </c>
      <c r="F200" s="37">
        <f t="shared" si="83"/>
        <v>2559.0100000000002</v>
      </c>
      <c r="G200" s="37">
        <f t="shared" si="83"/>
        <v>2643.19</v>
      </c>
      <c r="H200" s="37">
        <f t="shared" si="83"/>
        <v>2721.76</v>
      </c>
    </row>
    <row r="201" spans="2:8">
      <c r="B201" s="75">
        <f t="shared" si="74"/>
        <v>6</v>
      </c>
      <c r="C201" s="37">
        <f t="shared" ref="C201:H201" si="84">IF(C180="-","-",ROUND(C180*$B$189,2))</f>
        <v>2035.98</v>
      </c>
      <c r="D201" s="37">
        <f t="shared" si="84"/>
        <v>2255.96</v>
      </c>
      <c r="E201" s="37">
        <f t="shared" si="84"/>
        <v>2368.1999999999998</v>
      </c>
      <c r="F201" s="37">
        <f t="shared" si="84"/>
        <v>2474.83</v>
      </c>
      <c r="G201" s="37">
        <f t="shared" si="84"/>
        <v>2547.79</v>
      </c>
      <c r="H201" s="37">
        <f t="shared" si="84"/>
        <v>2620.75</v>
      </c>
    </row>
    <row r="202" spans="2:8">
      <c r="B202" s="75">
        <f t="shared" si="74"/>
        <v>5</v>
      </c>
      <c r="C202" s="37">
        <f t="shared" ref="C202:H202" si="85">IF(C181="-","-",ROUND(C181*$B$189,2))</f>
        <v>1950.67</v>
      </c>
      <c r="D202" s="37">
        <f t="shared" si="85"/>
        <v>2160.5700000000002</v>
      </c>
      <c r="E202" s="37">
        <f t="shared" si="85"/>
        <v>2267.19</v>
      </c>
      <c r="F202" s="37">
        <f t="shared" si="85"/>
        <v>2373.8200000000002</v>
      </c>
      <c r="G202" s="37">
        <f t="shared" si="85"/>
        <v>2452.39</v>
      </c>
      <c r="H202" s="37">
        <f t="shared" si="85"/>
        <v>2508.5100000000002</v>
      </c>
    </row>
    <row r="203" spans="2:8">
      <c r="B203" s="75">
        <f t="shared" si="74"/>
        <v>4</v>
      </c>
      <c r="C203" s="37">
        <f t="shared" ref="C203:H203" si="86">IF(C182="-","-",ROUND(C182*$B$189,2))</f>
        <v>1854.15</v>
      </c>
      <c r="D203" s="37">
        <f t="shared" si="86"/>
        <v>2053.94</v>
      </c>
      <c r="E203" s="37">
        <f t="shared" si="86"/>
        <v>2188.62</v>
      </c>
      <c r="F203" s="37">
        <f t="shared" si="86"/>
        <v>2267.19</v>
      </c>
      <c r="G203" s="37">
        <f t="shared" si="86"/>
        <v>2345.7600000000002</v>
      </c>
      <c r="H203" s="37">
        <f t="shared" si="86"/>
        <v>2391.77</v>
      </c>
    </row>
    <row r="204" spans="2:8">
      <c r="B204" s="75">
        <f t="shared" si="74"/>
        <v>3</v>
      </c>
      <c r="C204" s="37">
        <f t="shared" ref="C204:H204" si="87">IF(C183="-","-",ROUND(C183*$B$189,2))</f>
        <v>1823.87</v>
      </c>
      <c r="D204" s="37">
        <f t="shared" si="87"/>
        <v>2020.26</v>
      </c>
      <c r="E204" s="37">
        <f t="shared" si="87"/>
        <v>2076.4</v>
      </c>
      <c r="F204" s="37">
        <f t="shared" si="87"/>
        <v>2166.1799999999998</v>
      </c>
      <c r="G204" s="37">
        <f t="shared" si="87"/>
        <v>2233.5300000000002</v>
      </c>
      <c r="H204" s="37">
        <f t="shared" si="87"/>
        <v>2295.2600000000002</v>
      </c>
    </row>
    <row r="205" spans="2:8">
      <c r="B205" s="75" t="str">
        <f t="shared" si="74"/>
        <v>2Ü</v>
      </c>
      <c r="C205" s="37">
        <f t="shared" ref="C205:H205" si="88">IF(C184="-","-",ROUND(C184*$B$189,2))</f>
        <v>1743.03</v>
      </c>
      <c r="D205" s="37">
        <f t="shared" si="88"/>
        <v>1930.48</v>
      </c>
      <c r="E205" s="37">
        <f t="shared" si="88"/>
        <v>1997.83</v>
      </c>
      <c r="F205" s="37">
        <f t="shared" si="88"/>
        <v>2087.61</v>
      </c>
      <c r="G205" s="37">
        <f t="shared" si="88"/>
        <v>2149.34</v>
      </c>
      <c r="H205" s="37">
        <f t="shared" si="88"/>
        <v>2195.37</v>
      </c>
    </row>
    <row r="206" spans="2:8">
      <c r="B206" s="75">
        <f t="shared" si="74"/>
        <v>2</v>
      </c>
      <c r="C206" s="37">
        <f t="shared" ref="C206:H206" si="89">IF(C185="-","-",ROUND(C185*$B$189,2))</f>
        <v>1682.43</v>
      </c>
      <c r="D206" s="37">
        <f t="shared" si="89"/>
        <v>1863.13</v>
      </c>
      <c r="E206" s="37">
        <f t="shared" si="89"/>
        <v>1919.25</v>
      </c>
      <c r="F206" s="37">
        <f t="shared" si="89"/>
        <v>1975.38</v>
      </c>
      <c r="G206" s="37">
        <f t="shared" si="89"/>
        <v>2098.8200000000002</v>
      </c>
      <c r="H206" s="37">
        <f t="shared" si="89"/>
        <v>2227.91</v>
      </c>
    </row>
    <row r="207" spans="2:8">
      <c r="B207" s="75">
        <f t="shared" si="74"/>
        <v>1</v>
      </c>
      <c r="C207" s="37" t="str">
        <f t="shared" ref="C207:H207" si="90">IF(C186="-","-",ROUND(C186*$B$189,2))</f>
        <v>-</v>
      </c>
      <c r="D207" s="37">
        <f t="shared" si="90"/>
        <v>1499.5</v>
      </c>
      <c r="E207" s="37">
        <f t="shared" si="90"/>
        <v>1526.43</v>
      </c>
      <c r="F207" s="37">
        <f t="shared" si="90"/>
        <v>1560.11</v>
      </c>
      <c r="G207" s="37">
        <f t="shared" si="90"/>
        <v>1591.52</v>
      </c>
      <c r="H207" s="37">
        <f t="shared" si="90"/>
        <v>1672.33</v>
      </c>
    </row>
    <row r="210" spans="1:8">
      <c r="B210" s="172" t="s">
        <v>209</v>
      </c>
    </row>
    <row r="211" spans="1:8">
      <c r="A211" s="155" t="s">
        <v>208</v>
      </c>
      <c r="B211" s="75" t="s">
        <v>210</v>
      </c>
      <c r="C211" s="75" t="str">
        <f t="shared" ref="C211:H211" si="91">C148</f>
        <v>Stufe 1</v>
      </c>
      <c r="D211" s="75" t="str">
        <f t="shared" si="91"/>
        <v>Stufe 2</v>
      </c>
      <c r="E211" s="75" t="str">
        <f t="shared" si="91"/>
        <v>Stufe 3</v>
      </c>
      <c r="F211" s="75" t="str">
        <f t="shared" si="91"/>
        <v>Stufe 4</v>
      </c>
      <c r="G211" s="75" t="str">
        <f t="shared" si="91"/>
        <v>Stufe 5</v>
      </c>
      <c r="H211" s="75" t="str">
        <f t="shared" si="91"/>
        <v>Stufe 6</v>
      </c>
    </row>
    <row r="212" spans="1:8">
      <c r="B212" s="75" t="str">
        <f>B149</f>
        <v>15Ü</v>
      </c>
      <c r="C212" s="37">
        <f t="shared" ref="C212:H212" si="92">IF(C191="-","-",ROUND(C191*$B$210,2))</f>
        <v>4922.21</v>
      </c>
      <c r="D212" s="37">
        <f t="shared" si="92"/>
        <v>5462.81</v>
      </c>
      <c r="E212" s="37">
        <f t="shared" si="92"/>
        <v>5974.94</v>
      </c>
      <c r="F212" s="37">
        <f t="shared" si="92"/>
        <v>6316.38</v>
      </c>
      <c r="G212" s="37">
        <f t="shared" si="92"/>
        <v>6396.05</v>
      </c>
      <c r="H212" s="37" t="str">
        <f t="shared" si="92"/>
        <v>-</v>
      </c>
    </row>
    <row r="213" spans="1:8">
      <c r="B213" s="75">
        <f t="shared" ref="B213:B228" si="93">B150</f>
        <v>15</v>
      </c>
      <c r="C213" s="37">
        <f t="shared" ref="C213:H213" si="94">IF(C192="-","-",ROUND(C192*$B$210,2))</f>
        <v>3908.18</v>
      </c>
      <c r="D213" s="37">
        <f t="shared" si="94"/>
        <v>4336.12</v>
      </c>
      <c r="E213" s="37">
        <f t="shared" si="94"/>
        <v>4495.4399999999996</v>
      </c>
      <c r="F213" s="37">
        <f t="shared" si="94"/>
        <v>5064.4799999999996</v>
      </c>
      <c r="G213" s="37">
        <f t="shared" si="94"/>
        <v>5496.94</v>
      </c>
      <c r="H213" s="37" t="str">
        <f t="shared" si="94"/>
        <v>-</v>
      </c>
    </row>
    <row r="214" spans="1:8">
      <c r="B214" s="75">
        <f t="shared" si="93"/>
        <v>14</v>
      </c>
      <c r="C214" s="37">
        <f t="shared" ref="C214:H214" si="95">IF(C193="-","-",ROUND(C193*$B$210,2))</f>
        <v>3539.44</v>
      </c>
      <c r="D214" s="37">
        <f t="shared" si="95"/>
        <v>3926.38</v>
      </c>
      <c r="E214" s="37">
        <f t="shared" si="95"/>
        <v>4154</v>
      </c>
      <c r="F214" s="37">
        <f t="shared" si="95"/>
        <v>4495.4399999999996</v>
      </c>
      <c r="G214" s="37">
        <f t="shared" si="95"/>
        <v>5018.96</v>
      </c>
      <c r="H214" s="37" t="str">
        <f t="shared" si="95"/>
        <v>-</v>
      </c>
    </row>
    <row r="215" spans="1:8">
      <c r="B215" s="75">
        <f t="shared" si="93"/>
        <v>13</v>
      </c>
      <c r="C215" s="37">
        <f t="shared" ref="C215:H215" si="96">IF(C194="-","-",ROUND(C194*$B$210,2))</f>
        <v>3262.89</v>
      </c>
      <c r="D215" s="37">
        <f t="shared" si="96"/>
        <v>3619.11</v>
      </c>
      <c r="E215" s="37">
        <f t="shared" si="96"/>
        <v>3812.59</v>
      </c>
      <c r="F215" s="37">
        <f t="shared" si="96"/>
        <v>4188.13</v>
      </c>
      <c r="G215" s="37">
        <f t="shared" si="96"/>
        <v>4711.66</v>
      </c>
      <c r="H215" s="37" t="str">
        <f t="shared" si="96"/>
        <v>-</v>
      </c>
    </row>
    <row r="216" spans="1:8">
      <c r="B216" s="75">
        <f t="shared" si="93"/>
        <v>12</v>
      </c>
      <c r="C216" s="37">
        <f t="shared" ref="C216:H216" si="97">IF(C195="-","-",ROUND(C195*$B$210,2))</f>
        <v>2924.88</v>
      </c>
      <c r="D216" s="37">
        <f t="shared" si="97"/>
        <v>3243.54</v>
      </c>
      <c r="E216" s="37">
        <f t="shared" si="97"/>
        <v>3698.77</v>
      </c>
      <c r="F216" s="37">
        <f t="shared" si="97"/>
        <v>4097.1099999999997</v>
      </c>
      <c r="G216" s="37">
        <f t="shared" si="97"/>
        <v>4609.25</v>
      </c>
      <c r="H216" s="37" t="str">
        <f t="shared" si="97"/>
        <v>-</v>
      </c>
    </row>
    <row r="217" spans="1:8">
      <c r="B217" s="75">
        <f t="shared" si="93"/>
        <v>11</v>
      </c>
      <c r="C217" s="37">
        <f t="shared" ref="C217:H217" si="98">IF(C196="-","-",ROUND(C196*$B$210,2))</f>
        <v>2822.45</v>
      </c>
      <c r="D217" s="37">
        <f t="shared" si="98"/>
        <v>3129.75</v>
      </c>
      <c r="E217" s="37">
        <f t="shared" si="98"/>
        <v>3357.35</v>
      </c>
      <c r="F217" s="37">
        <f t="shared" si="98"/>
        <v>3698.77</v>
      </c>
      <c r="G217" s="37">
        <f t="shared" si="98"/>
        <v>4193.84</v>
      </c>
      <c r="H217" s="37" t="str">
        <f t="shared" si="98"/>
        <v>-</v>
      </c>
    </row>
    <row r="218" spans="1:8">
      <c r="B218" s="75">
        <f t="shared" si="93"/>
        <v>10</v>
      </c>
      <c r="C218" s="37">
        <f t="shared" ref="C218:H218" si="99">IF(C197="-","-",ROUND(C197*$B$210,2))</f>
        <v>2720.01</v>
      </c>
      <c r="D218" s="37">
        <f t="shared" si="99"/>
        <v>3015.92</v>
      </c>
      <c r="E218" s="37">
        <f t="shared" si="99"/>
        <v>3243.54</v>
      </c>
      <c r="F218" s="37">
        <f t="shared" si="99"/>
        <v>3471.17</v>
      </c>
      <c r="G218" s="37">
        <f t="shared" si="99"/>
        <v>3903.63</v>
      </c>
      <c r="H218" s="37" t="str">
        <f t="shared" si="99"/>
        <v>-</v>
      </c>
    </row>
    <row r="219" spans="1:8">
      <c r="B219" s="75">
        <f t="shared" si="93"/>
        <v>9</v>
      </c>
      <c r="C219" s="37">
        <f t="shared" ref="C219:H219" si="100">IF(C198="-","-",ROUND(C198*$B$210,2))</f>
        <v>2402.5</v>
      </c>
      <c r="D219" s="37">
        <f t="shared" si="100"/>
        <v>2663.11</v>
      </c>
      <c r="E219" s="37">
        <f t="shared" si="100"/>
        <v>2799.69</v>
      </c>
      <c r="F219" s="37">
        <f t="shared" si="100"/>
        <v>3163.87</v>
      </c>
      <c r="G219" s="37">
        <f t="shared" si="100"/>
        <v>3448.4</v>
      </c>
      <c r="H219" s="37" t="str">
        <f t="shared" si="100"/>
        <v>-</v>
      </c>
    </row>
    <row r="220" spans="1:8">
      <c r="B220" s="75">
        <f t="shared" si="93"/>
        <v>8</v>
      </c>
      <c r="C220" s="37">
        <f t="shared" ref="C220:H220" si="101">IF(C199="-","-",ROUND(C199*$B$210,2))</f>
        <v>2248.86</v>
      </c>
      <c r="D220" s="37">
        <f t="shared" si="101"/>
        <v>2492.4</v>
      </c>
      <c r="E220" s="37">
        <f t="shared" si="101"/>
        <v>2606.2199999999998</v>
      </c>
      <c r="F220" s="37">
        <f t="shared" si="101"/>
        <v>2708.65</v>
      </c>
      <c r="G220" s="37">
        <f t="shared" si="101"/>
        <v>2822.45</v>
      </c>
      <c r="H220" s="37">
        <f t="shared" si="101"/>
        <v>2894.15</v>
      </c>
    </row>
    <row r="221" spans="1:8">
      <c r="B221" s="75">
        <f t="shared" si="93"/>
        <v>7</v>
      </c>
      <c r="C221" s="37">
        <f t="shared" ref="C221:H221" si="102">IF(C200="-","-",ROUND(C200*$B$210,2))</f>
        <v>2105.4699999999998</v>
      </c>
      <c r="D221" s="37">
        <f t="shared" si="102"/>
        <v>2333.0700000000002</v>
      </c>
      <c r="E221" s="37">
        <f t="shared" si="102"/>
        <v>2481.02</v>
      </c>
      <c r="F221" s="37">
        <f t="shared" si="102"/>
        <v>2594.84</v>
      </c>
      <c r="G221" s="37">
        <f t="shared" si="102"/>
        <v>2680.19</v>
      </c>
      <c r="H221" s="37">
        <f t="shared" si="102"/>
        <v>2759.86</v>
      </c>
    </row>
    <row r="222" spans="1:8">
      <c r="B222" s="75">
        <f t="shared" si="93"/>
        <v>6</v>
      </c>
      <c r="C222" s="37">
        <f t="shared" ref="C222:H222" si="103">IF(C201="-","-",ROUND(C201*$B$210,2))</f>
        <v>2064.48</v>
      </c>
      <c r="D222" s="37">
        <f t="shared" si="103"/>
        <v>2287.54</v>
      </c>
      <c r="E222" s="37">
        <f t="shared" si="103"/>
        <v>2401.35</v>
      </c>
      <c r="F222" s="37">
        <f t="shared" si="103"/>
        <v>2509.48</v>
      </c>
      <c r="G222" s="37">
        <f t="shared" si="103"/>
        <v>2583.46</v>
      </c>
      <c r="H222" s="37">
        <f t="shared" si="103"/>
        <v>2657.44</v>
      </c>
    </row>
    <row r="223" spans="1:8">
      <c r="B223" s="75">
        <f t="shared" si="93"/>
        <v>5</v>
      </c>
      <c r="C223" s="37">
        <f t="shared" ref="C223:H223" si="104">IF(C202="-","-",ROUND(C202*$B$210,2))</f>
        <v>1977.98</v>
      </c>
      <c r="D223" s="37">
        <f t="shared" si="104"/>
        <v>2190.8200000000002</v>
      </c>
      <c r="E223" s="37">
        <f t="shared" si="104"/>
        <v>2298.9299999999998</v>
      </c>
      <c r="F223" s="37">
        <f t="shared" si="104"/>
        <v>2407.0500000000002</v>
      </c>
      <c r="G223" s="37">
        <f t="shared" si="104"/>
        <v>2486.7199999999998</v>
      </c>
      <c r="H223" s="37">
        <f t="shared" si="104"/>
        <v>2543.63</v>
      </c>
    </row>
    <row r="224" spans="1:8">
      <c r="B224" s="75">
        <f t="shared" si="93"/>
        <v>4</v>
      </c>
      <c r="C224" s="37">
        <f t="shared" ref="C224:H224" si="105">IF(C203="-","-",ROUND(C203*$B$210,2))</f>
        <v>1880.11</v>
      </c>
      <c r="D224" s="37">
        <f t="shared" si="105"/>
        <v>2082.6999999999998</v>
      </c>
      <c r="E224" s="37">
        <f t="shared" si="105"/>
        <v>2219.2600000000002</v>
      </c>
      <c r="F224" s="37">
        <f t="shared" si="105"/>
        <v>2298.9299999999998</v>
      </c>
      <c r="G224" s="37">
        <f t="shared" si="105"/>
        <v>2378.6</v>
      </c>
      <c r="H224" s="37">
        <f t="shared" si="105"/>
        <v>2425.25</v>
      </c>
    </row>
    <row r="225" spans="1:8">
      <c r="B225" s="75">
        <f t="shared" si="93"/>
        <v>3</v>
      </c>
      <c r="C225" s="37">
        <f t="shared" ref="C225:H225" si="106">IF(C204="-","-",ROUND(C204*$B$210,2))</f>
        <v>1849.4</v>
      </c>
      <c r="D225" s="37">
        <f t="shared" si="106"/>
        <v>2048.54</v>
      </c>
      <c r="E225" s="37">
        <f t="shared" si="106"/>
        <v>2105.4699999999998</v>
      </c>
      <c r="F225" s="37">
        <f t="shared" si="106"/>
        <v>2196.5100000000002</v>
      </c>
      <c r="G225" s="37">
        <f t="shared" si="106"/>
        <v>2264.8000000000002</v>
      </c>
      <c r="H225" s="37">
        <f t="shared" si="106"/>
        <v>2327.39</v>
      </c>
    </row>
    <row r="226" spans="1:8">
      <c r="B226" s="75" t="str">
        <f t="shared" si="93"/>
        <v>2Ü</v>
      </c>
      <c r="C226" s="37">
        <f t="shared" ref="C226:H226" si="107">IF(C205="-","-",ROUND(C205*$B$210,2))</f>
        <v>1767.43</v>
      </c>
      <c r="D226" s="37">
        <f t="shared" si="107"/>
        <v>1957.51</v>
      </c>
      <c r="E226" s="37">
        <f t="shared" si="107"/>
        <v>2025.8</v>
      </c>
      <c r="F226" s="37">
        <f t="shared" si="107"/>
        <v>2116.84</v>
      </c>
      <c r="G226" s="37">
        <f t="shared" si="107"/>
        <v>2179.4299999999998</v>
      </c>
      <c r="H226" s="37">
        <f t="shared" si="107"/>
        <v>2226.11</v>
      </c>
    </row>
    <row r="227" spans="1:8">
      <c r="B227" s="75">
        <f t="shared" si="93"/>
        <v>2</v>
      </c>
      <c r="C227" s="37">
        <f t="shared" ref="C227:H227" si="108">IF(C206="-","-",ROUND(C206*$B$210,2))</f>
        <v>1705.98</v>
      </c>
      <c r="D227" s="37">
        <f t="shared" si="108"/>
        <v>1889.21</v>
      </c>
      <c r="E227" s="37">
        <f t="shared" si="108"/>
        <v>1946.12</v>
      </c>
      <c r="F227" s="37">
        <f t="shared" si="108"/>
        <v>2003.04</v>
      </c>
      <c r="G227" s="37">
        <f t="shared" si="108"/>
        <v>2128.1999999999998</v>
      </c>
      <c r="H227" s="37">
        <f t="shared" si="108"/>
        <v>2259.1</v>
      </c>
    </row>
    <row r="228" spans="1:8">
      <c r="B228" s="75">
        <f t="shared" si="93"/>
        <v>1</v>
      </c>
      <c r="C228" s="37" t="str">
        <f t="shared" ref="C228:H228" si="109">IF(C207="-","-",ROUND(C207*$B$210,2))</f>
        <v>-</v>
      </c>
      <c r="D228" s="37">
        <f t="shared" si="109"/>
        <v>1520.49</v>
      </c>
      <c r="E228" s="37">
        <f t="shared" si="109"/>
        <v>1547.8</v>
      </c>
      <c r="F228" s="37">
        <f t="shared" si="109"/>
        <v>1581.95</v>
      </c>
      <c r="G228" s="37">
        <f t="shared" si="109"/>
        <v>1613.8</v>
      </c>
      <c r="H228" s="37">
        <f t="shared" si="109"/>
        <v>1695.74</v>
      </c>
    </row>
    <row r="231" spans="1:8">
      <c r="B231" s="172" t="s">
        <v>209</v>
      </c>
    </row>
    <row r="232" spans="1:8">
      <c r="A232" s="155" t="s">
        <v>212</v>
      </c>
      <c r="B232" s="75" t="s">
        <v>211</v>
      </c>
      <c r="C232" s="75" t="str">
        <f t="shared" ref="C232:H232" si="110">C169</f>
        <v>Stufe 1</v>
      </c>
      <c r="D232" s="75" t="str">
        <f t="shared" si="110"/>
        <v>Stufe 2</v>
      </c>
      <c r="E232" s="75" t="str">
        <f t="shared" si="110"/>
        <v>Stufe 3</v>
      </c>
      <c r="F232" s="75" t="str">
        <f t="shared" si="110"/>
        <v>Stufe 4</v>
      </c>
      <c r="G232" s="75" t="str">
        <f t="shared" si="110"/>
        <v>Stufe 5</v>
      </c>
      <c r="H232" s="75" t="str">
        <f t="shared" si="110"/>
        <v>Stufe 6</v>
      </c>
    </row>
    <row r="233" spans="1:8">
      <c r="B233" s="75" t="str">
        <f>B170</f>
        <v>15Ü</v>
      </c>
      <c r="C233" s="37">
        <f t="shared" ref="C233:H233" si="111">IF(C212="-","-",ROUND(C212*$B$231,2))</f>
        <v>4991.12</v>
      </c>
      <c r="D233" s="37">
        <f t="shared" si="111"/>
        <v>5539.29</v>
      </c>
      <c r="E233" s="37">
        <f t="shared" si="111"/>
        <v>6058.59</v>
      </c>
      <c r="F233" s="37">
        <f t="shared" si="111"/>
        <v>6404.81</v>
      </c>
      <c r="G233" s="37">
        <f t="shared" si="111"/>
        <v>6485.59</v>
      </c>
      <c r="H233" s="37" t="str">
        <f t="shared" si="111"/>
        <v>-</v>
      </c>
    </row>
    <row r="234" spans="1:8">
      <c r="B234" s="75">
        <f t="shared" ref="B234:B249" si="112">B171</f>
        <v>15</v>
      </c>
      <c r="C234" s="37">
        <f t="shared" ref="C234:H234" si="113">IF(C213="-","-",ROUND(C213*$B$231,2))</f>
        <v>3962.89</v>
      </c>
      <c r="D234" s="37">
        <f t="shared" si="113"/>
        <v>4396.83</v>
      </c>
      <c r="E234" s="37">
        <f t="shared" si="113"/>
        <v>4558.38</v>
      </c>
      <c r="F234" s="37">
        <f t="shared" si="113"/>
        <v>5135.38</v>
      </c>
      <c r="G234" s="37">
        <f t="shared" si="113"/>
        <v>5573.9</v>
      </c>
      <c r="H234" s="37" t="str">
        <f t="shared" si="113"/>
        <v>-</v>
      </c>
    </row>
    <row r="235" spans="1:8">
      <c r="B235" s="75">
        <f t="shared" si="112"/>
        <v>14</v>
      </c>
      <c r="C235" s="37">
        <f t="shared" ref="C235:H235" si="114">IF(C214="-","-",ROUND(C214*$B$231,2))</f>
        <v>3588.99</v>
      </c>
      <c r="D235" s="37">
        <f t="shared" si="114"/>
        <v>3981.35</v>
      </c>
      <c r="E235" s="37">
        <f t="shared" si="114"/>
        <v>4212.16</v>
      </c>
      <c r="F235" s="37">
        <f t="shared" si="114"/>
        <v>4558.38</v>
      </c>
      <c r="G235" s="37">
        <f t="shared" si="114"/>
        <v>5089.2299999999996</v>
      </c>
      <c r="H235" s="37" t="str">
        <f t="shared" si="114"/>
        <v>-</v>
      </c>
    </row>
    <row r="236" spans="1:8">
      <c r="B236" s="75">
        <f t="shared" si="112"/>
        <v>13</v>
      </c>
      <c r="C236" s="37">
        <f t="shared" ref="C236:H236" si="115">IF(C215="-","-",ROUND(C215*$B$231,2))</f>
        <v>3308.57</v>
      </c>
      <c r="D236" s="37">
        <f t="shared" si="115"/>
        <v>3669.78</v>
      </c>
      <c r="E236" s="37">
        <f t="shared" si="115"/>
        <v>3865.97</v>
      </c>
      <c r="F236" s="37">
        <f t="shared" si="115"/>
        <v>4246.76</v>
      </c>
      <c r="G236" s="37">
        <f t="shared" si="115"/>
        <v>4777.62</v>
      </c>
      <c r="H236" s="37" t="str">
        <f t="shared" si="115"/>
        <v>-</v>
      </c>
    </row>
    <row r="237" spans="1:8">
      <c r="B237" s="75">
        <f t="shared" si="112"/>
        <v>12</v>
      </c>
      <c r="C237" s="37">
        <f t="shared" ref="C237:H237" si="116">IF(C216="-","-",ROUND(C216*$B$231,2))</f>
        <v>2965.83</v>
      </c>
      <c r="D237" s="37">
        <f t="shared" si="116"/>
        <v>3288.95</v>
      </c>
      <c r="E237" s="37">
        <f t="shared" si="116"/>
        <v>3750.55</v>
      </c>
      <c r="F237" s="37">
        <f t="shared" si="116"/>
        <v>4154.47</v>
      </c>
      <c r="G237" s="37">
        <f t="shared" si="116"/>
        <v>4673.78</v>
      </c>
      <c r="H237" s="37" t="str">
        <f t="shared" si="116"/>
        <v>-</v>
      </c>
    </row>
    <row r="238" spans="1:8">
      <c r="B238" s="75">
        <f t="shared" si="112"/>
        <v>11</v>
      </c>
      <c r="C238" s="37">
        <f t="shared" ref="C238:H238" si="117">IF(C217="-","-",ROUND(C217*$B$231,2))</f>
        <v>2861.96</v>
      </c>
      <c r="D238" s="37">
        <f t="shared" si="117"/>
        <v>3173.57</v>
      </c>
      <c r="E238" s="37">
        <f t="shared" si="117"/>
        <v>3404.35</v>
      </c>
      <c r="F238" s="37">
        <f t="shared" si="117"/>
        <v>3750.55</v>
      </c>
      <c r="G238" s="37">
        <f t="shared" si="117"/>
        <v>4252.55</v>
      </c>
      <c r="H238" s="37" t="str">
        <f t="shared" si="117"/>
        <v>-</v>
      </c>
    </row>
    <row r="239" spans="1:8">
      <c r="B239" s="75">
        <f t="shared" si="112"/>
        <v>10</v>
      </c>
      <c r="C239" s="37">
        <f t="shared" ref="C239:H239" si="118">IF(C218="-","-",ROUND(C218*$B$231,2))</f>
        <v>2758.09</v>
      </c>
      <c r="D239" s="37">
        <f t="shared" si="118"/>
        <v>3058.14</v>
      </c>
      <c r="E239" s="37">
        <f t="shared" si="118"/>
        <v>3288.95</v>
      </c>
      <c r="F239" s="37">
        <f t="shared" si="118"/>
        <v>3519.77</v>
      </c>
      <c r="G239" s="37">
        <f t="shared" si="118"/>
        <v>3958.28</v>
      </c>
      <c r="H239" s="37" t="str">
        <f t="shared" si="118"/>
        <v>-</v>
      </c>
    </row>
    <row r="240" spans="1:8">
      <c r="B240" s="75">
        <f t="shared" si="112"/>
        <v>9</v>
      </c>
      <c r="C240" s="37">
        <f t="shared" ref="C240:H240" si="119">IF(C219="-","-",ROUND(C219*$B$231,2))</f>
        <v>2436.14</v>
      </c>
      <c r="D240" s="37">
        <f t="shared" si="119"/>
        <v>2700.39</v>
      </c>
      <c r="E240" s="37">
        <f t="shared" si="119"/>
        <v>2838.89</v>
      </c>
      <c r="F240" s="37">
        <f t="shared" si="119"/>
        <v>3208.16</v>
      </c>
      <c r="G240" s="37">
        <f t="shared" si="119"/>
        <v>3496.68</v>
      </c>
      <c r="H240" s="37" t="str">
        <f t="shared" si="119"/>
        <v>-</v>
      </c>
    </row>
    <row r="241" spans="1:17">
      <c r="B241" s="75">
        <f t="shared" si="112"/>
        <v>8</v>
      </c>
      <c r="C241" s="37">
        <f t="shared" ref="C241:H241" si="120">IF(C220="-","-",ROUND(C220*$B$231,2))</f>
        <v>2280.34</v>
      </c>
      <c r="D241" s="37">
        <f t="shared" si="120"/>
        <v>2527.29</v>
      </c>
      <c r="E241" s="37">
        <f t="shared" si="120"/>
        <v>2642.71</v>
      </c>
      <c r="F241" s="37">
        <f t="shared" si="120"/>
        <v>2746.57</v>
      </c>
      <c r="G241" s="37">
        <f t="shared" si="120"/>
        <v>2861.96</v>
      </c>
      <c r="H241" s="37">
        <f t="shared" si="120"/>
        <v>2934.67</v>
      </c>
    </row>
    <row r="242" spans="1:17">
      <c r="B242" s="75">
        <f t="shared" si="112"/>
        <v>7</v>
      </c>
      <c r="C242" s="37">
        <f t="shared" ref="C242:H242" si="121">IF(C221="-","-",ROUND(C221*$B$231,2))</f>
        <v>2134.9499999999998</v>
      </c>
      <c r="D242" s="37">
        <f t="shared" si="121"/>
        <v>2365.73</v>
      </c>
      <c r="E242" s="37">
        <f t="shared" si="121"/>
        <v>2515.75</v>
      </c>
      <c r="F242" s="37">
        <f t="shared" si="121"/>
        <v>2631.17</v>
      </c>
      <c r="G242" s="37">
        <f t="shared" si="121"/>
        <v>2717.71</v>
      </c>
      <c r="H242" s="37">
        <f t="shared" si="121"/>
        <v>2798.5</v>
      </c>
    </row>
    <row r="243" spans="1:17">
      <c r="B243" s="75">
        <f t="shared" si="112"/>
        <v>6</v>
      </c>
      <c r="C243" s="37">
        <f t="shared" ref="C243:H243" si="122">IF(C222="-","-",ROUND(C222*$B$231,2))</f>
        <v>2093.38</v>
      </c>
      <c r="D243" s="37">
        <f t="shared" si="122"/>
        <v>2319.5700000000002</v>
      </c>
      <c r="E243" s="37">
        <f t="shared" si="122"/>
        <v>2434.9699999999998</v>
      </c>
      <c r="F243" s="37">
        <f t="shared" si="122"/>
        <v>2544.61</v>
      </c>
      <c r="G243" s="37">
        <f t="shared" si="122"/>
        <v>2619.63</v>
      </c>
      <c r="H243" s="37">
        <f t="shared" si="122"/>
        <v>2694.64</v>
      </c>
    </row>
    <row r="244" spans="1:17">
      <c r="B244" s="75">
        <f t="shared" si="112"/>
        <v>5</v>
      </c>
      <c r="C244" s="37">
        <f t="shared" ref="C244:H244" si="123">IF(C223="-","-",ROUND(C223*$B$231,2))</f>
        <v>2005.67</v>
      </c>
      <c r="D244" s="37">
        <f t="shared" si="123"/>
        <v>2221.4899999999998</v>
      </c>
      <c r="E244" s="37">
        <f t="shared" si="123"/>
        <v>2331.12</v>
      </c>
      <c r="F244" s="37">
        <f t="shared" si="123"/>
        <v>2440.75</v>
      </c>
      <c r="G244" s="37">
        <f t="shared" si="123"/>
        <v>2521.5300000000002</v>
      </c>
      <c r="H244" s="37">
        <f t="shared" si="123"/>
        <v>2579.2399999999998</v>
      </c>
    </row>
    <row r="245" spans="1:17">
      <c r="B245" s="75">
        <f t="shared" si="112"/>
        <v>4</v>
      </c>
      <c r="C245" s="37">
        <f t="shared" ref="C245:H245" si="124">IF(C224="-","-",ROUND(C224*$B$231,2))</f>
        <v>1906.43</v>
      </c>
      <c r="D245" s="37">
        <f t="shared" si="124"/>
        <v>2111.86</v>
      </c>
      <c r="E245" s="37">
        <f t="shared" si="124"/>
        <v>2250.33</v>
      </c>
      <c r="F245" s="37">
        <f t="shared" si="124"/>
        <v>2331.12</v>
      </c>
      <c r="G245" s="37">
        <f t="shared" si="124"/>
        <v>2411.9</v>
      </c>
      <c r="H245" s="37">
        <f t="shared" si="124"/>
        <v>2459.1999999999998</v>
      </c>
    </row>
    <row r="246" spans="1:17">
      <c r="B246" s="75">
        <f t="shared" si="112"/>
        <v>3</v>
      </c>
      <c r="C246" s="37">
        <f t="shared" ref="C246:H246" si="125">IF(C225="-","-",ROUND(C225*$B$231,2))</f>
        <v>1875.29</v>
      </c>
      <c r="D246" s="37">
        <f t="shared" si="125"/>
        <v>2077.2199999999998</v>
      </c>
      <c r="E246" s="37">
        <f t="shared" si="125"/>
        <v>2134.9499999999998</v>
      </c>
      <c r="F246" s="37">
        <f t="shared" si="125"/>
        <v>2227.2600000000002</v>
      </c>
      <c r="G246" s="37">
        <f t="shared" si="125"/>
        <v>2296.5100000000002</v>
      </c>
      <c r="H246" s="37">
        <f t="shared" si="125"/>
        <v>2359.9699999999998</v>
      </c>
    </row>
    <row r="247" spans="1:17">
      <c r="B247" s="75" t="str">
        <f t="shared" si="112"/>
        <v>2Ü</v>
      </c>
      <c r="C247" s="37">
        <f t="shared" ref="C247:H247" si="126">IF(C226="-","-",ROUND(C226*$B$231,2))</f>
        <v>1792.17</v>
      </c>
      <c r="D247" s="37">
        <f t="shared" si="126"/>
        <v>1984.92</v>
      </c>
      <c r="E247" s="37">
        <f t="shared" si="126"/>
        <v>2054.16</v>
      </c>
      <c r="F247" s="37">
        <f t="shared" si="126"/>
        <v>2146.48</v>
      </c>
      <c r="G247" s="37">
        <f t="shared" si="126"/>
        <v>2209.94</v>
      </c>
      <c r="H247" s="37">
        <f t="shared" si="126"/>
        <v>2257.2800000000002</v>
      </c>
    </row>
    <row r="248" spans="1:17">
      <c r="B248" s="75">
        <f t="shared" si="112"/>
        <v>2</v>
      </c>
      <c r="C248" s="37">
        <f t="shared" ref="C248:H248" si="127">IF(C227="-","-",ROUND(C227*$B$231,2))</f>
        <v>1729.86</v>
      </c>
      <c r="D248" s="37">
        <f t="shared" si="127"/>
        <v>1915.66</v>
      </c>
      <c r="E248" s="37">
        <f t="shared" si="127"/>
        <v>1973.37</v>
      </c>
      <c r="F248" s="37">
        <f t="shared" si="127"/>
        <v>2031.08</v>
      </c>
      <c r="G248" s="37">
        <f t="shared" si="127"/>
        <v>2157.9899999999998</v>
      </c>
      <c r="H248" s="37">
        <f t="shared" si="127"/>
        <v>2290.73</v>
      </c>
    </row>
    <row r="249" spans="1:17">
      <c r="B249" s="75">
        <f t="shared" si="112"/>
        <v>1</v>
      </c>
      <c r="C249" s="37" t="str">
        <f t="shared" ref="C249:H249" si="128">IF(C228="-","-",ROUND(C228*$B$231,2))</f>
        <v>-</v>
      </c>
      <c r="D249" s="37">
        <f t="shared" si="128"/>
        <v>1541.78</v>
      </c>
      <c r="E249" s="37">
        <f t="shared" si="128"/>
        <v>1569.47</v>
      </c>
      <c r="F249" s="37">
        <f t="shared" si="128"/>
        <v>1604.1</v>
      </c>
      <c r="G249" s="37">
        <f t="shared" si="128"/>
        <v>1636.39</v>
      </c>
      <c r="H249" s="37">
        <f t="shared" si="128"/>
        <v>1719.48</v>
      </c>
    </row>
    <row r="252" spans="1:17">
      <c r="B252" s="172" t="s">
        <v>248</v>
      </c>
      <c r="K252" s="248" t="s">
        <v>272</v>
      </c>
    </row>
    <row r="253" spans="1:17">
      <c r="A253" s="155" t="s">
        <v>249</v>
      </c>
      <c r="B253" s="75" t="s">
        <v>250</v>
      </c>
      <c r="C253" s="75" t="str">
        <f t="shared" ref="C253:H253" si="129">C190</f>
        <v>Stufe 1</v>
      </c>
      <c r="D253" s="75" t="str">
        <f t="shared" si="129"/>
        <v>Stufe 2</v>
      </c>
      <c r="E253" s="75" t="str">
        <f t="shared" si="129"/>
        <v>Stufe 3</v>
      </c>
      <c r="F253" s="75" t="str">
        <f t="shared" si="129"/>
        <v>Stufe 4</v>
      </c>
      <c r="G253" s="75" t="str">
        <f t="shared" si="129"/>
        <v>Stufe 5</v>
      </c>
      <c r="H253" s="75" t="str">
        <f t="shared" si="129"/>
        <v>Stufe 6</v>
      </c>
      <c r="J253" s="155" t="str">
        <f>A232</f>
        <v>ab Aug 2013</v>
      </c>
      <c r="K253" s="75" t="str">
        <f>B232</f>
        <v>2013 II</v>
      </c>
      <c r="L253" s="75" t="str">
        <f t="shared" ref="L253:Q268" si="130">C232</f>
        <v>Stufe 1</v>
      </c>
      <c r="M253" s="75" t="str">
        <f t="shared" si="130"/>
        <v>Stufe 2</v>
      </c>
      <c r="N253" s="75" t="str">
        <f t="shared" si="130"/>
        <v>Stufe 3</v>
      </c>
      <c r="O253" s="75" t="str">
        <f t="shared" si="130"/>
        <v>Stufe 4</v>
      </c>
      <c r="P253" s="75" t="str">
        <f t="shared" si="130"/>
        <v>Stufe 5</v>
      </c>
      <c r="Q253" s="75" t="str">
        <f t="shared" si="130"/>
        <v>Stufe 6</v>
      </c>
    </row>
    <row r="254" spans="1:17">
      <c r="B254" s="75" t="str">
        <f>B191</f>
        <v>15Ü</v>
      </c>
      <c r="C254" s="37">
        <f t="shared" ref="C254:H254" si="131">C233</f>
        <v>4991.12</v>
      </c>
      <c r="D254" s="37">
        <f t="shared" si="131"/>
        <v>5539.29</v>
      </c>
      <c r="E254" s="37">
        <f t="shared" si="131"/>
        <v>6058.59</v>
      </c>
      <c r="F254" s="37">
        <f t="shared" si="131"/>
        <v>6404.81</v>
      </c>
      <c r="G254" s="37">
        <f t="shared" si="131"/>
        <v>6485.59</v>
      </c>
      <c r="H254" s="37" t="str">
        <f t="shared" si="131"/>
        <v>-</v>
      </c>
      <c r="K254" s="75" t="str">
        <f t="shared" ref="K254:K270" si="132">B233</f>
        <v>15Ü</v>
      </c>
      <c r="L254" s="37">
        <f t="shared" si="130"/>
        <v>4991.12</v>
      </c>
      <c r="M254" s="37">
        <f t="shared" si="130"/>
        <v>5539.29</v>
      </c>
      <c r="N254" s="37">
        <f t="shared" si="130"/>
        <v>6058.59</v>
      </c>
      <c r="O254" s="37">
        <f t="shared" si="130"/>
        <v>6404.81</v>
      </c>
      <c r="P254" s="37">
        <f t="shared" si="130"/>
        <v>6485.59</v>
      </c>
      <c r="Q254" s="37" t="str">
        <f t="shared" si="130"/>
        <v>-</v>
      </c>
    </row>
    <row r="255" spans="1:17">
      <c r="B255" s="75">
        <f t="shared" ref="B255:B260" si="133">B192</f>
        <v>15</v>
      </c>
      <c r="C255" s="37">
        <f t="shared" ref="C255:H255" si="134">C234</f>
        <v>3962.89</v>
      </c>
      <c r="D255" s="37">
        <f t="shared" si="134"/>
        <v>4396.83</v>
      </c>
      <c r="E255" s="37">
        <f t="shared" si="134"/>
        <v>4558.38</v>
      </c>
      <c r="F255" s="37">
        <f t="shared" si="134"/>
        <v>5135.38</v>
      </c>
      <c r="G255" s="37">
        <f t="shared" si="134"/>
        <v>5573.9</v>
      </c>
      <c r="H255" s="37" t="str">
        <f t="shared" si="134"/>
        <v>-</v>
      </c>
      <c r="K255" s="75">
        <f t="shared" si="132"/>
        <v>15</v>
      </c>
      <c r="L255" s="37">
        <f t="shared" si="130"/>
        <v>3962.89</v>
      </c>
      <c r="M255" s="37">
        <f t="shared" si="130"/>
        <v>4396.83</v>
      </c>
      <c r="N255" s="37">
        <f t="shared" si="130"/>
        <v>4558.38</v>
      </c>
      <c r="O255" s="37">
        <f t="shared" si="130"/>
        <v>5135.38</v>
      </c>
      <c r="P255" s="37">
        <f t="shared" si="130"/>
        <v>5573.9</v>
      </c>
      <c r="Q255" s="37" t="str">
        <f t="shared" si="130"/>
        <v>-</v>
      </c>
    </row>
    <row r="256" spans="1:17">
      <c r="B256" s="75">
        <f t="shared" si="133"/>
        <v>14</v>
      </c>
      <c r="C256" s="37">
        <f t="shared" ref="C256:H256" si="135">C235</f>
        <v>3588.99</v>
      </c>
      <c r="D256" s="37">
        <f t="shared" si="135"/>
        <v>3981.35</v>
      </c>
      <c r="E256" s="37">
        <f t="shared" si="135"/>
        <v>4212.16</v>
      </c>
      <c r="F256" s="37">
        <f t="shared" si="135"/>
        <v>4558.38</v>
      </c>
      <c r="G256" s="37">
        <f t="shared" si="135"/>
        <v>5089.2299999999996</v>
      </c>
      <c r="H256" s="37" t="str">
        <f t="shared" si="135"/>
        <v>-</v>
      </c>
      <c r="K256" s="75">
        <f t="shared" si="132"/>
        <v>14</v>
      </c>
      <c r="L256" s="37">
        <f t="shared" si="130"/>
        <v>3588.99</v>
      </c>
      <c r="M256" s="37">
        <f t="shared" si="130"/>
        <v>3981.35</v>
      </c>
      <c r="N256" s="37">
        <f t="shared" si="130"/>
        <v>4212.16</v>
      </c>
      <c r="O256" s="37">
        <f t="shared" si="130"/>
        <v>4558.38</v>
      </c>
      <c r="P256" s="37">
        <f t="shared" si="130"/>
        <v>5089.2299999999996</v>
      </c>
      <c r="Q256" s="37" t="str">
        <f t="shared" si="130"/>
        <v>-</v>
      </c>
    </row>
    <row r="257" spans="2:17">
      <c r="B257" s="75">
        <f t="shared" si="133"/>
        <v>13</v>
      </c>
      <c r="C257" s="37">
        <f t="shared" ref="C257:H257" si="136">C236</f>
        <v>3308.57</v>
      </c>
      <c r="D257" s="37">
        <f t="shared" si="136"/>
        <v>3669.78</v>
      </c>
      <c r="E257" s="37">
        <f t="shared" si="136"/>
        <v>3865.97</v>
      </c>
      <c r="F257" s="37">
        <f t="shared" si="136"/>
        <v>4246.76</v>
      </c>
      <c r="G257" s="37">
        <f t="shared" si="136"/>
        <v>4777.62</v>
      </c>
      <c r="H257" s="37" t="str">
        <f t="shared" si="136"/>
        <v>-</v>
      </c>
      <c r="K257" s="75">
        <f t="shared" si="132"/>
        <v>13</v>
      </c>
      <c r="L257" s="37">
        <f t="shared" si="130"/>
        <v>3308.57</v>
      </c>
      <c r="M257" s="37">
        <f t="shared" si="130"/>
        <v>3669.78</v>
      </c>
      <c r="N257" s="37">
        <f t="shared" si="130"/>
        <v>3865.97</v>
      </c>
      <c r="O257" s="37">
        <f t="shared" si="130"/>
        <v>4246.76</v>
      </c>
      <c r="P257" s="37">
        <f t="shared" si="130"/>
        <v>4777.62</v>
      </c>
      <c r="Q257" s="37" t="str">
        <f t="shared" si="130"/>
        <v>-</v>
      </c>
    </row>
    <row r="258" spans="2:17">
      <c r="B258" s="75">
        <f t="shared" si="133"/>
        <v>12</v>
      </c>
      <c r="C258" s="37">
        <f t="shared" ref="C258:H258" si="137">C237</f>
        <v>2965.83</v>
      </c>
      <c r="D258" s="37">
        <f t="shared" si="137"/>
        <v>3288.95</v>
      </c>
      <c r="E258" s="37">
        <f t="shared" si="137"/>
        <v>3750.55</v>
      </c>
      <c r="F258" s="37">
        <f t="shared" si="137"/>
        <v>4154.47</v>
      </c>
      <c r="G258" s="37">
        <f t="shared" si="137"/>
        <v>4673.78</v>
      </c>
      <c r="H258" s="37" t="str">
        <f t="shared" si="137"/>
        <v>-</v>
      </c>
      <c r="K258" s="75">
        <f t="shared" si="132"/>
        <v>12</v>
      </c>
      <c r="L258" s="37">
        <f t="shared" si="130"/>
        <v>2965.83</v>
      </c>
      <c r="M258" s="37">
        <f t="shared" si="130"/>
        <v>3288.95</v>
      </c>
      <c r="N258" s="37">
        <f t="shared" si="130"/>
        <v>3750.55</v>
      </c>
      <c r="O258" s="37">
        <f t="shared" si="130"/>
        <v>4154.47</v>
      </c>
      <c r="P258" s="37">
        <f t="shared" si="130"/>
        <v>4673.78</v>
      </c>
      <c r="Q258" s="37" t="str">
        <f t="shared" si="130"/>
        <v>-</v>
      </c>
    </row>
    <row r="259" spans="2:17">
      <c r="B259" s="75">
        <f t="shared" si="133"/>
        <v>11</v>
      </c>
      <c r="C259" s="37">
        <f t="shared" ref="C259:H259" si="138">C238</f>
        <v>2861.96</v>
      </c>
      <c r="D259" s="37">
        <f t="shared" si="138"/>
        <v>3173.57</v>
      </c>
      <c r="E259" s="37">
        <f t="shared" si="138"/>
        <v>3404.35</v>
      </c>
      <c r="F259" s="37">
        <f t="shared" si="138"/>
        <v>3750.55</v>
      </c>
      <c r="G259" s="37">
        <f t="shared" si="138"/>
        <v>4252.55</v>
      </c>
      <c r="H259" s="37" t="str">
        <f t="shared" si="138"/>
        <v>-</v>
      </c>
      <c r="K259" s="75">
        <f t="shared" si="132"/>
        <v>11</v>
      </c>
      <c r="L259" s="37">
        <f t="shared" si="130"/>
        <v>2861.96</v>
      </c>
      <c r="M259" s="37">
        <f t="shared" si="130"/>
        <v>3173.57</v>
      </c>
      <c r="N259" s="37">
        <f t="shared" si="130"/>
        <v>3404.35</v>
      </c>
      <c r="O259" s="37">
        <f t="shared" si="130"/>
        <v>3750.55</v>
      </c>
      <c r="P259" s="37">
        <f t="shared" si="130"/>
        <v>4252.55</v>
      </c>
      <c r="Q259" s="37" t="str">
        <f t="shared" si="130"/>
        <v>-</v>
      </c>
    </row>
    <row r="260" spans="2:17">
      <c r="B260" s="75">
        <f t="shared" si="133"/>
        <v>10</v>
      </c>
      <c r="C260" s="37">
        <f t="shared" ref="C260:H260" si="139">C239</f>
        <v>2758.09</v>
      </c>
      <c r="D260" s="37">
        <f t="shared" si="139"/>
        <v>3058.14</v>
      </c>
      <c r="E260" s="37">
        <f t="shared" si="139"/>
        <v>3288.95</v>
      </c>
      <c r="F260" s="37">
        <f t="shared" si="139"/>
        <v>3519.77</v>
      </c>
      <c r="G260" s="37">
        <f t="shared" si="139"/>
        <v>3958.28</v>
      </c>
      <c r="H260" s="37" t="str">
        <f t="shared" si="139"/>
        <v>-</v>
      </c>
      <c r="K260" s="75">
        <f t="shared" si="132"/>
        <v>10</v>
      </c>
      <c r="L260" s="37">
        <f t="shared" si="130"/>
        <v>2758.09</v>
      </c>
      <c r="M260" s="37">
        <f t="shared" si="130"/>
        <v>3058.14</v>
      </c>
      <c r="N260" s="37">
        <f t="shared" si="130"/>
        <v>3288.95</v>
      </c>
      <c r="O260" s="37">
        <f t="shared" si="130"/>
        <v>3519.77</v>
      </c>
      <c r="P260" s="37">
        <f t="shared" si="130"/>
        <v>3958.28</v>
      </c>
      <c r="Q260" s="37" t="str">
        <f t="shared" si="130"/>
        <v>-</v>
      </c>
    </row>
    <row r="261" spans="2:17">
      <c r="B261" s="75" t="s">
        <v>251</v>
      </c>
      <c r="C261" s="37">
        <f t="shared" ref="C261:H261" si="140">C240</f>
        <v>2436.14</v>
      </c>
      <c r="D261" s="37">
        <f t="shared" si="140"/>
        <v>2700.39</v>
      </c>
      <c r="E261" s="37">
        <f t="shared" si="140"/>
        <v>2838.89</v>
      </c>
      <c r="F261" s="37">
        <f t="shared" si="140"/>
        <v>3208.16</v>
      </c>
      <c r="G261" s="37">
        <f t="shared" si="140"/>
        <v>3496.68</v>
      </c>
      <c r="H261" s="37" t="str">
        <f t="shared" si="140"/>
        <v>-</v>
      </c>
      <c r="K261" s="75">
        <f t="shared" si="132"/>
        <v>9</v>
      </c>
      <c r="L261" s="37">
        <f t="shared" si="130"/>
        <v>2436.14</v>
      </c>
      <c r="M261" s="37">
        <f t="shared" si="130"/>
        <v>2700.39</v>
      </c>
      <c r="N261" s="37">
        <f t="shared" si="130"/>
        <v>2838.89</v>
      </c>
      <c r="O261" s="37">
        <f t="shared" si="130"/>
        <v>3208.16</v>
      </c>
      <c r="P261" s="37">
        <f t="shared" si="130"/>
        <v>3496.68</v>
      </c>
      <c r="Q261" s="37" t="str">
        <f t="shared" si="130"/>
        <v>-</v>
      </c>
    </row>
    <row r="262" spans="2:17">
      <c r="B262" s="75" t="s">
        <v>252</v>
      </c>
      <c r="C262" s="37">
        <f>C240</f>
        <v>2436.14</v>
      </c>
      <c r="D262" s="37">
        <f>D240</f>
        <v>2700.39</v>
      </c>
      <c r="E262" s="37">
        <f>F241</f>
        <v>2746.57</v>
      </c>
      <c r="F262" s="37">
        <f>E240</f>
        <v>2838.89</v>
      </c>
      <c r="G262" s="37">
        <f>F240</f>
        <v>3208.16</v>
      </c>
      <c r="H262" s="37" t="str">
        <f>H240</f>
        <v>-</v>
      </c>
      <c r="K262" s="75">
        <f t="shared" si="132"/>
        <v>8</v>
      </c>
      <c r="L262" s="37">
        <f t="shared" si="130"/>
        <v>2280.34</v>
      </c>
      <c r="M262" s="37">
        <f t="shared" si="130"/>
        <v>2527.29</v>
      </c>
      <c r="N262" s="37">
        <f t="shared" si="130"/>
        <v>2642.71</v>
      </c>
      <c r="O262" s="37">
        <f t="shared" si="130"/>
        <v>2746.57</v>
      </c>
      <c r="P262" s="37">
        <f t="shared" si="130"/>
        <v>2861.96</v>
      </c>
      <c r="Q262" s="37">
        <f t="shared" si="130"/>
        <v>2934.67</v>
      </c>
    </row>
    <row r="263" spans="2:17">
      <c r="B263" s="75">
        <f t="shared" ref="B263:B271" si="141">B199</f>
        <v>8</v>
      </c>
      <c r="C263" s="37">
        <f>C241</f>
        <v>2280.34</v>
      </c>
      <c r="D263" s="37">
        <f>D241</f>
        <v>2527.29</v>
      </c>
      <c r="E263" s="37">
        <f>E241</f>
        <v>2642.71</v>
      </c>
      <c r="F263" s="37">
        <f>F241</f>
        <v>2746.57</v>
      </c>
      <c r="G263" s="37">
        <f>G241</f>
        <v>2861.96</v>
      </c>
      <c r="H263" s="37">
        <f>H241</f>
        <v>2934.67</v>
      </c>
      <c r="K263" s="75">
        <f t="shared" si="132"/>
        <v>7</v>
      </c>
      <c r="L263" s="37">
        <f t="shared" si="130"/>
        <v>2134.9499999999998</v>
      </c>
      <c r="M263" s="37">
        <f t="shared" si="130"/>
        <v>2365.73</v>
      </c>
      <c r="N263" s="37">
        <f t="shared" si="130"/>
        <v>2515.75</v>
      </c>
      <c r="O263" s="37">
        <f t="shared" si="130"/>
        <v>2631.17</v>
      </c>
      <c r="P263" s="37">
        <f t="shared" si="130"/>
        <v>2717.71</v>
      </c>
      <c r="Q263" s="37">
        <f t="shared" si="130"/>
        <v>2798.5</v>
      </c>
    </row>
    <row r="264" spans="2:17">
      <c r="B264" s="75">
        <f t="shared" si="141"/>
        <v>7</v>
      </c>
      <c r="C264" s="37">
        <f t="shared" ref="C264:H264" si="142">C242</f>
        <v>2134.9499999999998</v>
      </c>
      <c r="D264" s="37">
        <f t="shared" si="142"/>
        <v>2365.73</v>
      </c>
      <c r="E264" s="37">
        <f t="shared" si="142"/>
        <v>2515.75</v>
      </c>
      <c r="F264" s="37">
        <f t="shared" si="142"/>
        <v>2631.17</v>
      </c>
      <c r="G264" s="37">
        <f t="shared" si="142"/>
        <v>2717.71</v>
      </c>
      <c r="H264" s="37">
        <f t="shared" si="142"/>
        <v>2798.5</v>
      </c>
      <c r="K264" s="75">
        <f t="shared" si="132"/>
        <v>6</v>
      </c>
      <c r="L264" s="37">
        <f t="shared" si="130"/>
        <v>2093.38</v>
      </c>
      <c r="M264" s="37">
        <f t="shared" si="130"/>
        <v>2319.5700000000002</v>
      </c>
      <c r="N264" s="37">
        <f t="shared" si="130"/>
        <v>2434.9699999999998</v>
      </c>
      <c r="O264" s="37">
        <f t="shared" si="130"/>
        <v>2544.61</v>
      </c>
      <c r="P264" s="37">
        <f t="shared" si="130"/>
        <v>2619.63</v>
      </c>
      <c r="Q264" s="37">
        <f t="shared" si="130"/>
        <v>2694.64</v>
      </c>
    </row>
    <row r="265" spans="2:17">
      <c r="B265" s="75">
        <f t="shared" si="141"/>
        <v>6</v>
      </c>
      <c r="C265" s="37">
        <f t="shared" ref="C265:H265" si="143">C243</f>
        <v>2093.38</v>
      </c>
      <c r="D265" s="37">
        <f t="shared" si="143"/>
        <v>2319.5700000000002</v>
      </c>
      <c r="E265" s="37">
        <f t="shared" si="143"/>
        <v>2434.9699999999998</v>
      </c>
      <c r="F265" s="37">
        <f t="shared" si="143"/>
        <v>2544.61</v>
      </c>
      <c r="G265" s="37">
        <f t="shared" si="143"/>
        <v>2619.63</v>
      </c>
      <c r="H265" s="37">
        <f t="shared" si="143"/>
        <v>2694.64</v>
      </c>
      <c r="K265" s="75">
        <f t="shared" si="132"/>
        <v>5</v>
      </c>
      <c r="L265" s="37">
        <f t="shared" si="130"/>
        <v>2005.67</v>
      </c>
      <c r="M265" s="37">
        <f t="shared" si="130"/>
        <v>2221.4899999999998</v>
      </c>
      <c r="N265" s="37">
        <f t="shared" si="130"/>
        <v>2331.12</v>
      </c>
      <c r="O265" s="37">
        <f t="shared" si="130"/>
        <v>2440.75</v>
      </c>
      <c r="P265" s="37">
        <f t="shared" si="130"/>
        <v>2521.5300000000002</v>
      </c>
      <c r="Q265" s="37">
        <f t="shared" si="130"/>
        <v>2579.2399999999998</v>
      </c>
    </row>
    <row r="266" spans="2:17">
      <c r="B266" s="75">
        <f t="shared" si="141"/>
        <v>5</v>
      </c>
      <c r="C266" s="37">
        <f t="shared" ref="C266:H266" si="144">C244</f>
        <v>2005.67</v>
      </c>
      <c r="D266" s="37">
        <f t="shared" si="144"/>
        <v>2221.4899999999998</v>
      </c>
      <c r="E266" s="37">
        <f t="shared" si="144"/>
        <v>2331.12</v>
      </c>
      <c r="F266" s="37">
        <f t="shared" si="144"/>
        <v>2440.75</v>
      </c>
      <c r="G266" s="37">
        <f t="shared" si="144"/>
        <v>2521.5300000000002</v>
      </c>
      <c r="H266" s="37">
        <f t="shared" si="144"/>
        <v>2579.2399999999998</v>
      </c>
      <c r="K266" s="75">
        <f t="shared" si="132"/>
        <v>4</v>
      </c>
      <c r="L266" s="37">
        <f t="shared" si="130"/>
        <v>1906.43</v>
      </c>
      <c r="M266" s="37">
        <f t="shared" si="130"/>
        <v>2111.86</v>
      </c>
      <c r="N266" s="37">
        <f t="shared" si="130"/>
        <v>2250.33</v>
      </c>
      <c r="O266" s="37">
        <f t="shared" si="130"/>
        <v>2331.12</v>
      </c>
      <c r="P266" s="37">
        <f t="shared" si="130"/>
        <v>2411.9</v>
      </c>
      <c r="Q266" s="37">
        <f t="shared" si="130"/>
        <v>2459.1999999999998</v>
      </c>
    </row>
    <row r="267" spans="2:17">
      <c r="B267" s="75">
        <f t="shared" si="141"/>
        <v>4</v>
      </c>
      <c r="C267" s="37">
        <f t="shared" ref="C267:H267" si="145">C245</f>
        <v>1906.43</v>
      </c>
      <c r="D267" s="37">
        <f t="shared" si="145"/>
        <v>2111.86</v>
      </c>
      <c r="E267" s="37">
        <f t="shared" si="145"/>
        <v>2250.33</v>
      </c>
      <c r="F267" s="37">
        <f t="shared" si="145"/>
        <v>2331.12</v>
      </c>
      <c r="G267" s="37">
        <f t="shared" si="145"/>
        <v>2411.9</v>
      </c>
      <c r="H267" s="37">
        <f t="shared" si="145"/>
        <v>2459.1999999999998</v>
      </c>
      <c r="K267" s="75">
        <f t="shared" si="132"/>
        <v>3</v>
      </c>
      <c r="L267" s="37">
        <f t="shared" si="130"/>
        <v>1875.29</v>
      </c>
      <c r="M267" s="37">
        <f t="shared" si="130"/>
        <v>2077.2199999999998</v>
      </c>
      <c r="N267" s="37">
        <f t="shared" si="130"/>
        <v>2134.9499999999998</v>
      </c>
      <c r="O267" s="37">
        <f t="shared" si="130"/>
        <v>2227.2600000000002</v>
      </c>
      <c r="P267" s="37">
        <f t="shared" si="130"/>
        <v>2296.5100000000002</v>
      </c>
      <c r="Q267" s="37">
        <f t="shared" si="130"/>
        <v>2359.9699999999998</v>
      </c>
    </row>
    <row r="268" spans="2:17">
      <c r="B268" s="75">
        <f t="shared" si="141"/>
        <v>3</v>
      </c>
      <c r="C268" s="37">
        <f t="shared" ref="C268:H268" si="146">C246</f>
        <v>1875.29</v>
      </c>
      <c r="D268" s="37">
        <f t="shared" si="146"/>
        <v>2077.2199999999998</v>
      </c>
      <c r="E268" s="37">
        <f t="shared" si="146"/>
        <v>2134.9499999999998</v>
      </c>
      <c r="F268" s="37">
        <f t="shared" si="146"/>
        <v>2227.2600000000002</v>
      </c>
      <c r="G268" s="37">
        <f t="shared" si="146"/>
        <v>2296.5100000000002</v>
      </c>
      <c r="H268" s="37">
        <f t="shared" si="146"/>
        <v>2359.9699999999998</v>
      </c>
      <c r="K268" s="75" t="str">
        <f t="shared" si="132"/>
        <v>2Ü</v>
      </c>
      <c r="L268" s="37">
        <f t="shared" si="130"/>
        <v>1792.17</v>
      </c>
      <c r="M268" s="37">
        <f t="shared" si="130"/>
        <v>1984.92</v>
      </c>
      <c r="N268" s="37">
        <f t="shared" si="130"/>
        <v>2054.16</v>
      </c>
      <c r="O268" s="37">
        <f t="shared" si="130"/>
        <v>2146.48</v>
      </c>
      <c r="P268" s="37">
        <f t="shared" si="130"/>
        <v>2209.94</v>
      </c>
      <c r="Q268" s="37">
        <f t="shared" si="130"/>
        <v>2257.2800000000002</v>
      </c>
    </row>
    <row r="269" spans="2:17">
      <c r="B269" s="75" t="str">
        <f t="shared" si="141"/>
        <v>2Ü</v>
      </c>
      <c r="C269" s="37">
        <f t="shared" ref="C269:H269" si="147">C247</f>
        <v>1792.17</v>
      </c>
      <c r="D269" s="37">
        <f t="shared" si="147"/>
        <v>1984.92</v>
      </c>
      <c r="E269" s="37">
        <f t="shared" si="147"/>
        <v>2054.16</v>
      </c>
      <c r="F269" s="37">
        <f t="shared" si="147"/>
        <v>2146.48</v>
      </c>
      <c r="G269" s="37">
        <f t="shared" si="147"/>
        <v>2209.94</v>
      </c>
      <c r="H269" s="37">
        <f t="shared" si="147"/>
        <v>2257.2800000000002</v>
      </c>
      <c r="K269" s="75">
        <f t="shared" si="132"/>
        <v>2</v>
      </c>
      <c r="L269" s="37">
        <f t="shared" ref="L269:Q270" si="148">C248</f>
        <v>1729.86</v>
      </c>
      <c r="M269" s="37">
        <f t="shared" si="148"/>
        <v>1915.66</v>
      </c>
      <c r="N269" s="37">
        <f t="shared" si="148"/>
        <v>1973.37</v>
      </c>
      <c r="O269" s="37">
        <f t="shared" si="148"/>
        <v>2031.08</v>
      </c>
      <c r="P269" s="37">
        <f t="shared" si="148"/>
        <v>2157.9899999999998</v>
      </c>
      <c r="Q269" s="37">
        <f t="shared" si="148"/>
        <v>2290.73</v>
      </c>
    </row>
    <row r="270" spans="2:17">
      <c r="B270" s="75">
        <f t="shared" si="141"/>
        <v>2</v>
      </c>
      <c r="C270" s="37">
        <f t="shared" ref="C270:H270" si="149">C248</f>
        <v>1729.86</v>
      </c>
      <c r="D270" s="37">
        <f t="shared" si="149"/>
        <v>1915.66</v>
      </c>
      <c r="E270" s="37">
        <f t="shared" si="149"/>
        <v>1973.37</v>
      </c>
      <c r="F270" s="37">
        <f t="shared" si="149"/>
        <v>2031.08</v>
      </c>
      <c r="G270" s="37">
        <f t="shared" si="149"/>
        <v>2157.9899999999998</v>
      </c>
      <c r="H270" s="37">
        <f t="shared" si="149"/>
        <v>2290.73</v>
      </c>
      <c r="K270" s="75">
        <f t="shared" si="132"/>
        <v>1</v>
      </c>
      <c r="L270" s="37" t="str">
        <f t="shared" si="148"/>
        <v>-</v>
      </c>
      <c r="M270" s="37">
        <f t="shared" si="148"/>
        <v>1541.78</v>
      </c>
      <c r="N270" s="37">
        <f t="shared" si="148"/>
        <v>1569.47</v>
      </c>
      <c r="O270" s="37">
        <f t="shared" si="148"/>
        <v>1604.1</v>
      </c>
      <c r="P270" s="37">
        <f t="shared" si="148"/>
        <v>1636.39</v>
      </c>
      <c r="Q270" s="37">
        <f t="shared" si="148"/>
        <v>1719.48</v>
      </c>
    </row>
    <row r="271" spans="2:17">
      <c r="B271" s="75">
        <f t="shared" si="141"/>
        <v>1</v>
      </c>
      <c r="C271" s="37" t="str">
        <f t="shared" ref="C271:H271" si="150">C249</f>
        <v>-</v>
      </c>
      <c r="D271" s="37">
        <f t="shared" si="150"/>
        <v>1541.78</v>
      </c>
      <c r="E271" s="37">
        <f t="shared" si="150"/>
        <v>1569.47</v>
      </c>
      <c r="F271" s="37">
        <f t="shared" si="150"/>
        <v>1604.1</v>
      </c>
      <c r="G271" s="37">
        <f t="shared" si="150"/>
        <v>1636.39</v>
      </c>
      <c r="H271" s="37">
        <f t="shared" si="150"/>
        <v>1719.48</v>
      </c>
    </row>
    <row r="274" spans="1:17">
      <c r="B274" s="172" t="s">
        <v>262</v>
      </c>
      <c r="C274" s="247">
        <v>90</v>
      </c>
      <c r="K274" s="248" t="s">
        <v>272</v>
      </c>
    </row>
    <row r="275" spans="1:17">
      <c r="A275" s="155" t="s">
        <v>253</v>
      </c>
      <c r="B275" s="75" t="s">
        <v>254</v>
      </c>
      <c r="C275" s="75" t="str">
        <f t="shared" ref="C275:H275" si="151">C211</f>
        <v>Stufe 1</v>
      </c>
      <c r="D275" s="75" t="str">
        <f t="shared" si="151"/>
        <v>Stufe 2</v>
      </c>
      <c r="E275" s="75" t="str">
        <f t="shared" si="151"/>
        <v>Stufe 3</v>
      </c>
      <c r="F275" s="75" t="str">
        <f t="shared" si="151"/>
        <v>Stufe 4</v>
      </c>
      <c r="G275" s="75" t="str">
        <f t="shared" si="151"/>
        <v>Stufe 5</v>
      </c>
      <c r="H275" s="75" t="str">
        <f t="shared" si="151"/>
        <v>Stufe 6</v>
      </c>
      <c r="J275" s="155" t="str">
        <f>A275</f>
        <v>ab Mrz 2014</v>
      </c>
      <c r="K275" s="75">
        <v>2014</v>
      </c>
      <c r="L275" s="75" t="str">
        <f t="shared" ref="L275:Q275" si="152">C253</f>
        <v>Stufe 1</v>
      </c>
      <c r="M275" s="75" t="str">
        <f t="shared" si="152"/>
        <v>Stufe 2</v>
      </c>
      <c r="N275" s="75" t="str">
        <f t="shared" si="152"/>
        <v>Stufe 3</v>
      </c>
      <c r="O275" s="75" t="str">
        <f t="shared" si="152"/>
        <v>Stufe 4</v>
      </c>
      <c r="P275" s="75" t="str">
        <f t="shared" si="152"/>
        <v>Stufe 5</v>
      </c>
      <c r="Q275" s="75" t="str">
        <f t="shared" si="152"/>
        <v>Stufe 6</v>
      </c>
    </row>
    <row r="276" spans="1:17">
      <c r="B276" s="75" t="str">
        <f>B254</f>
        <v>15Ü</v>
      </c>
      <c r="C276" s="37">
        <f t="shared" ref="C276:H276" si="153">IF(C254="-","-",IF((ROUND(C254*$B$274,2)-C254)&lt;$C$274,C254+$C$274,ROUND(C254*$B$274,2)))</f>
        <v>5140.8500000000004</v>
      </c>
      <c r="D276" s="37">
        <f t="shared" si="153"/>
        <v>5705.47</v>
      </c>
      <c r="E276" s="37">
        <f t="shared" si="153"/>
        <v>6240.35</v>
      </c>
      <c r="F276" s="37">
        <f t="shared" si="153"/>
        <v>6596.95</v>
      </c>
      <c r="G276" s="37">
        <f t="shared" si="153"/>
        <v>6680.16</v>
      </c>
      <c r="H276" s="37" t="str">
        <f t="shared" si="153"/>
        <v>-</v>
      </c>
      <c r="K276" s="75" t="str">
        <f>K254</f>
        <v>15Ü</v>
      </c>
      <c r="L276" s="37">
        <f t="shared" ref="L276:Q276" si="154">IF(L254="-","-",IF((ROUND(L254*$B$274,2)-L254)&lt;$C$274,L254+$C$274,ROUND(L254*$B$274,2)))</f>
        <v>5140.8500000000004</v>
      </c>
      <c r="M276" s="37">
        <f t="shared" si="154"/>
        <v>5705.47</v>
      </c>
      <c r="N276" s="37">
        <f t="shared" si="154"/>
        <v>6240.35</v>
      </c>
      <c r="O276" s="37">
        <f t="shared" si="154"/>
        <v>6596.95</v>
      </c>
      <c r="P276" s="37">
        <f t="shared" si="154"/>
        <v>6680.16</v>
      </c>
      <c r="Q276" s="37" t="str">
        <f t="shared" si="154"/>
        <v>-</v>
      </c>
    </row>
    <row r="277" spans="1:17">
      <c r="B277" s="75">
        <f t="shared" ref="B277:B293" si="155">B255</f>
        <v>15</v>
      </c>
      <c r="C277" s="37">
        <f t="shared" ref="C277:H277" si="156">IF(C255="-","-",IF((ROUND(C255*$B$274,2)-C255)&lt;$C$274,C255+$C$274,ROUND(C255*$B$274,2)))</f>
        <v>4081.78</v>
      </c>
      <c r="D277" s="37">
        <f t="shared" si="156"/>
        <v>4528.7299999999996</v>
      </c>
      <c r="E277" s="37">
        <f t="shared" si="156"/>
        <v>4695.13</v>
      </c>
      <c r="F277" s="37">
        <f t="shared" si="156"/>
        <v>5289.44</v>
      </c>
      <c r="G277" s="37">
        <f t="shared" si="156"/>
        <v>5741.12</v>
      </c>
      <c r="H277" s="37" t="str">
        <f t="shared" si="156"/>
        <v>-</v>
      </c>
      <c r="K277" s="75">
        <f t="shared" ref="K277:K292" si="157">K255</f>
        <v>15</v>
      </c>
      <c r="L277" s="37">
        <f t="shared" ref="L277:Q277" si="158">IF(L255="-","-",IF((ROUND(L255*$B$274,2)-L255)&lt;$C$274,L255+$C$274,ROUND(L255*$B$274,2)))</f>
        <v>4081.78</v>
      </c>
      <c r="M277" s="37">
        <f t="shared" si="158"/>
        <v>4528.7299999999996</v>
      </c>
      <c r="N277" s="37">
        <f t="shared" si="158"/>
        <v>4695.13</v>
      </c>
      <c r="O277" s="37">
        <f t="shared" si="158"/>
        <v>5289.44</v>
      </c>
      <c r="P277" s="37">
        <f t="shared" si="158"/>
        <v>5741.12</v>
      </c>
      <c r="Q277" s="37" t="str">
        <f t="shared" si="158"/>
        <v>-</v>
      </c>
    </row>
    <row r="278" spans="1:17">
      <c r="B278" s="75">
        <f t="shared" si="155"/>
        <v>14</v>
      </c>
      <c r="C278" s="37">
        <f t="shared" ref="C278:H278" si="159">IF(C256="-","-",IF((ROUND(C256*$B$274,2)-C256)&lt;$C$274,C256+$C$274,ROUND(C256*$B$274,2)))</f>
        <v>3696.66</v>
      </c>
      <c r="D278" s="37">
        <f t="shared" si="159"/>
        <v>4100.79</v>
      </c>
      <c r="E278" s="37">
        <f t="shared" si="159"/>
        <v>4338.5200000000004</v>
      </c>
      <c r="F278" s="37">
        <f t="shared" si="159"/>
        <v>4695.13</v>
      </c>
      <c r="G278" s="37">
        <f t="shared" si="159"/>
        <v>5241.91</v>
      </c>
      <c r="H278" s="37" t="str">
        <f t="shared" si="159"/>
        <v>-</v>
      </c>
      <c r="K278" s="75">
        <f t="shared" si="157"/>
        <v>14</v>
      </c>
      <c r="L278" s="37">
        <f t="shared" ref="L278:Q278" si="160">IF(L256="-","-",IF((ROUND(L256*$B$274,2)-L256)&lt;$C$274,L256+$C$274,ROUND(L256*$B$274,2)))</f>
        <v>3696.66</v>
      </c>
      <c r="M278" s="37">
        <f t="shared" si="160"/>
        <v>4100.79</v>
      </c>
      <c r="N278" s="37">
        <f t="shared" si="160"/>
        <v>4338.5200000000004</v>
      </c>
      <c r="O278" s="37">
        <f t="shared" si="160"/>
        <v>4695.13</v>
      </c>
      <c r="P278" s="37">
        <f t="shared" si="160"/>
        <v>5241.91</v>
      </c>
      <c r="Q278" s="37" t="str">
        <f t="shared" si="160"/>
        <v>-</v>
      </c>
    </row>
    <row r="279" spans="1:17">
      <c r="B279" s="75">
        <f t="shared" si="155"/>
        <v>13</v>
      </c>
      <c r="C279" s="37">
        <f t="shared" ref="C279:H279" si="161">IF(C257="-","-",IF((ROUND(C257*$B$274,2)-C257)&lt;$C$274,C257+$C$274,ROUND(C257*$B$274,2)))</f>
        <v>3407.83</v>
      </c>
      <c r="D279" s="37">
        <f t="shared" si="161"/>
        <v>3779.87</v>
      </c>
      <c r="E279" s="37">
        <f t="shared" si="161"/>
        <v>3981.95</v>
      </c>
      <c r="F279" s="37">
        <f t="shared" si="161"/>
        <v>4374.16</v>
      </c>
      <c r="G279" s="37">
        <f t="shared" si="161"/>
        <v>4920.95</v>
      </c>
      <c r="H279" s="37" t="str">
        <f t="shared" si="161"/>
        <v>-</v>
      </c>
      <c r="K279" s="75">
        <f t="shared" si="157"/>
        <v>13</v>
      </c>
      <c r="L279" s="37">
        <f t="shared" ref="L279:Q279" si="162">IF(L257="-","-",IF((ROUND(L257*$B$274,2)-L257)&lt;$C$274,L257+$C$274,ROUND(L257*$B$274,2)))</f>
        <v>3407.83</v>
      </c>
      <c r="M279" s="37">
        <f t="shared" si="162"/>
        <v>3779.87</v>
      </c>
      <c r="N279" s="37">
        <f t="shared" si="162"/>
        <v>3981.95</v>
      </c>
      <c r="O279" s="37">
        <f t="shared" si="162"/>
        <v>4374.16</v>
      </c>
      <c r="P279" s="37">
        <f t="shared" si="162"/>
        <v>4920.95</v>
      </c>
      <c r="Q279" s="37" t="str">
        <f t="shared" si="162"/>
        <v>-</v>
      </c>
    </row>
    <row r="280" spans="1:17">
      <c r="B280" s="75">
        <f t="shared" si="155"/>
        <v>12</v>
      </c>
      <c r="C280" s="37">
        <f t="shared" ref="C280:H280" si="163">IF(C258="-","-",IF((ROUND(C258*$B$274,2)-C258)&lt;$C$274,C258+$C$274,ROUND(C258*$B$274,2)))</f>
        <v>3055.83</v>
      </c>
      <c r="D280" s="37">
        <f t="shared" si="163"/>
        <v>3387.62</v>
      </c>
      <c r="E280" s="37">
        <f t="shared" si="163"/>
        <v>3863.07</v>
      </c>
      <c r="F280" s="37">
        <f t="shared" si="163"/>
        <v>4279.1000000000004</v>
      </c>
      <c r="G280" s="37">
        <f t="shared" si="163"/>
        <v>4813.99</v>
      </c>
      <c r="H280" s="37" t="str">
        <f t="shared" si="163"/>
        <v>-</v>
      </c>
      <c r="K280" s="75">
        <f t="shared" si="157"/>
        <v>12</v>
      </c>
      <c r="L280" s="37">
        <f t="shared" ref="L280:Q280" si="164">IF(L258="-","-",IF((ROUND(L258*$B$274,2)-L258)&lt;$C$274,L258+$C$274,ROUND(L258*$B$274,2)))</f>
        <v>3055.83</v>
      </c>
      <c r="M280" s="37">
        <f t="shared" si="164"/>
        <v>3387.62</v>
      </c>
      <c r="N280" s="37">
        <f t="shared" si="164"/>
        <v>3863.07</v>
      </c>
      <c r="O280" s="37">
        <f t="shared" si="164"/>
        <v>4279.1000000000004</v>
      </c>
      <c r="P280" s="37">
        <f t="shared" si="164"/>
        <v>4813.99</v>
      </c>
      <c r="Q280" s="37" t="str">
        <f t="shared" si="164"/>
        <v>-</v>
      </c>
    </row>
    <row r="281" spans="1:17">
      <c r="B281" s="75">
        <f t="shared" si="155"/>
        <v>11</v>
      </c>
      <c r="C281" s="37">
        <f t="shared" ref="C281:H281" si="165">IF(C259="-","-",IF((ROUND(C259*$B$274,2)-C259)&lt;$C$274,C259+$C$274,ROUND(C259*$B$274,2)))</f>
        <v>2951.96</v>
      </c>
      <c r="D281" s="37">
        <f t="shared" si="165"/>
        <v>3268.78</v>
      </c>
      <c r="E281" s="37">
        <f t="shared" si="165"/>
        <v>3506.48</v>
      </c>
      <c r="F281" s="37">
        <f t="shared" si="165"/>
        <v>3863.07</v>
      </c>
      <c r="G281" s="37">
        <f t="shared" si="165"/>
        <v>4380.13</v>
      </c>
      <c r="H281" s="37" t="str">
        <f t="shared" si="165"/>
        <v>-</v>
      </c>
      <c r="K281" s="75">
        <f t="shared" si="157"/>
        <v>11</v>
      </c>
      <c r="L281" s="37">
        <f t="shared" ref="L281:Q281" si="166">IF(L259="-","-",IF((ROUND(L259*$B$274,2)-L259)&lt;$C$274,L259+$C$274,ROUND(L259*$B$274,2)))</f>
        <v>2951.96</v>
      </c>
      <c r="M281" s="37">
        <f t="shared" si="166"/>
        <v>3268.78</v>
      </c>
      <c r="N281" s="37">
        <f t="shared" si="166"/>
        <v>3506.48</v>
      </c>
      <c r="O281" s="37">
        <f t="shared" si="166"/>
        <v>3863.07</v>
      </c>
      <c r="P281" s="37">
        <f t="shared" si="166"/>
        <v>4380.13</v>
      </c>
      <c r="Q281" s="37" t="str">
        <f t="shared" si="166"/>
        <v>-</v>
      </c>
    </row>
    <row r="282" spans="1:17">
      <c r="B282" s="75">
        <f t="shared" si="155"/>
        <v>10</v>
      </c>
      <c r="C282" s="37">
        <f t="shared" ref="C282:H282" si="167">IF(C260="-","-",IF((ROUND(C260*$B$274,2)-C260)&lt;$C$274,C260+$C$274,ROUND(C260*$B$274,2)))</f>
        <v>2848.09</v>
      </c>
      <c r="D282" s="37">
        <f t="shared" si="167"/>
        <v>3149.88</v>
      </c>
      <c r="E282" s="37">
        <f t="shared" si="167"/>
        <v>3387.62</v>
      </c>
      <c r="F282" s="37">
        <f t="shared" si="167"/>
        <v>3625.36</v>
      </c>
      <c r="G282" s="37">
        <f t="shared" si="167"/>
        <v>4077.03</v>
      </c>
      <c r="H282" s="37" t="str">
        <f t="shared" si="167"/>
        <v>-</v>
      </c>
      <c r="K282" s="75">
        <f t="shared" si="157"/>
        <v>10</v>
      </c>
      <c r="L282" s="37">
        <f t="shared" ref="L282:Q282" si="168">IF(L260="-","-",IF((ROUND(L260*$B$274,2)-L260)&lt;$C$274,L260+$C$274,ROUND(L260*$B$274,2)))</f>
        <v>2848.09</v>
      </c>
      <c r="M282" s="37">
        <f t="shared" si="168"/>
        <v>3149.88</v>
      </c>
      <c r="N282" s="37">
        <f t="shared" si="168"/>
        <v>3387.62</v>
      </c>
      <c r="O282" s="37">
        <f t="shared" si="168"/>
        <v>3625.36</v>
      </c>
      <c r="P282" s="37">
        <f t="shared" si="168"/>
        <v>4077.03</v>
      </c>
      <c r="Q282" s="37" t="str">
        <f t="shared" si="168"/>
        <v>-</v>
      </c>
    </row>
    <row r="283" spans="1:17">
      <c r="B283" s="75" t="str">
        <f t="shared" si="155"/>
        <v>9b</v>
      </c>
      <c r="C283" s="37">
        <f t="shared" ref="C283:H283" si="169">IF(C261="-","-",IF((ROUND(C261*$B$274,2)-C261)&lt;$C$274,C261+$C$274,ROUND(C261*$B$274,2)))</f>
        <v>2526.14</v>
      </c>
      <c r="D283" s="37">
        <f t="shared" si="169"/>
        <v>2790.39</v>
      </c>
      <c r="E283" s="37">
        <f t="shared" si="169"/>
        <v>2928.89</v>
      </c>
      <c r="F283" s="37">
        <f t="shared" si="169"/>
        <v>3304.4</v>
      </c>
      <c r="G283" s="37">
        <f t="shared" si="169"/>
        <v>3601.58</v>
      </c>
      <c r="H283" s="37" t="str">
        <f t="shared" si="169"/>
        <v>-</v>
      </c>
      <c r="K283" s="75">
        <f t="shared" si="157"/>
        <v>9</v>
      </c>
      <c r="L283" s="37">
        <f t="shared" ref="L283:Q283" si="170">IF(L261="-","-",IF((ROUND(L261*$B$274,2)-L261)&lt;$C$274,L261+$C$274,ROUND(L261*$B$274,2)))</f>
        <v>2526.14</v>
      </c>
      <c r="M283" s="37">
        <f t="shared" si="170"/>
        <v>2790.39</v>
      </c>
      <c r="N283" s="37">
        <f t="shared" si="170"/>
        <v>2928.89</v>
      </c>
      <c r="O283" s="37">
        <f t="shared" si="170"/>
        <v>3304.4</v>
      </c>
      <c r="P283" s="37">
        <f t="shared" si="170"/>
        <v>3601.58</v>
      </c>
      <c r="Q283" s="37" t="str">
        <f t="shared" si="170"/>
        <v>-</v>
      </c>
    </row>
    <row r="284" spans="1:17">
      <c r="B284" s="75" t="str">
        <f t="shared" si="155"/>
        <v>9a</v>
      </c>
      <c r="C284" s="37">
        <f t="shared" ref="C284:H284" si="171">IF(C262="-","-",IF((ROUND(C262*$B$274,2)-C262)&lt;$C$274,C262+$C$274,ROUND(C262*$B$274,2)))</f>
        <v>2526.14</v>
      </c>
      <c r="D284" s="37">
        <f t="shared" si="171"/>
        <v>2790.39</v>
      </c>
      <c r="E284" s="37">
        <f t="shared" si="171"/>
        <v>2836.57</v>
      </c>
      <c r="F284" s="37">
        <f t="shared" si="171"/>
        <v>2928.89</v>
      </c>
      <c r="G284" s="37">
        <f t="shared" si="171"/>
        <v>3304.4</v>
      </c>
      <c r="H284" s="37" t="str">
        <f t="shared" si="171"/>
        <v>-</v>
      </c>
      <c r="K284" s="75">
        <f t="shared" si="157"/>
        <v>8</v>
      </c>
      <c r="L284" s="37">
        <f t="shared" ref="L284:Q284" si="172">IF(L262="-","-",IF((ROUND(L262*$B$274,2)-L262)&lt;$C$274,L262+$C$274,ROUND(L262*$B$274,2)))</f>
        <v>2370.34</v>
      </c>
      <c r="M284" s="37">
        <f t="shared" si="172"/>
        <v>2617.29</v>
      </c>
      <c r="N284" s="37">
        <f t="shared" si="172"/>
        <v>2732.71</v>
      </c>
      <c r="O284" s="37">
        <f t="shared" si="172"/>
        <v>2836.57</v>
      </c>
      <c r="P284" s="37">
        <f t="shared" si="172"/>
        <v>2951.96</v>
      </c>
      <c r="Q284" s="37">
        <f t="shared" si="172"/>
        <v>3024.67</v>
      </c>
    </row>
    <row r="285" spans="1:17">
      <c r="B285" s="75">
        <f t="shared" si="155"/>
        <v>8</v>
      </c>
      <c r="C285" s="37">
        <f t="shared" ref="C285:H285" si="173">IF(C263="-","-",IF((ROUND(C263*$B$274,2)-C263)&lt;$C$274,C263+$C$274,ROUND(C263*$B$274,2)))</f>
        <v>2370.34</v>
      </c>
      <c r="D285" s="37">
        <f t="shared" si="173"/>
        <v>2617.29</v>
      </c>
      <c r="E285" s="37">
        <f t="shared" si="173"/>
        <v>2732.71</v>
      </c>
      <c r="F285" s="37">
        <f t="shared" si="173"/>
        <v>2836.57</v>
      </c>
      <c r="G285" s="37">
        <f t="shared" si="173"/>
        <v>2951.96</v>
      </c>
      <c r="H285" s="37">
        <f t="shared" si="173"/>
        <v>3024.67</v>
      </c>
      <c r="K285" s="75">
        <f t="shared" si="157"/>
        <v>7</v>
      </c>
      <c r="L285" s="37">
        <f t="shared" ref="L285:Q285" si="174">IF(L263="-","-",IF((ROUND(L263*$B$274,2)-L263)&lt;$C$274,L263+$C$274,ROUND(L263*$B$274,2)))</f>
        <v>2224.9499999999998</v>
      </c>
      <c r="M285" s="37">
        <f t="shared" si="174"/>
        <v>2455.73</v>
      </c>
      <c r="N285" s="37">
        <f t="shared" si="174"/>
        <v>2605.75</v>
      </c>
      <c r="O285" s="37">
        <f t="shared" si="174"/>
        <v>2721.17</v>
      </c>
      <c r="P285" s="37">
        <f t="shared" si="174"/>
        <v>2807.71</v>
      </c>
      <c r="Q285" s="37">
        <f t="shared" si="174"/>
        <v>2888.5</v>
      </c>
    </row>
    <row r="286" spans="1:17">
      <c r="B286" s="75">
        <f t="shared" si="155"/>
        <v>7</v>
      </c>
      <c r="C286" s="37">
        <f t="shared" ref="C286:H286" si="175">IF(C264="-","-",IF((ROUND(C264*$B$274,2)-C264)&lt;$C$274,C264+$C$274,ROUND(C264*$B$274,2)))</f>
        <v>2224.9499999999998</v>
      </c>
      <c r="D286" s="37">
        <f t="shared" si="175"/>
        <v>2455.73</v>
      </c>
      <c r="E286" s="37">
        <f t="shared" si="175"/>
        <v>2605.75</v>
      </c>
      <c r="F286" s="37">
        <f t="shared" si="175"/>
        <v>2721.17</v>
      </c>
      <c r="G286" s="37">
        <f t="shared" si="175"/>
        <v>2807.71</v>
      </c>
      <c r="H286" s="37">
        <f t="shared" si="175"/>
        <v>2888.5</v>
      </c>
      <c r="K286" s="75">
        <f t="shared" si="157"/>
        <v>6</v>
      </c>
      <c r="L286" s="37">
        <f t="shared" ref="L286:Q286" si="176">IF(L264="-","-",IF((ROUND(L264*$B$274,2)-L264)&lt;$C$274,L264+$C$274,ROUND(L264*$B$274,2)))</f>
        <v>2183.38</v>
      </c>
      <c r="M286" s="37">
        <f t="shared" si="176"/>
        <v>2409.5700000000002</v>
      </c>
      <c r="N286" s="37">
        <f t="shared" si="176"/>
        <v>2524.9699999999998</v>
      </c>
      <c r="O286" s="37">
        <f t="shared" si="176"/>
        <v>2634.61</v>
      </c>
      <c r="P286" s="37">
        <f t="shared" si="176"/>
        <v>2709.63</v>
      </c>
      <c r="Q286" s="37">
        <f t="shared" si="176"/>
        <v>2784.64</v>
      </c>
    </row>
    <row r="287" spans="1:17">
      <c r="B287" s="75">
        <f t="shared" si="155"/>
        <v>6</v>
      </c>
      <c r="C287" s="37">
        <f t="shared" ref="C287:H287" si="177">IF(C265="-","-",IF((ROUND(C265*$B$274,2)-C265)&lt;$C$274,C265+$C$274,ROUND(C265*$B$274,2)))</f>
        <v>2183.38</v>
      </c>
      <c r="D287" s="37">
        <f t="shared" si="177"/>
        <v>2409.5700000000002</v>
      </c>
      <c r="E287" s="37">
        <f t="shared" si="177"/>
        <v>2524.9699999999998</v>
      </c>
      <c r="F287" s="37">
        <f t="shared" si="177"/>
        <v>2634.61</v>
      </c>
      <c r="G287" s="37">
        <f t="shared" si="177"/>
        <v>2709.63</v>
      </c>
      <c r="H287" s="37">
        <f t="shared" si="177"/>
        <v>2784.64</v>
      </c>
      <c r="K287" s="75">
        <f t="shared" si="157"/>
        <v>5</v>
      </c>
      <c r="L287" s="37">
        <f t="shared" ref="L287:Q287" si="178">IF(L265="-","-",IF((ROUND(L265*$B$274,2)-L265)&lt;$C$274,L265+$C$274,ROUND(L265*$B$274,2)))</f>
        <v>2095.67</v>
      </c>
      <c r="M287" s="37">
        <f t="shared" si="178"/>
        <v>2311.4899999999998</v>
      </c>
      <c r="N287" s="37">
        <f t="shared" si="178"/>
        <v>2421.12</v>
      </c>
      <c r="O287" s="37">
        <f t="shared" si="178"/>
        <v>2530.75</v>
      </c>
      <c r="P287" s="37">
        <f t="shared" si="178"/>
        <v>2611.5300000000002</v>
      </c>
      <c r="Q287" s="37">
        <f t="shared" si="178"/>
        <v>2669.24</v>
      </c>
    </row>
    <row r="288" spans="1:17">
      <c r="B288" s="75">
        <f t="shared" si="155"/>
        <v>5</v>
      </c>
      <c r="C288" s="37">
        <f t="shared" ref="C288:H288" si="179">IF(C266="-","-",IF((ROUND(C266*$B$274,2)-C266)&lt;$C$274,C266+$C$274,ROUND(C266*$B$274,2)))</f>
        <v>2095.67</v>
      </c>
      <c r="D288" s="37">
        <f t="shared" si="179"/>
        <v>2311.4899999999998</v>
      </c>
      <c r="E288" s="37">
        <f t="shared" si="179"/>
        <v>2421.12</v>
      </c>
      <c r="F288" s="37">
        <f t="shared" si="179"/>
        <v>2530.75</v>
      </c>
      <c r="G288" s="37">
        <f t="shared" si="179"/>
        <v>2611.5300000000002</v>
      </c>
      <c r="H288" s="37">
        <f t="shared" si="179"/>
        <v>2669.24</v>
      </c>
      <c r="K288" s="75">
        <f t="shared" si="157"/>
        <v>4</v>
      </c>
      <c r="L288" s="37">
        <f t="shared" ref="L288:Q288" si="180">IF(L266="-","-",IF((ROUND(L266*$B$274,2)-L266)&lt;$C$274,L266+$C$274,ROUND(L266*$B$274,2)))</f>
        <v>1996.43</v>
      </c>
      <c r="M288" s="37">
        <f t="shared" si="180"/>
        <v>2201.86</v>
      </c>
      <c r="N288" s="37">
        <f t="shared" si="180"/>
        <v>2340.33</v>
      </c>
      <c r="O288" s="37">
        <f t="shared" si="180"/>
        <v>2421.12</v>
      </c>
      <c r="P288" s="37">
        <f t="shared" si="180"/>
        <v>2501.9</v>
      </c>
      <c r="Q288" s="37">
        <f t="shared" si="180"/>
        <v>2549.1999999999998</v>
      </c>
    </row>
    <row r="289" spans="1:17">
      <c r="B289" s="75">
        <f t="shared" si="155"/>
        <v>4</v>
      </c>
      <c r="C289" s="37">
        <f t="shared" ref="C289:H289" si="181">IF(C267="-","-",IF((ROUND(C267*$B$274,2)-C267)&lt;$C$274,C267+$C$274,ROUND(C267*$B$274,2)))</f>
        <v>1996.43</v>
      </c>
      <c r="D289" s="37">
        <f t="shared" si="181"/>
        <v>2201.86</v>
      </c>
      <c r="E289" s="37">
        <f t="shared" si="181"/>
        <v>2340.33</v>
      </c>
      <c r="F289" s="37">
        <f t="shared" si="181"/>
        <v>2421.12</v>
      </c>
      <c r="G289" s="37">
        <f t="shared" si="181"/>
        <v>2501.9</v>
      </c>
      <c r="H289" s="37">
        <f t="shared" si="181"/>
        <v>2549.1999999999998</v>
      </c>
      <c r="K289" s="75">
        <f t="shared" si="157"/>
        <v>3</v>
      </c>
      <c r="L289" s="37">
        <f t="shared" ref="L289:Q289" si="182">IF(L267="-","-",IF((ROUND(L267*$B$274,2)-L267)&lt;$C$274,L267+$C$274,ROUND(L267*$B$274,2)))</f>
        <v>1965.29</v>
      </c>
      <c r="M289" s="37">
        <f t="shared" si="182"/>
        <v>2167.2199999999998</v>
      </c>
      <c r="N289" s="37">
        <f t="shared" si="182"/>
        <v>2224.9499999999998</v>
      </c>
      <c r="O289" s="37">
        <f t="shared" si="182"/>
        <v>2317.2600000000002</v>
      </c>
      <c r="P289" s="37">
        <f t="shared" si="182"/>
        <v>2386.5100000000002</v>
      </c>
      <c r="Q289" s="37">
        <f t="shared" si="182"/>
        <v>2449.9699999999998</v>
      </c>
    </row>
    <row r="290" spans="1:17">
      <c r="B290" s="75">
        <f t="shared" si="155"/>
        <v>3</v>
      </c>
      <c r="C290" s="37">
        <f t="shared" ref="C290:H290" si="183">IF(C268="-","-",IF((ROUND(C268*$B$274,2)-C268)&lt;$C$274,C268+$C$274,ROUND(C268*$B$274,2)))</f>
        <v>1965.29</v>
      </c>
      <c r="D290" s="37">
        <f t="shared" si="183"/>
        <v>2167.2199999999998</v>
      </c>
      <c r="E290" s="37">
        <f t="shared" si="183"/>
        <v>2224.9499999999998</v>
      </c>
      <c r="F290" s="37">
        <f t="shared" si="183"/>
        <v>2317.2600000000002</v>
      </c>
      <c r="G290" s="37">
        <f t="shared" si="183"/>
        <v>2386.5100000000002</v>
      </c>
      <c r="H290" s="37">
        <f t="shared" si="183"/>
        <v>2449.9699999999998</v>
      </c>
      <c r="K290" s="75" t="str">
        <f t="shared" si="157"/>
        <v>2Ü</v>
      </c>
      <c r="L290" s="37">
        <f t="shared" ref="L290:Q290" si="184">IF(L268="-","-",IF((ROUND(L268*$B$274,2)-L268)&lt;$C$274,L268+$C$274,ROUND(L268*$B$274,2)))</f>
        <v>1882.17</v>
      </c>
      <c r="M290" s="37">
        <f t="shared" si="184"/>
        <v>2074.92</v>
      </c>
      <c r="N290" s="37">
        <f t="shared" si="184"/>
        <v>2144.16</v>
      </c>
      <c r="O290" s="37">
        <f t="shared" si="184"/>
        <v>2236.48</v>
      </c>
      <c r="P290" s="37">
        <f t="shared" si="184"/>
        <v>2299.94</v>
      </c>
      <c r="Q290" s="37">
        <f t="shared" si="184"/>
        <v>2347.2800000000002</v>
      </c>
    </row>
    <row r="291" spans="1:17">
      <c r="B291" s="75" t="str">
        <f t="shared" si="155"/>
        <v>2Ü</v>
      </c>
      <c r="C291" s="37">
        <f t="shared" ref="C291:H291" si="185">IF(C269="-","-",IF((ROUND(C269*$B$274,2)-C269)&lt;$C$274,C269+$C$274,ROUND(C269*$B$274,2)))</f>
        <v>1882.17</v>
      </c>
      <c r="D291" s="37">
        <f t="shared" si="185"/>
        <v>2074.92</v>
      </c>
      <c r="E291" s="37">
        <f t="shared" si="185"/>
        <v>2144.16</v>
      </c>
      <c r="F291" s="37">
        <f t="shared" si="185"/>
        <v>2236.48</v>
      </c>
      <c r="G291" s="37">
        <f t="shared" si="185"/>
        <v>2299.94</v>
      </c>
      <c r="H291" s="37">
        <f t="shared" si="185"/>
        <v>2347.2800000000002</v>
      </c>
      <c r="K291" s="75">
        <f t="shared" si="157"/>
        <v>2</v>
      </c>
      <c r="L291" s="37">
        <f t="shared" ref="L291:Q291" si="186">IF(L269="-","-",IF((ROUND(L269*$B$274,2)-L269)&lt;$C$274,L269+$C$274,ROUND(L269*$B$274,2)))</f>
        <v>1819.86</v>
      </c>
      <c r="M291" s="37">
        <f t="shared" si="186"/>
        <v>2005.66</v>
      </c>
      <c r="N291" s="37">
        <f t="shared" si="186"/>
        <v>2063.37</v>
      </c>
      <c r="O291" s="37">
        <f t="shared" si="186"/>
        <v>2121.08</v>
      </c>
      <c r="P291" s="37">
        <f t="shared" si="186"/>
        <v>2247.9899999999998</v>
      </c>
      <c r="Q291" s="37">
        <f t="shared" si="186"/>
        <v>2380.73</v>
      </c>
    </row>
    <row r="292" spans="1:17">
      <c r="B292" s="75">
        <f t="shared" si="155"/>
        <v>2</v>
      </c>
      <c r="C292" s="37">
        <f t="shared" ref="C292:H292" si="187">IF(C270="-","-",IF((ROUND(C270*$B$274,2)-C270)&lt;$C$274,C270+$C$274,ROUND(C270*$B$274,2)))</f>
        <v>1819.86</v>
      </c>
      <c r="D292" s="37">
        <f t="shared" si="187"/>
        <v>2005.66</v>
      </c>
      <c r="E292" s="37">
        <f t="shared" si="187"/>
        <v>2063.37</v>
      </c>
      <c r="F292" s="37">
        <f t="shared" si="187"/>
        <v>2121.08</v>
      </c>
      <c r="G292" s="37">
        <f t="shared" si="187"/>
        <v>2247.9899999999998</v>
      </c>
      <c r="H292" s="37">
        <f t="shared" si="187"/>
        <v>2380.73</v>
      </c>
      <c r="K292" s="75">
        <f t="shared" si="157"/>
        <v>1</v>
      </c>
      <c r="L292" s="37" t="str">
        <f t="shared" ref="L292:Q292" si="188">IF(L270="-","-",IF((ROUND(L270*$B$274,2)-L270)&lt;$C$274,L270+$C$274,ROUND(L270*$B$274,2)))</f>
        <v>-</v>
      </c>
      <c r="M292" s="37">
        <f t="shared" si="188"/>
        <v>1631.78</v>
      </c>
      <c r="N292" s="37">
        <f t="shared" si="188"/>
        <v>1659.47</v>
      </c>
      <c r="O292" s="37">
        <f t="shared" si="188"/>
        <v>1694.1</v>
      </c>
      <c r="P292" s="37">
        <f t="shared" si="188"/>
        <v>1726.39</v>
      </c>
      <c r="Q292" s="37">
        <f t="shared" si="188"/>
        <v>1809.48</v>
      </c>
    </row>
    <row r="293" spans="1:17">
      <c r="B293" s="75">
        <f t="shared" si="155"/>
        <v>1</v>
      </c>
      <c r="C293" s="37" t="str">
        <f t="shared" ref="C293:H293" si="189">IF(C271="-","-",IF((ROUND(C271*$B$274,2)-C271)&lt;$C$274,C271+$C$274,ROUND(C271*$B$274,2)))</f>
        <v>-</v>
      </c>
      <c r="D293" s="37">
        <f t="shared" si="189"/>
        <v>1631.78</v>
      </c>
      <c r="E293" s="37">
        <f t="shared" si="189"/>
        <v>1659.47</v>
      </c>
      <c r="F293" s="37">
        <f t="shared" si="189"/>
        <v>1694.1</v>
      </c>
      <c r="G293" s="37">
        <f t="shared" si="189"/>
        <v>1726.39</v>
      </c>
      <c r="H293" s="37">
        <f t="shared" si="189"/>
        <v>1809.48</v>
      </c>
    </row>
    <row r="294" spans="1:17">
      <c r="B294" s="172"/>
    </row>
    <row r="295" spans="1:17">
      <c r="B295" s="172"/>
    </row>
    <row r="296" spans="1:17">
      <c r="B296" s="172" t="s">
        <v>264</v>
      </c>
      <c r="C296" s="247"/>
      <c r="K296" s="248" t="s">
        <v>272</v>
      </c>
    </row>
    <row r="297" spans="1:17">
      <c r="A297" s="155" t="s">
        <v>263</v>
      </c>
      <c r="B297" s="75">
        <v>2015</v>
      </c>
      <c r="C297" s="75" t="str">
        <f t="shared" ref="C297:H297" si="190">C232</f>
        <v>Stufe 1</v>
      </c>
      <c r="D297" s="75" t="str">
        <f t="shared" si="190"/>
        <v>Stufe 2</v>
      </c>
      <c r="E297" s="75" t="str">
        <f t="shared" si="190"/>
        <v>Stufe 3</v>
      </c>
      <c r="F297" s="75" t="str">
        <f t="shared" si="190"/>
        <v>Stufe 4</v>
      </c>
      <c r="G297" s="75" t="str">
        <f t="shared" si="190"/>
        <v>Stufe 5</v>
      </c>
      <c r="H297" s="75" t="str">
        <f t="shared" si="190"/>
        <v>Stufe 6</v>
      </c>
      <c r="J297" s="155" t="str">
        <f>A297</f>
        <v>ab Mrz 2015</v>
      </c>
      <c r="K297" s="75">
        <v>2015</v>
      </c>
      <c r="L297" s="75" t="str">
        <f t="shared" ref="L297:Q297" si="191">C275</f>
        <v>Stufe 1</v>
      </c>
      <c r="M297" s="75" t="str">
        <f t="shared" si="191"/>
        <v>Stufe 2</v>
      </c>
      <c r="N297" s="75" t="str">
        <f t="shared" si="191"/>
        <v>Stufe 3</v>
      </c>
      <c r="O297" s="75" t="str">
        <f t="shared" si="191"/>
        <v>Stufe 4</v>
      </c>
      <c r="P297" s="75" t="str">
        <f t="shared" si="191"/>
        <v>Stufe 5</v>
      </c>
      <c r="Q297" s="75" t="str">
        <f t="shared" si="191"/>
        <v>Stufe 6</v>
      </c>
    </row>
    <row r="298" spans="1:17">
      <c r="B298" s="75" t="str">
        <f>B276</f>
        <v>15Ü</v>
      </c>
      <c r="C298" s="37">
        <f t="shared" ref="C298:H298" si="192">IF(C276="-","-",ROUND(C276*$B$296,2))</f>
        <v>5264.23</v>
      </c>
      <c r="D298" s="37">
        <f t="shared" si="192"/>
        <v>5842.4</v>
      </c>
      <c r="E298" s="37">
        <f t="shared" si="192"/>
        <v>6390.12</v>
      </c>
      <c r="F298" s="37">
        <f t="shared" si="192"/>
        <v>6755.28</v>
      </c>
      <c r="G298" s="37">
        <f t="shared" si="192"/>
        <v>6840.48</v>
      </c>
      <c r="H298" s="37" t="str">
        <f t="shared" si="192"/>
        <v>-</v>
      </c>
      <c r="K298" s="75" t="str">
        <f>K276</f>
        <v>15Ü</v>
      </c>
      <c r="L298" s="37">
        <f t="shared" ref="L298:Q298" si="193">IF(L276="-","-",ROUND(L276*$B$296,2))</f>
        <v>5264.23</v>
      </c>
      <c r="M298" s="37">
        <f t="shared" si="193"/>
        <v>5842.4</v>
      </c>
      <c r="N298" s="37">
        <f t="shared" si="193"/>
        <v>6390.12</v>
      </c>
      <c r="O298" s="37">
        <f t="shared" si="193"/>
        <v>6755.28</v>
      </c>
      <c r="P298" s="37">
        <f t="shared" si="193"/>
        <v>6840.48</v>
      </c>
      <c r="Q298" s="37" t="str">
        <f t="shared" si="193"/>
        <v>-</v>
      </c>
    </row>
    <row r="299" spans="1:17">
      <c r="B299" s="75">
        <f t="shared" ref="B299:B315" si="194">B277</f>
        <v>15</v>
      </c>
      <c r="C299" s="37">
        <f t="shared" ref="C299:H299" si="195">IF(C277="-","-",ROUND(C277*$B$296,2))</f>
        <v>4179.74</v>
      </c>
      <c r="D299" s="37">
        <f t="shared" si="195"/>
        <v>4637.42</v>
      </c>
      <c r="E299" s="37">
        <f t="shared" si="195"/>
        <v>4807.8100000000004</v>
      </c>
      <c r="F299" s="37">
        <f t="shared" si="195"/>
        <v>5416.39</v>
      </c>
      <c r="G299" s="37">
        <f t="shared" si="195"/>
        <v>5878.91</v>
      </c>
      <c r="H299" s="37" t="str">
        <f t="shared" si="195"/>
        <v>-</v>
      </c>
      <c r="I299" s="37">
        <v>6183.2</v>
      </c>
      <c r="K299" s="75">
        <f t="shared" ref="K299:K314" si="196">K277</f>
        <v>15</v>
      </c>
      <c r="L299" s="37">
        <f t="shared" ref="L299:Q299" si="197">IF(L277="-","-",ROUND(L277*$B$296,2))</f>
        <v>4179.74</v>
      </c>
      <c r="M299" s="37">
        <f t="shared" si="197"/>
        <v>4637.42</v>
      </c>
      <c r="N299" s="37">
        <f t="shared" si="197"/>
        <v>4807.8100000000004</v>
      </c>
      <c r="O299" s="37">
        <f t="shared" si="197"/>
        <v>5416.39</v>
      </c>
      <c r="P299" s="37">
        <f t="shared" si="197"/>
        <v>5878.91</v>
      </c>
      <c r="Q299" s="37" t="str">
        <f t="shared" si="197"/>
        <v>-</v>
      </c>
    </row>
    <row r="300" spans="1:17">
      <c r="B300" s="75">
        <f t="shared" si="194"/>
        <v>14</v>
      </c>
      <c r="C300" s="37">
        <f t="shared" ref="C300:H300" si="198">IF(C278="-","-",ROUND(C278*$B$296,2))</f>
        <v>3785.38</v>
      </c>
      <c r="D300" s="37">
        <f t="shared" si="198"/>
        <v>4199.21</v>
      </c>
      <c r="E300" s="37">
        <f t="shared" si="198"/>
        <v>4442.6400000000003</v>
      </c>
      <c r="F300" s="37">
        <f t="shared" si="198"/>
        <v>4807.8100000000004</v>
      </c>
      <c r="G300" s="37">
        <f t="shared" si="198"/>
        <v>5367.72</v>
      </c>
      <c r="H300" s="37" t="str">
        <f t="shared" si="198"/>
        <v>-</v>
      </c>
      <c r="I300" s="37">
        <v>5671.99</v>
      </c>
      <c r="K300" s="75">
        <f t="shared" si="196"/>
        <v>14</v>
      </c>
      <c r="L300" s="37">
        <f t="shared" ref="L300:Q300" si="199">IF(L278="-","-",ROUND(L278*$B$296,2))</f>
        <v>3785.38</v>
      </c>
      <c r="M300" s="37">
        <f t="shared" si="199"/>
        <v>4199.21</v>
      </c>
      <c r="N300" s="37">
        <f t="shared" si="199"/>
        <v>4442.6400000000003</v>
      </c>
      <c r="O300" s="37">
        <f t="shared" si="199"/>
        <v>4807.8100000000004</v>
      </c>
      <c r="P300" s="37">
        <f t="shared" si="199"/>
        <v>5367.72</v>
      </c>
      <c r="Q300" s="37" t="str">
        <f t="shared" si="199"/>
        <v>-</v>
      </c>
    </row>
    <row r="301" spans="1:17">
      <c r="B301" s="75">
        <f t="shared" si="194"/>
        <v>13</v>
      </c>
      <c r="C301" s="37">
        <f t="shared" ref="C301:H301" si="200">IF(C279="-","-",ROUND(C279*$B$296,2))</f>
        <v>3489.62</v>
      </c>
      <c r="D301" s="37">
        <f t="shared" si="200"/>
        <v>3870.59</v>
      </c>
      <c r="E301" s="37">
        <f t="shared" si="200"/>
        <v>4077.52</v>
      </c>
      <c r="F301" s="37">
        <f t="shared" si="200"/>
        <v>4479.1400000000003</v>
      </c>
      <c r="G301" s="37">
        <f t="shared" si="200"/>
        <v>5039.05</v>
      </c>
      <c r="H301" s="37" t="str">
        <f t="shared" si="200"/>
        <v>-</v>
      </c>
      <c r="I301" s="37">
        <v>5270.33</v>
      </c>
      <c r="K301" s="75">
        <f t="shared" si="196"/>
        <v>13</v>
      </c>
      <c r="L301" s="37">
        <f t="shared" ref="L301:Q301" si="201">IF(L279="-","-",ROUND(L279*$B$296,2))</f>
        <v>3489.62</v>
      </c>
      <c r="M301" s="37">
        <f t="shared" si="201"/>
        <v>3870.59</v>
      </c>
      <c r="N301" s="37">
        <f t="shared" si="201"/>
        <v>4077.52</v>
      </c>
      <c r="O301" s="37">
        <f t="shared" si="201"/>
        <v>4479.1400000000003</v>
      </c>
      <c r="P301" s="37">
        <f t="shared" si="201"/>
        <v>5039.05</v>
      </c>
      <c r="Q301" s="37" t="str">
        <f t="shared" si="201"/>
        <v>-</v>
      </c>
    </row>
    <row r="302" spans="1:17">
      <c r="B302" s="75">
        <f t="shared" si="194"/>
        <v>12</v>
      </c>
      <c r="C302" s="37">
        <f t="shared" ref="C302:H302" si="202">IF(C280="-","-",ROUND(C280*$B$296,2))</f>
        <v>3129.17</v>
      </c>
      <c r="D302" s="37">
        <f t="shared" si="202"/>
        <v>3468.92</v>
      </c>
      <c r="E302" s="37">
        <f t="shared" si="202"/>
        <v>3955.78</v>
      </c>
      <c r="F302" s="37">
        <f t="shared" si="202"/>
        <v>4381.8</v>
      </c>
      <c r="G302" s="37">
        <f t="shared" si="202"/>
        <v>4929.53</v>
      </c>
      <c r="H302" s="37" t="str">
        <f t="shared" si="202"/>
        <v>-</v>
      </c>
      <c r="I302" s="37">
        <v>5172.96</v>
      </c>
      <c r="K302" s="75">
        <f t="shared" si="196"/>
        <v>12</v>
      </c>
      <c r="L302" s="37">
        <f t="shared" ref="L302:Q302" si="203">IF(L280="-","-",ROUND(L280*$B$296,2))</f>
        <v>3129.17</v>
      </c>
      <c r="M302" s="37">
        <f t="shared" si="203"/>
        <v>3468.92</v>
      </c>
      <c r="N302" s="37">
        <f t="shared" si="203"/>
        <v>3955.78</v>
      </c>
      <c r="O302" s="37">
        <f t="shared" si="203"/>
        <v>4381.8</v>
      </c>
      <c r="P302" s="37">
        <f t="shared" si="203"/>
        <v>4929.53</v>
      </c>
      <c r="Q302" s="37" t="str">
        <f t="shared" si="203"/>
        <v>-</v>
      </c>
    </row>
    <row r="303" spans="1:17">
      <c r="B303" s="75">
        <f t="shared" si="194"/>
        <v>11</v>
      </c>
      <c r="C303" s="37">
        <f t="shared" ref="C303:H303" si="204">IF(C281="-","-",ROUND(C281*$B$296,2))</f>
        <v>3022.81</v>
      </c>
      <c r="D303" s="37">
        <f t="shared" si="204"/>
        <v>3347.23</v>
      </c>
      <c r="E303" s="37">
        <f t="shared" si="204"/>
        <v>3590.64</v>
      </c>
      <c r="F303" s="37">
        <f t="shared" si="204"/>
        <v>3955.78</v>
      </c>
      <c r="G303" s="37">
        <f t="shared" si="204"/>
        <v>4485.25</v>
      </c>
      <c r="H303" s="37" t="str">
        <f t="shared" si="204"/>
        <v>-</v>
      </c>
      <c r="I303" s="37">
        <v>4728.6899999999996</v>
      </c>
      <c r="K303" s="75">
        <f t="shared" si="196"/>
        <v>11</v>
      </c>
      <c r="L303" s="37">
        <f t="shared" ref="L303:Q303" si="205">IF(L281="-","-",ROUND(L281*$B$296,2))</f>
        <v>3022.81</v>
      </c>
      <c r="M303" s="37">
        <f t="shared" si="205"/>
        <v>3347.23</v>
      </c>
      <c r="N303" s="37">
        <f t="shared" si="205"/>
        <v>3590.64</v>
      </c>
      <c r="O303" s="37">
        <f t="shared" si="205"/>
        <v>3955.78</v>
      </c>
      <c r="P303" s="37">
        <f t="shared" si="205"/>
        <v>4485.25</v>
      </c>
      <c r="Q303" s="37" t="str">
        <f t="shared" si="205"/>
        <v>-</v>
      </c>
    </row>
    <row r="304" spans="1:17">
      <c r="B304" s="75">
        <f t="shared" si="194"/>
        <v>10</v>
      </c>
      <c r="C304" s="37">
        <f t="shared" ref="C304:H304" si="206">IF(C282="-","-",ROUND(C282*$B$296,2))</f>
        <v>2916.44</v>
      </c>
      <c r="D304" s="37">
        <f t="shared" si="206"/>
        <v>3225.48</v>
      </c>
      <c r="E304" s="37">
        <f t="shared" si="206"/>
        <v>3468.92</v>
      </c>
      <c r="F304" s="37">
        <f t="shared" si="206"/>
        <v>3712.37</v>
      </c>
      <c r="G304" s="37">
        <f t="shared" si="206"/>
        <v>4174.88</v>
      </c>
      <c r="H304" s="37" t="str">
        <f t="shared" si="206"/>
        <v>-</v>
      </c>
      <c r="I304" s="37">
        <v>4284.42</v>
      </c>
      <c r="K304" s="75">
        <f t="shared" si="196"/>
        <v>10</v>
      </c>
      <c r="L304" s="37">
        <f t="shared" ref="L304:Q304" si="207">IF(L282="-","-",ROUND(L282*$B$296,2))</f>
        <v>2916.44</v>
      </c>
      <c r="M304" s="37">
        <f t="shared" si="207"/>
        <v>3225.48</v>
      </c>
      <c r="N304" s="37">
        <f t="shared" si="207"/>
        <v>3468.92</v>
      </c>
      <c r="O304" s="37">
        <f t="shared" si="207"/>
        <v>3712.37</v>
      </c>
      <c r="P304" s="37">
        <f t="shared" si="207"/>
        <v>4174.88</v>
      </c>
      <c r="Q304" s="37" t="str">
        <f t="shared" si="207"/>
        <v>-</v>
      </c>
    </row>
    <row r="305" spans="1:17">
      <c r="B305" s="75" t="str">
        <f t="shared" si="194"/>
        <v>9b</v>
      </c>
      <c r="C305" s="37">
        <f t="shared" ref="C305:H305" si="208">IF(C283="-","-",ROUND(C283*$B$296,2))</f>
        <v>2586.77</v>
      </c>
      <c r="D305" s="37">
        <f t="shared" si="208"/>
        <v>2857.36</v>
      </c>
      <c r="E305" s="37">
        <f t="shared" si="208"/>
        <v>2999.18</v>
      </c>
      <c r="F305" s="37">
        <f t="shared" si="208"/>
        <v>3383.71</v>
      </c>
      <c r="G305" s="37">
        <f t="shared" si="208"/>
        <v>3688.02</v>
      </c>
      <c r="H305" s="37" t="str">
        <f t="shared" si="208"/>
        <v>-</v>
      </c>
      <c r="I305" s="37">
        <v>3931.43</v>
      </c>
      <c r="K305" s="75">
        <f t="shared" si="196"/>
        <v>9</v>
      </c>
      <c r="L305" s="37">
        <f t="shared" ref="L305:Q305" si="209">IF(L283="-","-",ROUND(L283*$B$296,2))</f>
        <v>2586.77</v>
      </c>
      <c r="M305" s="37">
        <f t="shared" si="209"/>
        <v>2857.36</v>
      </c>
      <c r="N305" s="37">
        <f t="shared" si="209"/>
        <v>2999.18</v>
      </c>
      <c r="O305" s="37">
        <f t="shared" si="209"/>
        <v>3383.71</v>
      </c>
      <c r="P305" s="37">
        <f t="shared" si="209"/>
        <v>3688.02</v>
      </c>
      <c r="Q305" s="37" t="str">
        <f t="shared" si="209"/>
        <v>-</v>
      </c>
    </row>
    <row r="306" spans="1:17">
      <c r="B306" s="75" t="str">
        <f t="shared" si="194"/>
        <v>9a</v>
      </c>
      <c r="C306" s="37">
        <f t="shared" ref="C306:H306" si="210">IF(C284="-","-",ROUND(C284*$B$296,2))</f>
        <v>2586.77</v>
      </c>
      <c r="D306" s="37">
        <f t="shared" si="210"/>
        <v>2857.36</v>
      </c>
      <c r="E306" s="37">
        <f t="shared" si="210"/>
        <v>2904.65</v>
      </c>
      <c r="F306" s="37">
        <f t="shared" si="210"/>
        <v>2999.18</v>
      </c>
      <c r="G306" s="37">
        <f t="shared" si="210"/>
        <v>3383.71</v>
      </c>
      <c r="H306" s="37" t="str">
        <f t="shared" si="210"/>
        <v>-</v>
      </c>
      <c r="I306" s="37">
        <v>3456.98</v>
      </c>
      <c r="K306" s="75">
        <f t="shared" si="196"/>
        <v>8</v>
      </c>
      <c r="L306" s="37">
        <f t="shared" ref="L306:Q306" si="211">IF(L284="-","-",ROUND(L284*$B$296,2))</f>
        <v>2427.23</v>
      </c>
      <c r="M306" s="37">
        <f t="shared" si="211"/>
        <v>2680.1</v>
      </c>
      <c r="N306" s="37">
        <f t="shared" si="211"/>
        <v>2798.3</v>
      </c>
      <c r="O306" s="37">
        <f t="shared" si="211"/>
        <v>2904.65</v>
      </c>
      <c r="P306" s="37">
        <f t="shared" si="211"/>
        <v>3022.81</v>
      </c>
      <c r="Q306" s="37">
        <f t="shared" si="211"/>
        <v>3097.26</v>
      </c>
    </row>
    <row r="307" spans="1:17">
      <c r="B307" s="75">
        <f t="shared" si="194"/>
        <v>8</v>
      </c>
      <c r="C307" s="37">
        <f t="shared" ref="C307:H307" si="212">IF(C285="-","-",ROUND(C285*$B$296,2))</f>
        <v>2427.23</v>
      </c>
      <c r="D307" s="37">
        <f t="shared" si="212"/>
        <v>2680.1</v>
      </c>
      <c r="E307" s="37">
        <f t="shared" si="212"/>
        <v>2798.3</v>
      </c>
      <c r="F307" s="37">
        <f t="shared" si="212"/>
        <v>2904.65</v>
      </c>
      <c r="G307" s="37">
        <f t="shared" si="212"/>
        <v>3022.81</v>
      </c>
      <c r="H307" s="37">
        <f t="shared" si="212"/>
        <v>3097.26</v>
      </c>
      <c r="K307" s="75">
        <f t="shared" si="196"/>
        <v>7</v>
      </c>
      <c r="L307" s="37">
        <f t="shared" ref="L307:Q307" si="213">IF(L285="-","-",ROUND(L285*$B$296,2))</f>
        <v>2278.35</v>
      </c>
      <c r="M307" s="37">
        <f t="shared" si="213"/>
        <v>2514.67</v>
      </c>
      <c r="N307" s="37">
        <f t="shared" si="213"/>
        <v>2668.29</v>
      </c>
      <c r="O307" s="37">
        <f t="shared" si="213"/>
        <v>2786.48</v>
      </c>
      <c r="P307" s="37">
        <f t="shared" si="213"/>
        <v>2875.1</v>
      </c>
      <c r="Q307" s="37">
        <f t="shared" si="213"/>
        <v>2957.82</v>
      </c>
    </row>
    <row r="308" spans="1:17">
      <c r="B308" s="75">
        <f t="shared" si="194"/>
        <v>7</v>
      </c>
      <c r="C308" s="37">
        <f t="shared" ref="C308:H308" si="214">IF(C286="-","-",ROUND(C286*$B$296,2))</f>
        <v>2278.35</v>
      </c>
      <c r="D308" s="37">
        <f t="shared" si="214"/>
        <v>2514.67</v>
      </c>
      <c r="E308" s="37">
        <f t="shared" si="214"/>
        <v>2668.29</v>
      </c>
      <c r="F308" s="37">
        <f t="shared" si="214"/>
        <v>2786.48</v>
      </c>
      <c r="G308" s="37">
        <f t="shared" si="214"/>
        <v>2875.1</v>
      </c>
      <c r="H308" s="37">
        <f t="shared" si="214"/>
        <v>2957.82</v>
      </c>
      <c r="K308" s="75">
        <f t="shared" si="196"/>
        <v>6</v>
      </c>
      <c r="L308" s="37">
        <f t="shared" ref="L308:Q308" si="215">IF(L286="-","-",ROUND(L286*$B$296,2))</f>
        <v>2235.7800000000002</v>
      </c>
      <c r="M308" s="37">
        <f t="shared" si="215"/>
        <v>2467.4</v>
      </c>
      <c r="N308" s="37">
        <f t="shared" si="215"/>
        <v>2585.5700000000002</v>
      </c>
      <c r="O308" s="37">
        <f t="shared" si="215"/>
        <v>2697.84</v>
      </c>
      <c r="P308" s="37">
        <f t="shared" si="215"/>
        <v>2774.66</v>
      </c>
      <c r="Q308" s="37">
        <f t="shared" si="215"/>
        <v>2851.47</v>
      </c>
    </row>
    <row r="309" spans="1:17">
      <c r="B309" s="75">
        <f t="shared" si="194"/>
        <v>6</v>
      </c>
      <c r="C309" s="37">
        <f t="shared" ref="C309:H309" si="216">IF(C287="-","-",ROUND(C287*$B$296,2))</f>
        <v>2235.7800000000002</v>
      </c>
      <c r="D309" s="37">
        <f t="shared" si="216"/>
        <v>2467.4</v>
      </c>
      <c r="E309" s="37">
        <f t="shared" si="216"/>
        <v>2585.5700000000002</v>
      </c>
      <c r="F309" s="37">
        <f t="shared" si="216"/>
        <v>2697.84</v>
      </c>
      <c r="G309" s="37">
        <f t="shared" si="216"/>
        <v>2774.66</v>
      </c>
      <c r="H309" s="37">
        <f t="shared" si="216"/>
        <v>2851.47</v>
      </c>
      <c r="K309" s="75">
        <f t="shared" si="196"/>
        <v>5</v>
      </c>
      <c r="L309" s="37">
        <f t="shared" ref="L309:Q309" si="217">IF(L287="-","-",ROUND(L287*$B$296,2))</f>
        <v>2145.9699999999998</v>
      </c>
      <c r="M309" s="37">
        <f t="shared" si="217"/>
        <v>2366.9699999999998</v>
      </c>
      <c r="N309" s="37">
        <f t="shared" si="217"/>
        <v>2479.23</v>
      </c>
      <c r="O309" s="37">
        <f t="shared" si="217"/>
        <v>2591.4899999999998</v>
      </c>
      <c r="P309" s="37">
        <f t="shared" si="217"/>
        <v>2674.21</v>
      </c>
      <c r="Q309" s="37">
        <f t="shared" si="217"/>
        <v>2733.3</v>
      </c>
    </row>
    <row r="310" spans="1:17">
      <c r="B310" s="75">
        <f t="shared" si="194"/>
        <v>5</v>
      </c>
      <c r="C310" s="37">
        <f t="shared" ref="C310:H310" si="218">IF(C288="-","-",ROUND(C288*$B$296,2))</f>
        <v>2145.9699999999998</v>
      </c>
      <c r="D310" s="37">
        <f t="shared" si="218"/>
        <v>2366.9699999999998</v>
      </c>
      <c r="E310" s="37">
        <f t="shared" si="218"/>
        <v>2479.23</v>
      </c>
      <c r="F310" s="37">
        <f t="shared" si="218"/>
        <v>2591.4899999999998</v>
      </c>
      <c r="G310" s="37">
        <f t="shared" si="218"/>
        <v>2674.21</v>
      </c>
      <c r="H310" s="37">
        <f t="shared" si="218"/>
        <v>2733.3</v>
      </c>
      <c r="K310" s="75">
        <f t="shared" si="196"/>
        <v>4</v>
      </c>
      <c r="L310" s="37">
        <f t="shared" ref="L310:Q310" si="219">IF(L288="-","-",ROUND(L288*$B$296,2))</f>
        <v>2044.34</v>
      </c>
      <c r="M310" s="37">
        <f t="shared" si="219"/>
        <v>2254.6999999999998</v>
      </c>
      <c r="N310" s="37">
        <f t="shared" si="219"/>
        <v>2396.5</v>
      </c>
      <c r="O310" s="37">
        <f t="shared" si="219"/>
        <v>2479.23</v>
      </c>
      <c r="P310" s="37">
        <f t="shared" si="219"/>
        <v>2561.9499999999998</v>
      </c>
      <c r="Q310" s="37">
        <f t="shared" si="219"/>
        <v>2610.38</v>
      </c>
    </row>
    <row r="311" spans="1:17">
      <c r="B311" s="75">
        <f t="shared" si="194"/>
        <v>4</v>
      </c>
      <c r="C311" s="37">
        <f t="shared" ref="C311:H311" si="220">IF(C289="-","-",ROUND(C289*$B$296,2))</f>
        <v>2044.34</v>
      </c>
      <c r="D311" s="37">
        <f t="shared" si="220"/>
        <v>2254.6999999999998</v>
      </c>
      <c r="E311" s="37">
        <f t="shared" si="220"/>
        <v>2396.5</v>
      </c>
      <c r="F311" s="37">
        <f t="shared" si="220"/>
        <v>2479.23</v>
      </c>
      <c r="G311" s="37">
        <f t="shared" si="220"/>
        <v>2561.9499999999998</v>
      </c>
      <c r="H311" s="37">
        <f t="shared" si="220"/>
        <v>2610.38</v>
      </c>
      <c r="K311" s="75">
        <f t="shared" si="196"/>
        <v>3</v>
      </c>
      <c r="L311" s="37">
        <f t="shared" ref="L311:Q311" si="221">IF(L289="-","-",ROUND(L289*$B$296,2))</f>
        <v>2012.46</v>
      </c>
      <c r="M311" s="37">
        <f t="shared" si="221"/>
        <v>2219.23</v>
      </c>
      <c r="N311" s="37">
        <f t="shared" si="221"/>
        <v>2278.35</v>
      </c>
      <c r="O311" s="37">
        <f t="shared" si="221"/>
        <v>2372.87</v>
      </c>
      <c r="P311" s="37">
        <f t="shared" si="221"/>
        <v>2443.79</v>
      </c>
      <c r="Q311" s="37">
        <f t="shared" si="221"/>
        <v>2508.77</v>
      </c>
    </row>
    <row r="312" spans="1:17">
      <c r="B312" s="75">
        <f t="shared" si="194"/>
        <v>3</v>
      </c>
      <c r="C312" s="37">
        <f t="shared" ref="C312:H312" si="222">IF(C290="-","-",ROUND(C290*$B$296,2))</f>
        <v>2012.46</v>
      </c>
      <c r="D312" s="37">
        <f t="shared" si="222"/>
        <v>2219.23</v>
      </c>
      <c r="E312" s="37">
        <f t="shared" si="222"/>
        <v>2278.35</v>
      </c>
      <c r="F312" s="37">
        <f t="shared" si="222"/>
        <v>2372.87</v>
      </c>
      <c r="G312" s="37">
        <f t="shared" si="222"/>
        <v>2443.79</v>
      </c>
      <c r="H312" s="37">
        <f t="shared" si="222"/>
        <v>2508.77</v>
      </c>
      <c r="K312" s="75" t="str">
        <f t="shared" si="196"/>
        <v>2Ü</v>
      </c>
      <c r="L312" s="37">
        <f t="shared" ref="L312:Q312" si="223">IF(L290="-","-",ROUND(L290*$B$296,2))</f>
        <v>1927.34</v>
      </c>
      <c r="M312" s="37">
        <f t="shared" si="223"/>
        <v>2124.7199999999998</v>
      </c>
      <c r="N312" s="37">
        <f t="shared" si="223"/>
        <v>2195.62</v>
      </c>
      <c r="O312" s="37">
        <f t="shared" si="223"/>
        <v>2290.16</v>
      </c>
      <c r="P312" s="37">
        <f t="shared" si="223"/>
        <v>2355.14</v>
      </c>
      <c r="Q312" s="37">
        <f t="shared" si="223"/>
        <v>2403.61</v>
      </c>
    </row>
    <row r="313" spans="1:17">
      <c r="B313" s="75" t="str">
        <f t="shared" si="194"/>
        <v>2Ü</v>
      </c>
      <c r="C313" s="37">
        <f t="shared" ref="C313:H313" si="224">IF(C291="-","-",ROUND(C291*$B$296,2))</f>
        <v>1927.34</v>
      </c>
      <c r="D313" s="37">
        <f t="shared" si="224"/>
        <v>2124.7199999999998</v>
      </c>
      <c r="E313" s="37">
        <f t="shared" si="224"/>
        <v>2195.62</v>
      </c>
      <c r="F313" s="37">
        <f t="shared" si="224"/>
        <v>2290.16</v>
      </c>
      <c r="G313" s="37">
        <f t="shared" si="224"/>
        <v>2355.14</v>
      </c>
      <c r="H313" s="37">
        <f t="shared" si="224"/>
        <v>2403.61</v>
      </c>
      <c r="K313" s="75">
        <f t="shared" si="196"/>
        <v>2</v>
      </c>
      <c r="L313" s="37">
        <f t="shared" ref="L313:Q313" si="225">IF(L291="-","-",ROUND(L291*$B$296,2))</f>
        <v>1863.54</v>
      </c>
      <c r="M313" s="37">
        <f t="shared" si="225"/>
        <v>2053.8000000000002</v>
      </c>
      <c r="N313" s="37">
        <f t="shared" si="225"/>
        <v>2112.89</v>
      </c>
      <c r="O313" s="37">
        <f t="shared" si="225"/>
        <v>2171.9899999999998</v>
      </c>
      <c r="P313" s="37">
        <f t="shared" si="225"/>
        <v>2301.94</v>
      </c>
      <c r="Q313" s="37">
        <f t="shared" si="225"/>
        <v>2437.87</v>
      </c>
    </row>
    <row r="314" spans="1:17">
      <c r="B314" s="75">
        <f t="shared" si="194"/>
        <v>2</v>
      </c>
      <c r="C314" s="37">
        <f t="shared" ref="C314:H314" si="226">IF(C292="-","-",ROUND(C292*$B$296,2))</f>
        <v>1863.54</v>
      </c>
      <c r="D314" s="37">
        <f t="shared" si="226"/>
        <v>2053.8000000000002</v>
      </c>
      <c r="E314" s="37">
        <f t="shared" si="226"/>
        <v>2112.89</v>
      </c>
      <c r="F314" s="37">
        <f t="shared" si="226"/>
        <v>2171.9899999999998</v>
      </c>
      <c r="G314" s="37">
        <f t="shared" si="226"/>
        <v>2301.94</v>
      </c>
      <c r="H314" s="37">
        <f t="shared" si="226"/>
        <v>2437.87</v>
      </c>
      <c r="K314" s="75">
        <f t="shared" si="196"/>
        <v>1</v>
      </c>
      <c r="L314" s="37" t="str">
        <f t="shared" ref="L314:Q314" si="227">IF(L292="-","-",ROUND(L292*$B$296,2))</f>
        <v>-</v>
      </c>
      <c r="M314" s="37">
        <f t="shared" si="227"/>
        <v>1670.94</v>
      </c>
      <c r="N314" s="37">
        <f t="shared" si="227"/>
        <v>1699.3</v>
      </c>
      <c r="O314" s="37">
        <f t="shared" si="227"/>
        <v>1734.76</v>
      </c>
      <c r="P314" s="37">
        <f t="shared" si="227"/>
        <v>1767.82</v>
      </c>
      <c r="Q314" s="37">
        <f t="shared" si="227"/>
        <v>1852.91</v>
      </c>
    </row>
    <row r="315" spans="1:17">
      <c r="B315" s="75">
        <f t="shared" si="194"/>
        <v>1</v>
      </c>
      <c r="C315" s="37" t="str">
        <f t="shared" ref="C315:H315" si="228">IF(C293="-","-",ROUND(C293*$B$296,2))</f>
        <v>-</v>
      </c>
      <c r="D315" s="37">
        <f t="shared" si="228"/>
        <v>1670.94</v>
      </c>
      <c r="E315" s="37">
        <f t="shared" si="228"/>
        <v>1699.3</v>
      </c>
      <c r="F315" s="37">
        <f t="shared" si="228"/>
        <v>1734.76</v>
      </c>
      <c r="G315" s="37">
        <f t="shared" si="228"/>
        <v>1767.82</v>
      </c>
      <c r="H315" s="37">
        <f t="shared" si="228"/>
        <v>1852.91</v>
      </c>
    </row>
    <row r="316" spans="1:17">
      <c r="B316" s="172"/>
    </row>
    <row r="317" spans="1:17">
      <c r="B317" s="172"/>
    </row>
    <row r="318" spans="1:17">
      <c r="B318" s="172" t="s">
        <v>264</v>
      </c>
      <c r="C318" s="247"/>
      <c r="K318" s="248" t="s">
        <v>272</v>
      </c>
    </row>
    <row r="319" spans="1:17">
      <c r="A319" s="155" t="s">
        <v>354</v>
      </c>
      <c r="B319" s="75">
        <v>2016</v>
      </c>
      <c r="C319" s="75" t="str">
        <f t="shared" ref="C319:H319" si="229">C297</f>
        <v>Stufe 1</v>
      </c>
      <c r="D319" s="75" t="str">
        <f t="shared" si="229"/>
        <v>Stufe 2</v>
      </c>
      <c r="E319" s="75" t="str">
        <f t="shared" si="229"/>
        <v>Stufe 3</v>
      </c>
      <c r="F319" s="75" t="str">
        <f t="shared" si="229"/>
        <v>Stufe 4</v>
      </c>
      <c r="G319" s="75" t="str">
        <f t="shared" si="229"/>
        <v>Stufe 5</v>
      </c>
      <c r="H319" s="75" t="str">
        <f t="shared" si="229"/>
        <v>Stufe 6</v>
      </c>
      <c r="J319" s="155" t="str">
        <f>A319</f>
        <v>ab Mrz 2016</v>
      </c>
      <c r="K319" s="75">
        <v>2016</v>
      </c>
      <c r="L319" s="75" t="str">
        <f t="shared" ref="L319:Q319" si="230">C297</f>
        <v>Stufe 1</v>
      </c>
      <c r="M319" s="75" t="str">
        <f t="shared" si="230"/>
        <v>Stufe 2</v>
      </c>
      <c r="N319" s="75" t="str">
        <f t="shared" si="230"/>
        <v>Stufe 3</v>
      </c>
      <c r="O319" s="75" t="str">
        <f t="shared" si="230"/>
        <v>Stufe 4</v>
      </c>
      <c r="P319" s="75" t="str">
        <f t="shared" si="230"/>
        <v>Stufe 5</v>
      </c>
      <c r="Q319" s="75" t="str">
        <f t="shared" si="230"/>
        <v>Stufe 6</v>
      </c>
    </row>
    <row r="320" spans="1:17">
      <c r="B320" s="75" t="str">
        <f>B298</f>
        <v>15Ü</v>
      </c>
      <c r="C320" s="37">
        <f t="shared" ref="C320:H320" si="231">IF(C298="-","-",ROUND(C298*$B$318,2))</f>
        <v>5390.57</v>
      </c>
      <c r="D320" s="37">
        <f t="shared" si="231"/>
        <v>5982.62</v>
      </c>
      <c r="E320" s="37">
        <f t="shared" si="231"/>
        <v>6543.48</v>
      </c>
      <c r="F320" s="37">
        <f t="shared" si="231"/>
        <v>6917.41</v>
      </c>
      <c r="G320" s="37">
        <f t="shared" si="231"/>
        <v>7004.65</v>
      </c>
      <c r="H320" s="37" t="str">
        <f t="shared" si="231"/>
        <v>-</v>
      </c>
      <c r="K320" s="75" t="str">
        <f>K298</f>
        <v>15Ü</v>
      </c>
      <c r="L320" s="37">
        <f t="shared" ref="L320:Q320" si="232">IF(L298="-","-",ROUND(L298*$B$318,2))</f>
        <v>5390.57</v>
      </c>
      <c r="M320" s="37">
        <f t="shared" si="232"/>
        <v>5982.62</v>
      </c>
      <c r="N320" s="37">
        <f t="shared" si="232"/>
        <v>6543.48</v>
      </c>
      <c r="O320" s="37">
        <f t="shared" si="232"/>
        <v>6917.41</v>
      </c>
      <c r="P320" s="37">
        <f t="shared" si="232"/>
        <v>7004.65</v>
      </c>
      <c r="Q320" s="37" t="str">
        <f t="shared" si="232"/>
        <v>-</v>
      </c>
    </row>
    <row r="321" spans="2:17">
      <c r="B321" s="75">
        <f t="shared" ref="B321:B337" si="233">B299</f>
        <v>15</v>
      </c>
      <c r="C321" s="37">
        <f t="shared" ref="C321:G328" si="234">IF(C299="-","-",ROUND(C299*$B$318,2))</f>
        <v>4280.05</v>
      </c>
      <c r="D321" s="37">
        <f t="shared" si="234"/>
        <v>4748.72</v>
      </c>
      <c r="E321" s="37">
        <f t="shared" si="234"/>
        <v>4923.2</v>
      </c>
      <c r="F321" s="37">
        <f t="shared" si="234"/>
        <v>5546.38</v>
      </c>
      <c r="G321" s="37">
        <f t="shared" si="234"/>
        <v>6020</v>
      </c>
      <c r="H321" s="417">
        <f>IF(I299="-","-",ROUND(I299*$B$318,2))</f>
        <v>6331.6</v>
      </c>
      <c r="K321" s="75">
        <f t="shared" ref="K321:K336" si="235">K299</f>
        <v>15</v>
      </c>
      <c r="L321" s="37">
        <f t="shared" ref="L321:Q321" si="236">IF(L299="-","-",ROUND(L299*$B$318,2))</f>
        <v>4280.05</v>
      </c>
      <c r="M321" s="37">
        <f t="shared" si="236"/>
        <v>4748.72</v>
      </c>
      <c r="N321" s="37">
        <f t="shared" si="236"/>
        <v>4923.2</v>
      </c>
      <c r="O321" s="37">
        <f t="shared" si="236"/>
        <v>5546.38</v>
      </c>
      <c r="P321" s="37">
        <f t="shared" si="236"/>
        <v>6020</v>
      </c>
      <c r="Q321" s="37" t="str">
        <f t="shared" si="236"/>
        <v>-</v>
      </c>
    </row>
    <row r="322" spans="2:17">
      <c r="B322" s="75">
        <f t="shared" si="233"/>
        <v>14</v>
      </c>
      <c r="C322" s="37">
        <f t="shared" si="234"/>
        <v>3876.23</v>
      </c>
      <c r="D322" s="37">
        <f t="shared" si="234"/>
        <v>4299.99</v>
      </c>
      <c r="E322" s="37">
        <f t="shared" si="234"/>
        <v>4549.26</v>
      </c>
      <c r="F322" s="37">
        <f t="shared" si="234"/>
        <v>4923.2</v>
      </c>
      <c r="G322" s="37">
        <f t="shared" si="234"/>
        <v>5496.55</v>
      </c>
      <c r="H322" s="418">
        <f t="shared" ref="H322:H327" si="237">IF(I300="-","-",ROUND(I300*$B$318,2))</f>
        <v>5808.12</v>
      </c>
      <c r="K322" s="75">
        <f t="shared" si="235"/>
        <v>14</v>
      </c>
      <c r="L322" s="37">
        <f t="shared" ref="L322:Q322" si="238">IF(L300="-","-",ROUND(L300*$B$318,2))</f>
        <v>3876.23</v>
      </c>
      <c r="M322" s="37">
        <f t="shared" si="238"/>
        <v>4299.99</v>
      </c>
      <c r="N322" s="37">
        <f t="shared" si="238"/>
        <v>4549.26</v>
      </c>
      <c r="O322" s="37">
        <f t="shared" si="238"/>
        <v>4923.2</v>
      </c>
      <c r="P322" s="37">
        <f t="shared" si="238"/>
        <v>5496.55</v>
      </c>
      <c r="Q322" s="37" t="str">
        <f t="shared" si="238"/>
        <v>-</v>
      </c>
    </row>
    <row r="323" spans="2:17">
      <c r="B323" s="75">
        <f t="shared" si="233"/>
        <v>13</v>
      </c>
      <c r="C323" s="37">
        <f t="shared" si="234"/>
        <v>3573.37</v>
      </c>
      <c r="D323" s="37">
        <f t="shared" si="234"/>
        <v>3963.48</v>
      </c>
      <c r="E323" s="37">
        <f t="shared" si="234"/>
        <v>4175.38</v>
      </c>
      <c r="F323" s="37">
        <f t="shared" si="234"/>
        <v>4586.6400000000003</v>
      </c>
      <c r="G323" s="37">
        <f t="shared" si="234"/>
        <v>5159.99</v>
      </c>
      <c r="H323" s="418">
        <f t="shared" si="237"/>
        <v>5396.82</v>
      </c>
      <c r="K323" s="75">
        <f t="shared" si="235"/>
        <v>13</v>
      </c>
      <c r="L323" s="37">
        <f t="shared" ref="L323:Q323" si="239">IF(L301="-","-",ROUND(L301*$B$318,2))</f>
        <v>3573.37</v>
      </c>
      <c r="M323" s="37">
        <f t="shared" si="239"/>
        <v>3963.48</v>
      </c>
      <c r="N323" s="37">
        <f t="shared" si="239"/>
        <v>4175.38</v>
      </c>
      <c r="O323" s="37">
        <f t="shared" si="239"/>
        <v>4586.6400000000003</v>
      </c>
      <c r="P323" s="37">
        <f t="shared" si="239"/>
        <v>5159.99</v>
      </c>
      <c r="Q323" s="37" t="str">
        <f t="shared" si="239"/>
        <v>-</v>
      </c>
    </row>
    <row r="324" spans="2:17">
      <c r="B324" s="75">
        <f t="shared" si="233"/>
        <v>12</v>
      </c>
      <c r="C324" s="37">
        <f t="shared" si="234"/>
        <v>3204.27</v>
      </c>
      <c r="D324" s="37">
        <f t="shared" si="234"/>
        <v>3552.17</v>
      </c>
      <c r="E324" s="37">
        <f t="shared" si="234"/>
        <v>4050.72</v>
      </c>
      <c r="F324" s="37">
        <f t="shared" si="234"/>
        <v>4486.96</v>
      </c>
      <c r="G324" s="37">
        <f t="shared" si="234"/>
        <v>5047.84</v>
      </c>
      <c r="H324" s="418">
        <f t="shared" si="237"/>
        <v>5297.11</v>
      </c>
      <c r="K324" s="75">
        <f t="shared" si="235"/>
        <v>12</v>
      </c>
      <c r="L324" s="37">
        <f t="shared" ref="L324:Q324" si="240">IF(L302="-","-",ROUND(L302*$B$318,2))</f>
        <v>3204.27</v>
      </c>
      <c r="M324" s="37">
        <f t="shared" si="240"/>
        <v>3552.17</v>
      </c>
      <c r="N324" s="37">
        <f t="shared" si="240"/>
        <v>4050.72</v>
      </c>
      <c r="O324" s="37">
        <f t="shared" si="240"/>
        <v>4486.96</v>
      </c>
      <c r="P324" s="37">
        <f t="shared" si="240"/>
        <v>5047.84</v>
      </c>
      <c r="Q324" s="37" t="str">
        <f t="shared" si="240"/>
        <v>-</v>
      </c>
    </row>
    <row r="325" spans="2:17">
      <c r="B325" s="75">
        <f t="shared" si="233"/>
        <v>11</v>
      </c>
      <c r="C325" s="37">
        <f t="shared" si="234"/>
        <v>3095.36</v>
      </c>
      <c r="D325" s="37">
        <f t="shared" si="234"/>
        <v>3427.56</v>
      </c>
      <c r="E325" s="37">
        <f t="shared" si="234"/>
        <v>3676.82</v>
      </c>
      <c r="F325" s="37">
        <f t="shared" si="234"/>
        <v>4050.72</v>
      </c>
      <c r="G325" s="37">
        <f t="shared" si="234"/>
        <v>4592.8999999999996</v>
      </c>
      <c r="H325" s="418">
        <f t="shared" si="237"/>
        <v>4842.18</v>
      </c>
      <c r="K325" s="75">
        <f t="shared" si="235"/>
        <v>11</v>
      </c>
      <c r="L325" s="37">
        <f t="shared" ref="L325:Q325" si="241">IF(L303="-","-",ROUND(L303*$B$318,2))</f>
        <v>3095.36</v>
      </c>
      <c r="M325" s="37">
        <f t="shared" si="241"/>
        <v>3427.56</v>
      </c>
      <c r="N325" s="37">
        <f t="shared" si="241"/>
        <v>3676.82</v>
      </c>
      <c r="O325" s="37">
        <f t="shared" si="241"/>
        <v>4050.72</v>
      </c>
      <c r="P325" s="37">
        <f t="shared" si="241"/>
        <v>4592.8999999999996</v>
      </c>
      <c r="Q325" s="37" t="str">
        <f t="shared" si="241"/>
        <v>-</v>
      </c>
    </row>
    <row r="326" spans="2:17">
      <c r="B326" s="75">
        <f t="shared" si="233"/>
        <v>10</v>
      </c>
      <c r="C326" s="37">
        <f t="shared" si="234"/>
        <v>2986.43</v>
      </c>
      <c r="D326" s="37">
        <f t="shared" si="234"/>
        <v>3302.89</v>
      </c>
      <c r="E326" s="37">
        <f t="shared" si="234"/>
        <v>3552.17</v>
      </c>
      <c r="F326" s="37">
        <f t="shared" si="234"/>
        <v>3801.47</v>
      </c>
      <c r="G326" s="37">
        <f t="shared" si="234"/>
        <v>4275.08</v>
      </c>
      <c r="H326" s="418">
        <f t="shared" si="237"/>
        <v>4387.25</v>
      </c>
      <c r="K326" s="75">
        <f t="shared" si="235"/>
        <v>10</v>
      </c>
      <c r="L326" s="37">
        <f t="shared" ref="L326:Q326" si="242">IF(L304="-","-",ROUND(L304*$B$318,2))</f>
        <v>2986.43</v>
      </c>
      <c r="M326" s="37">
        <f t="shared" si="242"/>
        <v>3302.89</v>
      </c>
      <c r="N326" s="37">
        <f t="shared" si="242"/>
        <v>3552.17</v>
      </c>
      <c r="O326" s="37">
        <f t="shared" si="242"/>
        <v>3801.47</v>
      </c>
      <c r="P326" s="37">
        <f t="shared" si="242"/>
        <v>4275.08</v>
      </c>
      <c r="Q326" s="37" t="str">
        <f t="shared" si="242"/>
        <v>-</v>
      </c>
    </row>
    <row r="327" spans="2:17">
      <c r="B327" s="75" t="str">
        <f t="shared" si="233"/>
        <v>9b</v>
      </c>
      <c r="C327" s="37">
        <f t="shared" si="234"/>
        <v>2648.85</v>
      </c>
      <c r="D327" s="37">
        <f t="shared" si="234"/>
        <v>2925.94</v>
      </c>
      <c r="E327" s="37">
        <f t="shared" si="234"/>
        <v>3071.16</v>
      </c>
      <c r="F327" s="37">
        <f t="shared" si="234"/>
        <v>3464.92</v>
      </c>
      <c r="G327" s="37">
        <f t="shared" si="234"/>
        <v>3776.53</v>
      </c>
      <c r="H327" s="418">
        <f t="shared" si="237"/>
        <v>4025.78</v>
      </c>
      <c r="K327" s="75">
        <f t="shared" si="235"/>
        <v>9</v>
      </c>
      <c r="L327" s="37">
        <f t="shared" ref="L327:Q327" si="243">IF(L305="-","-",ROUND(L305*$B$318,2))</f>
        <v>2648.85</v>
      </c>
      <c r="M327" s="37">
        <f t="shared" si="243"/>
        <v>2925.94</v>
      </c>
      <c r="N327" s="37">
        <f t="shared" si="243"/>
        <v>3071.16</v>
      </c>
      <c r="O327" s="37">
        <f t="shared" si="243"/>
        <v>3464.92</v>
      </c>
      <c r="P327" s="37">
        <f t="shared" si="243"/>
        <v>3776.53</v>
      </c>
      <c r="Q327" s="37" t="str">
        <f t="shared" si="243"/>
        <v>-</v>
      </c>
    </row>
    <row r="328" spans="2:17">
      <c r="B328" s="75" t="str">
        <f t="shared" si="233"/>
        <v>9a</v>
      </c>
      <c r="C328" s="37">
        <f t="shared" si="234"/>
        <v>2648.85</v>
      </c>
      <c r="D328" s="37">
        <f t="shared" si="234"/>
        <v>2925.94</v>
      </c>
      <c r="E328" s="37">
        <f t="shared" si="234"/>
        <v>2974.36</v>
      </c>
      <c r="F328" s="37">
        <f t="shared" si="234"/>
        <v>3071.16</v>
      </c>
      <c r="G328" s="37">
        <f t="shared" si="234"/>
        <v>3464.92</v>
      </c>
      <c r="H328" s="419">
        <f>IF(I306="-","-",ROUND(I306*$B$318,2))</f>
        <v>3539.95</v>
      </c>
      <c r="K328" s="75">
        <f t="shared" si="235"/>
        <v>8</v>
      </c>
      <c r="L328" s="37">
        <f t="shared" ref="L328:Q328" si="244">IF(L306="-","-",ROUND(L306*$B$318,2))</f>
        <v>2485.48</v>
      </c>
      <c r="M328" s="37">
        <f t="shared" si="244"/>
        <v>2744.42</v>
      </c>
      <c r="N328" s="37">
        <f t="shared" si="244"/>
        <v>2865.46</v>
      </c>
      <c r="O328" s="37">
        <f t="shared" si="244"/>
        <v>2974.36</v>
      </c>
      <c r="P328" s="37">
        <f t="shared" si="244"/>
        <v>3095.36</v>
      </c>
      <c r="Q328" s="37">
        <f t="shared" si="244"/>
        <v>3171.59</v>
      </c>
    </row>
    <row r="329" spans="2:17">
      <c r="B329" s="75">
        <f t="shared" si="233"/>
        <v>8</v>
      </c>
      <c r="C329" s="37">
        <f t="shared" ref="C329:H329" si="245">IF(C307="-","-",ROUND(C307*$B$318,2))</f>
        <v>2485.48</v>
      </c>
      <c r="D329" s="37">
        <f t="shared" si="245"/>
        <v>2744.42</v>
      </c>
      <c r="E329" s="37">
        <f t="shared" si="245"/>
        <v>2865.46</v>
      </c>
      <c r="F329" s="37">
        <f t="shared" si="245"/>
        <v>2974.36</v>
      </c>
      <c r="G329" s="37">
        <f t="shared" si="245"/>
        <v>3095.36</v>
      </c>
      <c r="H329" s="37">
        <f t="shared" si="245"/>
        <v>3171.59</v>
      </c>
      <c r="K329" s="75">
        <f t="shared" si="235"/>
        <v>7</v>
      </c>
      <c r="L329" s="37">
        <f t="shared" ref="L329:Q329" si="246">IF(L307="-","-",ROUND(L307*$B$318,2))</f>
        <v>2333.0300000000002</v>
      </c>
      <c r="M329" s="37">
        <f t="shared" si="246"/>
        <v>2575.02</v>
      </c>
      <c r="N329" s="37">
        <f t="shared" si="246"/>
        <v>2732.33</v>
      </c>
      <c r="O329" s="37">
        <f t="shared" si="246"/>
        <v>2853.36</v>
      </c>
      <c r="P329" s="37">
        <f t="shared" si="246"/>
        <v>2944.1</v>
      </c>
      <c r="Q329" s="37">
        <f t="shared" si="246"/>
        <v>3028.81</v>
      </c>
    </row>
    <row r="330" spans="2:17">
      <c r="B330" s="75">
        <f t="shared" si="233"/>
        <v>7</v>
      </c>
      <c r="C330" s="37">
        <f t="shared" ref="C330:H330" si="247">IF(C308="-","-",ROUND(C308*$B$318,2))</f>
        <v>2333.0300000000002</v>
      </c>
      <c r="D330" s="37">
        <f t="shared" si="247"/>
        <v>2575.02</v>
      </c>
      <c r="E330" s="37">
        <f t="shared" si="247"/>
        <v>2732.33</v>
      </c>
      <c r="F330" s="37">
        <f t="shared" si="247"/>
        <v>2853.36</v>
      </c>
      <c r="G330" s="37">
        <f t="shared" si="247"/>
        <v>2944.1</v>
      </c>
      <c r="H330" s="37">
        <f t="shared" si="247"/>
        <v>3028.81</v>
      </c>
      <c r="K330" s="75">
        <f t="shared" si="235"/>
        <v>6</v>
      </c>
      <c r="L330" s="37">
        <f t="shared" ref="L330:Q330" si="248">IF(L308="-","-",ROUND(L308*$B$318,2))</f>
        <v>2289.44</v>
      </c>
      <c r="M330" s="37">
        <f t="shared" si="248"/>
        <v>2526.62</v>
      </c>
      <c r="N330" s="37">
        <f t="shared" si="248"/>
        <v>2647.62</v>
      </c>
      <c r="O330" s="37">
        <f t="shared" si="248"/>
        <v>2762.59</v>
      </c>
      <c r="P330" s="37">
        <f t="shared" si="248"/>
        <v>2841.25</v>
      </c>
      <c r="Q330" s="37">
        <f t="shared" si="248"/>
        <v>2919.91</v>
      </c>
    </row>
    <row r="331" spans="2:17">
      <c r="B331" s="75">
        <f t="shared" si="233"/>
        <v>6</v>
      </c>
      <c r="C331" s="37">
        <f t="shared" ref="C331:H331" si="249">IF(C309="-","-",ROUND(C309*$B$318,2))</f>
        <v>2289.44</v>
      </c>
      <c r="D331" s="37">
        <f t="shared" si="249"/>
        <v>2526.62</v>
      </c>
      <c r="E331" s="37">
        <f t="shared" si="249"/>
        <v>2647.62</v>
      </c>
      <c r="F331" s="37">
        <f t="shared" si="249"/>
        <v>2762.59</v>
      </c>
      <c r="G331" s="37">
        <f t="shared" si="249"/>
        <v>2841.25</v>
      </c>
      <c r="H331" s="37">
        <f t="shared" si="249"/>
        <v>2919.91</v>
      </c>
      <c r="K331" s="75">
        <f t="shared" si="235"/>
        <v>5</v>
      </c>
      <c r="L331" s="37">
        <f t="shared" ref="L331:Q331" si="250">IF(L309="-","-",ROUND(L309*$B$318,2))</f>
        <v>2197.4699999999998</v>
      </c>
      <c r="M331" s="37">
        <f t="shared" si="250"/>
        <v>2423.7800000000002</v>
      </c>
      <c r="N331" s="37">
        <f t="shared" si="250"/>
        <v>2538.73</v>
      </c>
      <c r="O331" s="37">
        <f t="shared" si="250"/>
        <v>2653.69</v>
      </c>
      <c r="P331" s="37">
        <f t="shared" si="250"/>
        <v>2738.39</v>
      </c>
      <c r="Q331" s="37">
        <f t="shared" si="250"/>
        <v>2798.9</v>
      </c>
    </row>
    <row r="332" spans="2:17">
      <c r="B332" s="75">
        <f t="shared" si="233"/>
        <v>5</v>
      </c>
      <c r="C332" s="37">
        <f t="shared" ref="C332:H332" si="251">IF(C310="-","-",ROUND(C310*$B$318,2))</f>
        <v>2197.4699999999998</v>
      </c>
      <c r="D332" s="37">
        <f t="shared" si="251"/>
        <v>2423.7800000000002</v>
      </c>
      <c r="E332" s="37">
        <f t="shared" si="251"/>
        <v>2538.73</v>
      </c>
      <c r="F332" s="37">
        <f t="shared" si="251"/>
        <v>2653.69</v>
      </c>
      <c r="G332" s="37">
        <f t="shared" si="251"/>
        <v>2738.39</v>
      </c>
      <c r="H332" s="37">
        <f t="shared" si="251"/>
        <v>2798.9</v>
      </c>
      <c r="K332" s="75">
        <f t="shared" si="235"/>
        <v>4</v>
      </c>
      <c r="L332" s="37">
        <f t="shared" ref="L332:Q332" si="252">IF(L310="-","-",ROUND(L310*$B$318,2))</f>
        <v>2093.4</v>
      </c>
      <c r="M332" s="37">
        <f t="shared" si="252"/>
        <v>2308.81</v>
      </c>
      <c r="N332" s="37">
        <f t="shared" si="252"/>
        <v>2454.02</v>
      </c>
      <c r="O332" s="37">
        <f t="shared" si="252"/>
        <v>2538.73</v>
      </c>
      <c r="P332" s="37">
        <f t="shared" si="252"/>
        <v>2623.44</v>
      </c>
      <c r="Q332" s="37">
        <f t="shared" si="252"/>
        <v>2673.03</v>
      </c>
    </row>
    <row r="333" spans="2:17">
      <c r="B333" s="75">
        <f t="shared" si="233"/>
        <v>4</v>
      </c>
      <c r="C333" s="37">
        <f t="shared" ref="C333:H333" si="253">IF(C311="-","-",ROUND(C311*$B$318,2))</f>
        <v>2093.4</v>
      </c>
      <c r="D333" s="37">
        <f t="shared" si="253"/>
        <v>2308.81</v>
      </c>
      <c r="E333" s="37">
        <f t="shared" si="253"/>
        <v>2454.02</v>
      </c>
      <c r="F333" s="37">
        <f t="shared" si="253"/>
        <v>2538.73</v>
      </c>
      <c r="G333" s="37">
        <f t="shared" si="253"/>
        <v>2623.44</v>
      </c>
      <c r="H333" s="37">
        <f t="shared" si="253"/>
        <v>2673.03</v>
      </c>
      <c r="K333" s="75">
        <f t="shared" si="235"/>
        <v>3</v>
      </c>
      <c r="L333" s="37">
        <f t="shared" ref="L333:Q333" si="254">IF(L311="-","-",ROUND(L311*$B$318,2))</f>
        <v>2060.7600000000002</v>
      </c>
      <c r="M333" s="37">
        <f t="shared" si="254"/>
        <v>2272.4899999999998</v>
      </c>
      <c r="N333" s="37">
        <f t="shared" si="254"/>
        <v>2333.0300000000002</v>
      </c>
      <c r="O333" s="37">
        <f t="shared" si="254"/>
        <v>2429.8200000000002</v>
      </c>
      <c r="P333" s="37">
        <f t="shared" si="254"/>
        <v>2502.44</v>
      </c>
      <c r="Q333" s="37">
        <f t="shared" si="254"/>
        <v>2568.98</v>
      </c>
    </row>
    <row r="334" spans="2:17">
      <c r="B334" s="75">
        <f t="shared" si="233"/>
        <v>3</v>
      </c>
      <c r="C334" s="37">
        <f t="shared" ref="C334:H334" si="255">IF(C312="-","-",ROUND(C312*$B$318,2))</f>
        <v>2060.7600000000002</v>
      </c>
      <c r="D334" s="37">
        <f t="shared" si="255"/>
        <v>2272.4899999999998</v>
      </c>
      <c r="E334" s="37">
        <f t="shared" si="255"/>
        <v>2333.0300000000002</v>
      </c>
      <c r="F334" s="37">
        <f t="shared" si="255"/>
        <v>2429.8200000000002</v>
      </c>
      <c r="G334" s="37">
        <f t="shared" si="255"/>
        <v>2502.44</v>
      </c>
      <c r="H334" s="37">
        <f t="shared" si="255"/>
        <v>2568.98</v>
      </c>
      <c r="K334" s="75" t="str">
        <f t="shared" si="235"/>
        <v>2Ü</v>
      </c>
      <c r="L334" s="37">
        <f t="shared" ref="L334:Q334" si="256">IF(L312="-","-",ROUND(L312*$B$318,2))</f>
        <v>1973.6</v>
      </c>
      <c r="M334" s="37">
        <f t="shared" si="256"/>
        <v>2175.71</v>
      </c>
      <c r="N334" s="37">
        <f t="shared" si="256"/>
        <v>2248.31</v>
      </c>
      <c r="O334" s="37">
        <f t="shared" si="256"/>
        <v>2345.12</v>
      </c>
      <c r="P334" s="37">
        <f t="shared" si="256"/>
        <v>2411.66</v>
      </c>
      <c r="Q334" s="37">
        <f t="shared" si="256"/>
        <v>2461.3000000000002</v>
      </c>
    </row>
    <row r="335" spans="2:17">
      <c r="B335" s="75" t="str">
        <f t="shared" si="233"/>
        <v>2Ü</v>
      </c>
      <c r="C335" s="37">
        <f t="shared" ref="C335:H335" si="257">IF(C313="-","-",ROUND(C313*$B$318,2))</f>
        <v>1973.6</v>
      </c>
      <c r="D335" s="37">
        <f t="shared" si="257"/>
        <v>2175.71</v>
      </c>
      <c r="E335" s="37">
        <f t="shared" si="257"/>
        <v>2248.31</v>
      </c>
      <c r="F335" s="37">
        <f t="shared" si="257"/>
        <v>2345.12</v>
      </c>
      <c r="G335" s="37">
        <f t="shared" si="257"/>
        <v>2411.66</v>
      </c>
      <c r="H335" s="37">
        <f t="shared" si="257"/>
        <v>2461.3000000000002</v>
      </c>
      <c r="K335" s="75">
        <f t="shared" si="235"/>
        <v>2</v>
      </c>
      <c r="L335" s="37">
        <f t="shared" ref="L335:Q335" si="258">IF(L313="-","-",ROUND(L313*$B$318,2))</f>
        <v>1908.26</v>
      </c>
      <c r="M335" s="37">
        <f t="shared" si="258"/>
        <v>2103.09</v>
      </c>
      <c r="N335" s="37">
        <f t="shared" si="258"/>
        <v>2163.6</v>
      </c>
      <c r="O335" s="37">
        <f t="shared" si="258"/>
        <v>2224.12</v>
      </c>
      <c r="P335" s="37">
        <f t="shared" si="258"/>
        <v>2357.19</v>
      </c>
      <c r="Q335" s="37">
        <f t="shared" si="258"/>
        <v>2496.38</v>
      </c>
    </row>
    <row r="336" spans="2:17">
      <c r="B336" s="75">
        <f t="shared" si="233"/>
        <v>2</v>
      </c>
      <c r="C336" s="37">
        <f t="shared" ref="C336:H336" si="259">IF(C314="-","-",ROUND(C314*$B$318,2))</f>
        <v>1908.26</v>
      </c>
      <c r="D336" s="37">
        <f t="shared" si="259"/>
        <v>2103.09</v>
      </c>
      <c r="E336" s="37">
        <f t="shared" si="259"/>
        <v>2163.6</v>
      </c>
      <c r="F336" s="37">
        <f t="shared" si="259"/>
        <v>2224.12</v>
      </c>
      <c r="G336" s="37">
        <f t="shared" si="259"/>
        <v>2357.19</v>
      </c>
      <c r="H336" s="37">
        <f t="shared" si="259"/>
        <v>2496.38</v>
      </c>
      <c r="K336" s="75">
        <f t="shared" si="235"/>
        <v>1</v>
      </c>
      <c r="L336" s="37" t="str">
        <f t="shared" ref="L336:Q336" si="260">IF(L314="-","-",ROUND(L314*$B$318,2))</f>
        <v>-</v>
      </c>
      <c r="M336" s="37">
        <f t="shared" si="260"/>
        <v>1711.04</v>
      </c>
      <c r="N336" s="37">
        <f t="shared" si="260"/>
        <v>1740.08</v>
      </c>
      <c r="O336" s="37">
        <f t="shared" si="260"/>
        <v>1776.39</v>
      </c>
      <c r="P336" s="37">
        <f t="shared" si="260"/>
        <v>1810.25</v>
      </c>
      <c r="Q336" s="37">
        <f t="shared" si="260"/>
        <v>1897.38</v>
      </c>
    </row>
    <row r="337" spans="1:17">
      <c r="B337" s="75">
        <f t="shared" si="233"/>
        <v>1</v>
      </c>
      <c r="C337" s="37" t="str">
        <f t="shared" ref="C337:H337" si="261">IF(C315="-","-",ROUND(C315*$B$318,2))</f>
        <v>-</v>
      </c>
      <c r="D337" s="37">
        <f t="shared" si="261"/>
        <v>1711.04</v>
      </c>
      <c r="E337" s="37">
        <f t="shared" si="261"/>
        <v>1740.08</v>
      </c>
      <c r="F337" s="37">
        <f t="shared" si="261"/>
        <v>1776.39</v>
      </c>
      <c r="G337" s="37">
        <f t="shared" si="261"/>
        <v>1810.25</v>
      </c>
      <c r="H337" s="37">
        <f t="shared" si="261"/>
        <v>1897.38</v>
      </c>
    </row>
    <row r="338" spans="1:17">
      <c r="B338" s="172"/>
    </row>
    <row r="339" spans="1:17">
      <c r="B339" s="172"/>
    </row>
    <row r="340" spans="1:17">
      <c r="B340" s="172" t="s">
        <v>376</v>
      </c>
      <c r="C340" s="247"/>
      <c r="K340" s="248" t="s">
        <v>272</v>
      </c>
    </row>
    <row r="341" spans="1:17">
      <c r="A341" s="155" t="s">
        <v>356</v>
      </c>
      <c r="B341" s="75">
        <v>2017</v>
      </c>
      <c r="C341" s="75" t="str">
        <f t="shared" ref="C341:H341" si="262">C319</f>
        <v>Stufe 1</v>
      </c>
      <c r="D341" s="75" t="str">
        <f t="shared" si="262"/>
        <v>Stufe 2</v>
      </c>
      <c r="E341" s="75" t="str">
        <f t="shared" si="262"/>
        <v>Stufe 3</v>
      </c>
      <c r="F341" s="75" t="str">
        <f t="shared" si="262"/>
        <v>Stufe 4</v>
      </c>
      <c r="G341" s="75" t="str">
        <f t="shared" si="262"/>
        <v>Stufe 5</v>
      </c>
      <c r="H341" s="75" t="str">
        <f t="shared" si="262"/>
        <v>Stufe 6</v>
      </c>
      <c r="J341" s="155" t="str">
        <f>A341</f>
        <v>ab Feb 2017</v>
      </c>
      <c r="K341" s="75">
        <v>2017</v>
      </c>
      <c r="L341" s="75" t="str">
        <f t="shared" ref="L341:Q341" si="263">C319</f>
        <v>Stufe 1</v>
      </c>
      <c r="M341" s="75" t="str">
        <f t="shared" si="263"/>
        <v>Stufe 2</v>
      </c>
      <c r="N341" s="75" t="str">
        <f t="shared" si="263"/>
        <v>Stufe 3</v>
      </c>
      <c r="O341" s="75" t="str">
        <f t="shared" si="263"/>
        <v>Stufe 4</v>
      </c>
      <c r="P341" s="75" t="str">
        <f t="shared" si="263"/>
        <v>Stufe 5</v>
      </c>
      <c r="Q341" s="75" t="str">
        <f t="shared" si="263"/>
        <v>Stufe 6</v>
      </c>
    </row>
    <row r="342" spans="1:17">
      <c r="B342" s="75" t="str">
        <f>B320</f>
        <v>15Ü</v>
      </c>
      <c r="C342" s="37">
        <f t="shared" ref="C342:H342" si="264">IF(C320="-","-",ROUND(C320*$B$340,2))</f>
        <v>5517.25</v>
      </c>
      <c r="D342" s="37">
        <f t="shared" si="264"/>
        <v>6123.21</v>
      </c>
      <c r="E342" s="37">
        <f t="shared" si="264"/>
        <v>6697.25</v>
      </c>
      <c r="F342" s="37">
        <f t="shared" si="264"/>
        <v>7079.97</v>
      </c>
      <c r="G342" s="37">
        <f t="shared" si="264"/>
        <v>7169.26</v>
      </c>
      <c r="H342" s="37" t="str">
        <f t="shared" si="264"/>
        <v>-</v>
      </c>
      <c r="K342" s="75" t="str">
        <f>K320</f>
        <v>15Ü</v>
      </c>
      <c r="L342" s="37">
        <f t="shared" ref="L342:Q342" si="265">IF(L320="-","-",ROUND(L320*$B$340,2))</f>
        <v>5517.25</v>
      </c>
      <c r="M342" s="37">
        <f t="shared" si="265"/>
        <v>6123.21</v>
      </c>
      <c r="N342" s="37">
        <f t="shared" si="265"/>
        <v>6697.25</v>
      </c>
      <c r="O342" s="37">
        <f t="shared" si="265"/>
        <v>7079.97</v>
      </c>
      <c r="P342" s="37">
        <f t="shared" si="265"/>
        <v>7169.26</v>
      </c>
      <c r="Q342" s="37" t="str">
        <f t="shared" si="265"/>
        <v>-</v>
      </c>
    </row>
    <row r="343" spans="1:17">
      <c r="B343" s="75">
        <f t="shared" ref="B343:B359" si="266">B321</f>
        <v>15</v>
      </c>
      <c r="C343" s="37">
        <f t="shared" ref="C343:H343" si="267">IF(C321="-","-",ROUND(C321*$B$340,2))</f>
        <v>4380.63</v>
      </c>
      <c r="D343" s="37">
        <f t="shared" si="267"/>
        <v>4860.3100000000004</v>
      </c>
      <c r="E343" s="37">
        <f t="shared" si="267"/>
        <v>5038.8999999999996</v>
      </c>
      <c r="F343" s="37">
        <f t="shared" si="267"/>
        <v>5676.72</v>
      </c>
      <c r="G343" s="37">
        <f t="shared" si="267"/>
        <v>6161.47</v>
      </c>
      <c r="H343" s="417">
        <f t="shared" si="267"/>
        <v>6480.39</v>
      </c>
      <c r="K343" s="75">
        <f t="shared" ref="K343:K358" si="268">K321</f>
        <v>15</v>
      </c>
      <c r="L343" s="37">
        <f t="shared" ref="L343:Q343" si="269">IF(L321="-","-",ROUND(L321*$B$340,2))</f>
        <v>4380.63</v>
      </c>
      <c r="M343" s="37">
        <f t="shared" si="269"/>
        <v>4860.3100000000004</v>
      </c>
      <c r="N343" s="37">
        <f t="shared" si="269"/>
        <v>5038.8999999999996</v>
      </c>
      <c r="O343" s="37">
        <f t="shared" si="269"/>
        <v>5676.72</v>
      </c>
      <c r="P343" s="37">
        <f t="shared" si="269"/>
        <v>6161.47</v>
      </c>
      <c r="Q343" s="37" t="str">
        <f t="shared" si="269"/>
        <v>-</v>
      </c>
    </row>
    <row r="344" spans="1:17">
      <c r="B344" s="75">
        <f t="shared" si="266"/>
        <v>14</v>
      </c>
      <c r="C344" s="37">
        <f t="shared" ref="C344:H344" si="270">IF(C322="-","-",ROUND(C322*$B$340,2))</f>
        <v>3967.32</v>
      </c>
      <c r="D344" s="37">
        <f t="shared" si="270"/>
        <v>4401.04</v>
      </c>
      <c r="E344" s="37">
        <f t="shared" si="270"/>
        <v>4656.17</v>
      </c>
      <c r="F344" s="37">
        <f t="shared" si="270"/>
        <v>5038.8999999999996</v>
      </c>
      <c r="G344" s="37">
        <f t="shared" si="270"/>
        <v>5625.72</v>
      </c>
      <c r="H344" s="418">
        <f t="shared" si="270"/>
        <v>5944.61</v>
      </c>
      <c r="K344" s="75">
        <f t="shared" si="268"/>
        <v>14</v>
      </c>
      <c r="L344" s="37">
        <f t="shared" ref="L344:Q344" si="271">IF(L322="-","-",ROUND(L322*$B$340,2))</f>
        <v>3967.32</v>
      </c>
      <c r="M344" s="37">
        <f t="shared" si="271"/>
        <v>4401.04</v>
      </c>
      <c r="N344" s="37">
        <f t="shared" si="271"/>
        <v>4656.17</v>
      </c>
      <c r="O344" s="37">
        <f t="shared" si="271"/>
        <v>5038.8999999999996</v>
      </c>
      <c r="P344" s="37">
        <f t="shared" si="271"/>
        <v>5625.72</v>
      </c>
      <c r="Q344" s="37" t="str">
        <f t="shared" si="271"/>
        <v>-</v>
      </c>
    </row>
    <row r="345" spans="1:17">
      <c r="B345" s="75">
        <f t="shared" si="266"/>
        <v>13</v>
      </c>
      <c r="C345" s="37">
        <f t="shared" ref="C345:H345" si="272">IF(C323="-","-",ROUND(C323*$B$340,2))</f>
        <v>3657.34</v>
      </c>
      <c r="D345" s="37">
        <f t="shared" si="272"/>
        <v>4056.62</v>
      </c>
      <c r="E345" s="37">
        <f t="shared" si="272"/>
        <v>4273.5</v>
      </c>
      <c r="F345" s="37">
        <f t="shared" si="272"/>
        <v>4694.43</v>
      </c>
      <c r="G345" s="37">
        <f t="shared" si="272"/>
        <v>5281.25</v>
      </c>
      <c r="H345" s="418">
        <f t="shared" si="272"/>
        <v>5523.65</v>
      </c>
      <c r="K345" s="75">
        <f t="shared" si="268"/>
        <v>13</v>
      </c>
      <c r="L345" s="37">
        <f t="shared" ref="L345:Q345" si="273">IF(L323="-","-",ROUND(L323*$B$340,2))</f>
        <v>3657.34</v>
      </c>
      <c r="M345" s="37">
        <f t="shared" si="273"/>
        <v>4056.62</v>
      </c>
      <c r="N345" s="37">
        <f t="shared" si="273"/>
        <v>4273.5</v>
      </c>
      <c r="O345" s="37">
        <f t="shared" si="273"/>
        <v>4694.43</v>
      </c>
      <c r="P345" s="37">
        <f t="shared" si="273"/>
        <v>5281.25</v>
      </c>
      <c r="Q345" s="37" t="str">
        <f t="shared" si="273"/>
        <v>-</v>
      </c>
    </row>
    <row r="346" spans="1:17">
      <c r="B346" s="75">
        <f t="shared" si="266"/>
        <v>12</v>
      </c>
      <c r="C346" s="37">
        <f t="shared" ref="C346:H346" si="274">IF(C324="-","-",ROUND(C324*$B$340,2))</f>
        <v>3279.57</v>
      </c>
      <c r="D346" s="37">
        <f t="shared" si="274"/>
        <v>3635.65</v>
      </c>
      <c r="E346" s="37">
        <f t="shared" si="274"/>
        <v>4145.91</v>
      </c>
      <c r="F346" s="37">
        <f t="shared" si="274"/>
        <v>4592.3999999999996</v>
      </c>
      <c r="G346" s="37">
        <f t="shared" si="274"/>
        <v>5166.46</v>
      </c>
      <c r="H346" s="418">
        <f t="shared" si="274"/>
        <v>5421.59</v>
      </c>
      <c r="K346" s="75">
        <f t="shared" si="268"/>
        <v>12</v>
      </c>
      <c r="L346" s="37">
        <f t="shared" ref="L346:Q346" si="275">IF(L324="-","-",ROUND(L324*$B$340,2))</f>
        <v>3279.57</v>
      </c>
      <c r="M346" s="37">
        <f t="shared" si="275"/>
        <v>3635.65</v>
      </c>
      <c r="N346" s="37">
        <f t="shared" si="275"/>
        <v>4145.91</v>
      </c>
      <c r="O346" s="37">
        <f t="shared" si="275"/>
        <v>4592.3999999999996</v>
      </c>
      <c r="P346" s="37">
        <f t="shared" si="275"/>
        <v>5166.46</v>
      </c>
      <c r="Q346" s="37" t="str">
        <f t="shared" si="275"/>
        <v>-</v>
      </c>
    </row>
    <row r="347" spans="1:17">
      <c r="B347" s="75">
        <f t="shared" si="266"/>
        <v>11</v>
      </c>
      <c r="C347" s="37">
        <f t="shared" ref="C347:H347" si="276">IF(C325="-","-",ROUND(C325*$B$340,2))</f>
        <v>3168.1</v>
      </c>
      <c r="D347" s="37">
        <f t="shared" si="276"/>
        <v>3508.11</v>
      </c>
      <c r="E347" s="37">
        <f t="shared" si="276"/>
        <v>3763.23</v>
      </c>
      <c r="F347" s="37">
        <f t="shared" si="276"/>
        <v>4145.91</v>
      </c>
      <c r="G347" s="37">
        <f t="shared" si="276"/>
        <v>4700.83</v>
      </c>
      <c r="H347" s="418">
        <f t="shared" si="276"/>
        <v>4955.97</v>
      </c>
      <c r="K347" s="75">
        <f t="shared" si="268"/>
        <v>11</v>
      </c>
      <c r="L347" s="37">
        <f t="shared" ref="L347:Q347" si="277">IF(L325="-","-",ROUND(L325*$B$340,2))</f>
        <v>3168.1</v>
      </c>
      <c r="M347" s="37">
        <f t="shared" si="277"/>
        <v>3508.11</v>
      </c>
      <c r="N347" s="37">
        <f t="shared" si="277"/>
        <v>3763.23</v>
      </c>
      <c r="O347" s="37">
        <f t="shared" si="277"/>
        <v>4145.91</v>
      </c>
      <c r="P347" s="37">
        <f t="shared" si="277"/>
        <v>4700.83</v>
      </c>
      <c r="Q347" s="37" t="str">
        <f t="shared" si="277"/>
        <v>-</v>
      </c>
    </row>
    <row r="348" spans="1:17">
      <c r="B348" s="75">
        <f t="shared" si="266"/>
        <v>10</v>
      </c>
      <c r="C348" s="37">
        <f t="shared" ref="C348:H348" si="278">IF(C326="-","-",ROUND(C326*$B$340,2))</f>
        <v>3056.61</v>
      </c>
      <c r="D348" s="37">
        <f t="shared" si="278"/>
        <v>3380.51</v>
      </c>
      <c r="E348" s="37">
        <f t="shared" si="278"/>
        <v>3635.65</v>
      </c>
      <c r="F348" s="37">
        <f t="shared" si="278"/>
        <v>3890.8</v>
      </c>
      <c r="G348" s="37">
        <f t="shared" si="278"/>
        <v>4375.54</v>
      </c>
      <c r="H348" s="418">
        <f t="shared" si="278"/>
        <v>4490.3500000000004</v>
      </c>
      <c r="K348" s="75">
        <f t="shared" si="268"/>
        <v>10</v>
      </c>
      <c r="L348" s="37">
        <f t="shared" ref="L348:Q348" si="279">IF(L326="-","-",ROUND(L326*$B$340,2))</f>
        <v>3056.61</v>
      </c>
      <c r="M348" s="37">
        <f t="shared" si="279"/>
        <v>3380.51</v>
      </c>
      <c r="N348" s="37">
        <f t="shared" si="279"/>
        <v>3635.65</v>
      </c>
      <c r="O348" s="37">
        <f t="shared" si="279"/>
        <v>3890.8</v>
      </c>
      <c r="P348" s="37">
        <f t="shared" si="279"/>
        <v>4375.54</v>
      </c>
      <c r="Q348" s="37" t="str">
        <f t="shared" si="279"/>
        <v>-</v>
      </c>
    </row>
    <row r="349" spans="1:17">
      <c r="B349" s="75" t="str">
        <f t="shared" si="266"/>
        <v>9b</v>
      </c>
      <c r="C349" s="37">
        <f t="shared" ref="C349:H349" si="280">IF(C327="-","-",ROUND(C327*$B$340,2))</f>
        <v>2711.1</v>
      </c>
      <c r="D349" s="37">
        <f t="shared" si="280"/>
        <v>2994.7</v>
      </c>
      <c r="E349" s="37">
        <f t="shared" si="280"/>
        <v>3143.33</v>
      </c>
      <c r="F349" s="37">
        <f t="shared" si="280"/>
        <v>3546.35</v>
      </c>
      <c r="G349" s="37">
        <f t="shared" si="280"/>
        <v>3865.28</v>
      </c>
      <c r="H349" s="418">
        <f t="shared" si="280"/>
        <v>4120.3900000000003</v>
      </c>
      <c r="K349" s="75">
        <f t="shared" si="268"/>
        <v>9</v>
      </c>
      <c r="L349" s="37">
        <f t="shared" ref="L349:Q349" si="281">IF(L327="-","-",ROUND(L327*$B$340,2))</f>
        <v>2711.1</v>
      </c>
      <c r="M349" s="37">
        <f t="shared" si="281"/>
        <v>2994.7</v>
      </c>
      <c r="N349" s="37">
        <f t="shared" si="281"/>
        <v>3143.33</v>
      </c>
      <c r="O349" s="37">
        <f t="shared" si="281"/>
        <v>3546.35</v>
      </c>
      <c r="P349" s="37">
        <f t="shared" si="281"/>
        <v>3865.28</v>
      </c>
      <c r="Q349" s="37" t="str">
        <f t="shared" si="281"/>
        <v>-</v>
      </c>
    </row>
    <row r="350" spans="1:17">
      <c r="B350" s="75" t="str">
        <f t="shared" si="266"/>
        <v>9a</v>
      </c>
      <c r="C350" s="37">
        <f t="shared" ref="C350:H350" si="282">IF(C328="-","-",ROUND(C328*$B$340,2))</f>
        <v>2711.1</v>
      </c>
      <c r="D350" s="37">
        <f t="shared" si="282"/>
        <v>2994.7</v>
      </c>
      <c r="E350" s="37">
        <f t="shared" si="282"/>
        <v>3044.26</v>
      </c>
      <c r="F350" s="37">
        <f t="shared" si="282"/>
        <v>3143.33</v>
      </c>
      <c r="G350" s="37">
        <f t="shared" si="282"/>
        <v>3546.35</v>
      </c>
      <c r="H350" s="419">
        <f t="shared" si="282"/>
        <v>3623.14</v>
      </c>
      <c r="K350" s="75">
        <f t="shared" si="268"/>
        <v>8</v>
      </c>
      <c r="L350" s="37">
        <f t="shared" ref="L350:Q350" si="283">IF(L328="-","-",ROUND(L328*$B$340,2))</f>
        <v>2543.89</v>
      </c>
      <c r="M350" s="37">
        <f t="shared" si="283"/>
        <v>2808.91</v>
      </c>
      <c r="N350" s="37">
        <f t="shared" si="283"/>
        <v>2932.8</v>
      </c>
      <c r="O350" s="37">
        <f t="shared" si="283"/>
        <v>3044.26</v>
      </c>
      <c r="P350" s="37">
        <f t="shared" si="283"/>
        <v>3168.1</v>
      </c>
      <c r="Q350" s="37">
        <f t="shared" si="283"/>
        <v>3246.12</v>
      </c>
    </row>
    <row r="351" spans="1:17">
      <c r="B351" s="75">
        <f t="shared" si="266"/>
        <v>8</v>
      </c>
      <c r="C351" s="37">
        <f t="shared" ref="C351:H351" si="284">IF(C329="-","-",ROUND(C329*$B$340,2))</f>
        <v>2543.89</v>
      </c>
      <c r="D351" s="37">
        <f t="shared" si="284"/>
        <v>2808.91</v>
      </c>
      <c r="E351" s="37">
        <f t="shared" si="284"/>
        <v>2932.8</v>
      </c>
      <c r="F351" s="37">
        <f t="shared" si="284"/>
        <v>3044.26</v>
      </c>
      <c r="G351" s="37">
        <f t="shared" si="284"/>
        <v>3168.1</v>
      </c>
      <c r="H351" s="37">
        <f t="shared" si="284"/>
        <v>3246.12</v>
      </c>
      <c r="K351" s="75">
        <f t="shared" si="268"/>
        <v>7</v>
      </c>
      <c r="L351" s="37">
        <f t="shared" ref="L351:Q351" si="285">IF(L329="-","-",ROUND(L329*$B$340,2))</f>
        <v>2387.86</v>
      </c>
      <c r="M351" s="37">
        <f t="shared" si="285"/>
        <v>2635.53</v>
      </c>
      <c r="N351" s="37">
        <f t="shared" si="285"/>
        <v>2796.54</v>
      </c>
      <c r="O351" s="37">
        <f t="shared" si="285"/>
        <v>2920.41</v>
      </c>
      <c r="P351" s="37">
        <f t="shared" si="285"/>
        <v>3013.29</v>
      </c>
      <c r="Q351" s="37">
        <f t="shared" si="285"/>
        <v>3099.99</v>
      </c>
    </row>
    <row r="352" spans="1:17">
      <c r="B352" s="75">
        <f t="shared" si="266"/>
        <v>7</v>
      </c>
      <c r="C352" s="37">
        <f t="shared" ref="C352:H352" si="286">IF(C330="-","-",ROUND(C330*$B$340,2))</f>
        <v>2387.86</v>
      </c>
      <c r="D352" s="37">
        <f t="shared" si="286"/>
        <v>2635.53</v>
      </c>
      <c r="E352" s="37">
        <f t="shared" si="286"/>
        <v>2796.54</v>
      </c>
      <c r="F352" s="37">
        <f t="shared" si="286"/>
        <v>2920.41</v>
      </c>
      <c r="G352" s="37">
        <f t="shared" si="286"/>
        <v>3013.29</v>
      </c>
      <c r="H352" s="37">
        <f t="shared" si="286"/>
        <v>3099.99</v>
      </c>
      <c r="K352" s="75">
        <f t="shared" si="268"/>
        <v>6</v>
      </c>
      <c r="L352" s="37">
        <f t="shared" ref="L352:Q352" si="287">IF(L330="-","-",ROUND(L330*$B$340,2))</f>
        <v>2343.2399999999998</v>
      </c>
      <c r="M352" s="37">
        <f t="shared" si="287"/>
        <v>2586</v>
      </c>
      <c r="N352" s="37">
        <f t="shared" si="287"/>
        <v>2709.84</v>
      </c>
      <c r="O352" s="37">
        <f t="shared" si="287"/>
        <v>2827.51</v>
      </c>
      <c r="P352" s="37">
        <f t="shared" si="287"/>
        <v>2908.02</v>
      </c>
      <c r="Q352" s="37">
        <f t="shared" si="287"/>
        <v>2988.53</v>
      </c>
    </row>
    <row r="353" spans="1:17">
      <c r="B353" s="75">
        <f t="shared" si="266"/>
        <v>6</v>
      </c>
      <c r="C353" s="37">
        <f t="shared" ref="C353:H353" si="288">IF(C331="-","-",ROUND(C331*$B$340,2))</f>
        <v>2343.2399999999998</v>
      </c>
      <c r="D353" s="37">
        <f t="shared" si="288"/>
        <v>2586</v>
      </c>
      <c r="E353" s="37">
        <f t="shared" si="288"/>
        <v>2709.84</v>
      </c>
      <c r="F353" s="37">
        <f t="shared" si="288"/>
        <v>2827.51</v>
      </c>
      <c r="G353" s="37">
        <f t="shared" si="288"/>
        <v>2908.02</v>
      </c>
      <c r="H353" s="37">
        <f t="shared" si="288"/>
        <v>2988.53</v>
      </c>
      <c r="K353" s="75">
        <f t="shared" si="268"/>
        <v>5</v>
      </c>
      <c r="L353" s="37">
        <f t="shared" ref="L353:Q353" si="289">IF(L331="-","-",ROUND(L331*$B$340,2))</f>
        <v>2249.11</v>
      </c>
      <c r="M353" s="37">
        <f t="shared" si="289"/>
        <v>2480.7399999999998</v>
      </c>
      <c r="N353" s="37">
        <f t="shared" si="289"/>
        <v>2598.39</v>
      </c>
      <c r="O353" s="37">
        <f t="shared" si="289"/>
        <v>2716.05</v>
      </c>
      <c r="P353" s="37">
        <f t="shared" si="289"/>
        <v>2802.74</v>
      </c>
      <c r="Q353" s="37">
        <f t="shared" si="289"/>
        <v>2864.67</v>
      </c>
    </row>
    <row r="354" spans="1:17">
      <c r="B354" s="75">
        <f t="shared" si="266"/>
        <v>5</v>
      </c>
      <c r="C354" s="37">
        <f t="shared" ref="C354:H354" si="290">IF(C332="-","-",ROUND(C332*$B$340,2))</f>
        <v>2249.11</v>
      </c>
      <c r="D354" s="37">
        <f t="shared" si="290"/>
        <v>2480.7399999999998</v>
      </c>
      <c r="E354" s="37">
        <f t="shared" si="290"/>
        <v>2598.39</v>
      </c>
      <c r="F354" s="37">
        <f t="shared" si="290"/>
        <v>2716.05</v>
      </c>
      <c r="G354" s="37">
        <f t="shared" si="290"/>
        <v>2802.74</v>
      </c>
      <c r="H354" s="37">
        <f t="shared" si="290"/>
        <v>2864.67</v>
      </c>
      <c r="K354" s="75">
        <f t="shared" si="268"/>
        <v>4</v>
      </c>
      <c r="L354" s="37">
        <f t="shared" ref="L354:Q354" si="291">IF(L332="-","-",ROUND(L332*$B$340,2))</f>
        <v>2142.59</v>
      </c>
      <c r="M354" s="37">
        <f t="shared" si="291"/>
        <v>2363.0700000000002</v>
      </c>
      <c r="N354" s="37">
        <f t="shared" si="291"/>
        <v>2511.69</v>
      </c>
      <c r="O354" s="37">
        <f t="shared" si="291"/>
        <v>2598.39</v>
      </c>
      <c r="P354" s="37">
        <f t="shared" si="291"/>
        <v>2685.09</v>
      </c>
      <c r="Q354" s="37">
        <f t="shared" si="291"/>
        <v>2735.85</v>
      </c>
    </row>
    <row r="355" spans="1:17">
      <c r="B355" s="75">
        <f t="shared" si="266"/>
        <v>4</v>
      </c>
      <c r="C355" s="37">
        <f t="shared" ref="C355:H355" si="292">IF(C333="-","-",ROUND(C333*$B$340,2))</f>
        <v>2142.59</v>
      </c>
      <c r="D355" s="37">
        <f t="shared" si="292"/>
        <v>2363.0700000000002</v>
      </c>
      <c r="E355" s="37">
        <f t="shared" si="292"/>
        <v>2511.69</v>
      </c>
      <c r="F355" s="37">
        <f t="shared" si="292"/>
        <v>2598.39</v>
      </c>
      <c r="G355" s="37">
        <f t="shared" si="292"/>
        <v>2685.09</v>
      </c>
      <c r="H355" s="37">
        <f t="shared" si="292"/>
        <v>2735.85</v>
      </c>
      <c r="K355" s="75">
        <f t="shared" si="268"/>
        <v>3</v>
      </c>
      <c r="L355" s="37">
        <f t="shared" ref="L355:Q355" si="293">IF(L333="-","-",ROUND(L333*$B$340,2))</f>
        <v>2109.19</v>
      </c>
      <c r="M355" s="37">
        <f t="shared" si="293"/>
        <v>2325.89</v>
      </c>
      <c r="N355" s="37">
        <f t="shared" si="293"/>
        <v>2387.86</v>
      </c>
      <c r="O355" s="37">
        <f t="shared" si="293"/>
        <v>2486.92</v>
      </c>
      <c r="P355" s="37">
        <f t="shared" si="293"/>
        <v>2561.25</v>
      </c>
      <c r="Q355" s="37">
        <f t="shared" si="293"/>
        <v>2629.35</v>
      </c>
    </row>
    <row r="356" spans="1:17">
      <c r="B356" s="75">
        <f t="shared" si="266"/>
        <v>3</v>
      </c>
      <c r="C356" s="37">
        <f t="shared" ref="C356:H356" si="294">IF(C334="-","-",ROUND(C334*$B$340,2))</f>
        <v>2109.19</v>
      </c>
      <c r="D356" s="37">
        <f t="shared" si="294"/>
        <v>2325.89</v>
      </c>
      <c r="E356" s="37">
        <f t="shared" si="294"/>
        <v>2387.86</v>
      </c>
      <c r="F356" s="37">
        <f t="shared" si="294"/>
        <v>2486.92</v>
      </c>
      <c r="G356" s="37">
        <f t="shared" si="294"/>
        <v>2561.25</v>
      </c>
      <c r="H356" s="37">
        <f t="shared" si="294"/>
        <v>2629.35</v>
      </c>
      <c r="K356" s="75" t="str">
        <f t="shared" si="268"/>
        <v>2Ü</v>
      </c>
      <c r="L356" s="37">
        <f t="shared" ref="L356:Q356" si="295">IF(L334="-","-",ROUND(L334*$B$340,2))</f>
        <v>2019.98</v>
      </c>
      <c r="M356" s="37">
        <f t="shared" si="295"/>
        <v>2226.84</v>
      </c>
      <c r="N356" s="37">
        <f t="shared" si="295"/>
        <v>2301.15</v>
      </c>
      <c r="O356" s="37">
        <f t="shared" si="295"/>
        <v>2400.23</v>
      </c>
      <c r="P356" s="37">
        <f t="shared" si="295"/>
        <v>2468.33</v>
      </c>
      <c r="Q356" s="37">
        <f t="shared" si="295"/>
        <v>2519.14</v>
      </c>
    </row>
    <row r="357" spans="1:17">
      <c r="B357" s="75" t="str">
        <f t="shared" si="266"/>
        <v>2Ü</v>
      </c>
      <c r="C357" s="37">
        <f t="shared" ref="C357:H357" si="296">IF(C335="-","-",ROUND(C335*$B$340,2))</f>
        <v>2019.98</v>
      </c>
      <c r="D357" s="37">
        <f t="shared" si="296"/>
        <v>2226.84</v>
      </c>
      <c r="E357" s="37">
        <f t="shared" si="296"/>
        <v>2301.15</v>
      </c>
      <c r="F357" s="37">
        <f t="shared" si="296"/>
        <v>2400.23</v>
      </c>
      <c r="G357" s="37">
        <f t="shared" si="296"/>
        <v>2468.33</v>
      </c>
      <c r="H357" s="37">
        <f t="shared" si="296"/>
        <v>2519.14</v>
      </c>
      <c r="K357" s="75">
        <f t="shared" si="268"/>
        <v>2</v>
      </c>
      <c r="L357" s="37">
        <f t="shared" ref="L357:Q357" si="297">IF(L335="-","-",ROUND(L335*$B$340,2))</f>
        <v>1953.1</v>
      </c>
      <c r="M357" s="37">
        <f t="shared" si="297"/>
        <v>2152.5100000000002</v>
      </c>
      <c r="N357" s="37">
        <f t="shared" si="297"/>
        <v>2214.44</v>
      </c>
      <c r="O357" s="37">
        <f t="shared" si="297"/>
        <v>2276.39</v>
      </c>
      <c r="P357" s="37">
        <f t="shared" si="297"/>
        <v>2412.58</v>
      </c>
      <c r="Q357" s="37">
        <f t="shared" si="297"/>
        <v>2555.04</v>
      </c>
    </row>
    <row r="358" spans="1:17">
      <c r="B358" s="75">
        <f t="shared" si="266"/>
        <v>2</v>
      </c>
      <c r="C358" s="37">
        <f t="shared" ref="C358:H358" si="298">IF(C336="-","-",ROUND(C336*$B$340,2))</f>
        <v>1953.1</v>
      </c>
      <c r="D358" s="37">
        <f t="shared" si="298"/>
        <v>2152.5100000000002</v>
      </c>
      <c r="E358" s="37">
        <f t="shared" si="298"/>
        <v>2214.44</v>
      </c>
      <c r="F358" s="37">
        <f t="shared" si="298"/>
        <v>2276.39</v>
      </c>
      <c r="G358" s="37">
        <f t="shared" si="298"/>
        <v>2412.58</v>
      </c>
      <c r="H358" s="37">
        <f t="shared" si="298"/>
        <v>2555.04</v>
      </c>
      <c r="K358" s="75">
        <f t="shared" si="268"/>
        <v>1</v>
      </c>
      <c r="L358" s="37" t="str">
        <f t="shared" ref="L358:Q358" si="299">IF(L336="-","-",ROUND(L336*$B$340,2))</f>
        <v>-</v>
      </c>
      <c r="M358" s="37">
        <f t="shared" si="299"/>
        <v>1751.25</v>
      </c>
      <c r="N358" s="37">
        <f t="shared" si="299"/>
        <v>1780.97</v>
      </c>
      <c r="O358" s="37">
        <f t="shared" si="299"/>
        <v>1818.14</v>
      </c>
      <c r="P358" s="37">
        <f t="shared" si="299"/>
        <v>1852.79</v>
      </c>
      <c r="Q358" s="37">
        <f t="shared" si="299"/>
        <v>1941.97</v>
      </c>
    </row>
    <row r="359" spans="1:17">
      <c r="B359" s="75">
        <f t="shared" si="266"/>
        <v>1</v>
      </c>
      <c r="C359" s="37" t="str">
        <f t="shared" ref="C359:H359" si="300">IF(C337="-","-",ROUND(C337*$B$340,2))</f>
        <v>-</v>
      </c>
      <c r="D359" s="37">
        <f t="shared" si="300"/>
        <v>1751.25</v>
      </c>
      <c r="E359" s="37">
        <f t="shared" si="300"/>
        <v>1780.97</v>
      </c>
      <c r="F359" s="37">
        <f t="shared" si="300"/>
        <v>1818.14</v>
      </c>
      <c r="G359" s="37">
        <f t="shared" si="300"/>
        <v>1852.79</v>
      </c>
      <c r="H359" s="37">
        <f t="shared" si="300"/>
        <v>1941.97</v>
      </c>
    </row>
    <row r="362" spans="1:17">
      <c r="B362" s="512" t="s">
        <v>491</v>
      </c>
      <c r="C362" s="247"/>
    </row>
    <row r="363" spans="1:17">
      <c r="A363" s="155" t="s">
        <v>487</v>
      </c>
      <c r="B363" s="75">
        <v>2018</v>
      </c>
      <c r="C363" s="75" t="s">
        <v>7</v>
      </c>
      <c r="D363" s="75" t="s">
        <v>8</v>
      </c>
      <c r="E363" s="75" t="s">
        <v>9</v>
      </c>
      <c r="F363" s="75" t="s">
        <v>10</v>
      </c>
      <c r="G363" s="75" t="s">
        <v>11</v>
      </c>
      <c r="H363" s="75" t="s">
        <v>12</v>
      </c>
    </row>
    <row r="364" spans="1:17">
      <c r="B364" s="75" t="s">
        <v>13</v>
      </c>
      <c r="C364" s="511">
        <f t="shared" ref="C364:H364" si="301">IF(C342="-","-",ROUND(C342*$B$362,2))</f>
        <v>5693.25</v>
      </c>
      <c r="D364" s="511">
        <f t="shared" si="301"/>
        <v>6318.54</v>
      </c>
      <c r="E364" s="511">
        <f t="shared" si="301"/>
        <v>6910.89</v>
      </c>
      <c r="F364" s="511">
        <f t="shared" si="301"/>
        <v>7305.82</v>
      </c>
      <c r="G364" s="511">
        <f t="shared" si="301"/>
        <v>7397.96</v>
      </c>
      <c r="H364" s="511" t="str">
        <f t="shared" si="301"/>
        <v>-</v>
      </c>
    </row>
    <row r="365" spans="1:17">
      <c r="B365" s="75">
        <v>15</v>
      </c>
      <c r="C365" s="37">
        <v>4584.49</v>
      </c>
      <c r="D365" s="37">
        <v>5000.7700000000004</v>
      </c>
      <c r="E365" s="37">
        <v>5260.14</v>
      </c>
      <c r="F365" s="37">
        <v>5840.78</v>
      </c>
      <c r="G365" s="37">
        <v>6339.54</v>
      </c>
      <c r="H365" s="37">
        <v>6667.67</v>
      </c>
    </row>
    <row r="366" spans="1:17">
      <c r="B366" s="75">
        <v>14</v>
      </c>
      <c r="C366" s="37">
        <v>4151.6499999999996</v>
      </c>
      <c r="D366" s="37">
        <v>4528.2299999999996</v>
      </c>
      <c r="E366" s="37">
        <v>4841.03</v>
      </c>
      <c r="F366" s="37">
        <v>5245.42</v>
      </c>
      <c r="G366" s="37">
        <v>5788.3</v>
      </c>
      <c r="H366" s="37">
        <v>6119.17</v>
      </c>
    </row>
    <row r="367" spans="1:17">
      <c r="B367" s="75">
        <v>13</v>
      </c>
      <c r="C367" s="37">
        <v>3827.03</v>
      </c>
      <c r="D367" s="37">
        <v>4196.0200000000004</v>
      </c>
      <c r="E367" s="37">
        <v>4479.41</v>
      </c>
      <c r="F367" s="37">
        <v>4893.7299999999996</v>
      </c>
      <c r="G367" s="37">
        <v>5433.88</v>
      </c>
      <c r="H367" s="37">
        <v>5683.28</v>
      </c>
    </row>
    <row r="368" spans="1:17">
      <c r="B368" s="75">
        <v>12</v>
      </c>
      <c r="C368" s="37">
        <v>3430.9</v>
      </c>
      <c r="D368" s="37">
        <v>3796.05</v>
      </c>
      <c r="E368" s="37">
        <v>4276.8999999999996</v>
      </c>
      <c r="F368" s="37">
        <v>4741.63</v>
      </c>
      <c r="G368" s="37">
        <v>5315.77</v>
      </c>
      <c r="H368" s="37">
        <v>5578.27</v>
      </c>
    </row>
    <row r="369" spans="2:8">
      <c r="B369" s="75">
        <v>11</v>
      </c>
      <c r="C369" s="37">
        <v>3312.6</v>
      </c>
      <c r="D369" s="37">
        <v>3656.01</v>
      </c>
      <c r="E369" s="37">
        <v>3941.33</v>
      </c>
      <c r="F369" s="37">
        <v>4311.7700000000004</v>
      </c>
      <c r="G369" s="37">
        <v>4836.6899999999996</v>
      </c>
      <c r="H369" s="37">
        <v>5099.2</v>
      </c>
    </row>
    <row r="370" spans="2:8">
      <c r="B370" s="75">
        <v>10</v>
      </c>
      <c r="C370" s="37">
        <v>3194.27</v>
      </c>
      <c r="D370" s="37">
        <v>3497.22</v>
      </c>
      <c r="E370" s="37">
        <v>3775.33</v>
      </c>
      <c r="F370" s="37">
        <v>4064.56</v>
      </c>
      <c r="G370" s="37">
        <v>4501.99</v>
      </c>
      <c r="H370" s="37">
        <v>4620.12</v>
      </c>
    </row>
    <row r="371" spans="2:8">
      <c r="B371" s="421" t="s">
        <v>284</v>
      </c>
      <c r="C371" s="37">
        <v>2831.63</v>
      </c>
      <c r="D371" s="37">
        <v>3205.55</v>
      </c>
      <c r="E371" s="37">
        <v>3416.48</v>
      </c>
      <c r="F371" s="37">
        <v>3784.4</v>
      </c>
      <c r="G371" s="37">
        <v>4115.4399999999996</v>
      </c>
      <c r="H371" s="37">
        <v>4309.5200000000004</v>
      </c>
    </row>
    <row r="372" spans="2:8">
      <c r="B372" s="75" t="s">
        <v>251</v>
      </c>
      <c r="C372" s="37">
        <v>2831.63</v>
      </c>
      <c r="D372" s="37">
        <v>3095.75</v>
      </c>
      <c r="E372" s="37">
        <v>3297.39</v>
      </c>
      <c r="F372" s="37">
        <v>3655.23</v>
      </c>
      <c r="G372" s="37">
        <v>3976.99</v>
      </c>
      <c r="H372" s="37">
        <v>4239.47</v>
      </c>
    </row>
    <row r="373" spans="2:8">
      <c r="B373" s="75" t="s">
        <v>252</v>
      </c>
      <c r="C373" s="37">
        <v>2831.63</v>
      </c>
      <c r="D373" s="37">
        <v>3081.25</v>
      </c>
      <c r="E373" s="37">
        <v>3133.55</v>
      </c>
      <c r="F373" s="37">
        <v>3270.97</v>
      </c>
      <c r="G373" s="37">
        <v>3648.84</v>
      </c>
      <c r="H373" s="37">
        <v>3750.52</v>
      </c>
    </row>
    <row r="374" spans="2:8">
      <c r="B374" s="75">
        <v>8</v>
      </c>
      <c r="C374" s="37">
        <v>2656.52</v>
      </c>
      <c r="D374" s="37">
        <v>2890.09</v>
      </c>
      <c r="E374" s="37">
        <v>3017.56</v>
      </c>
      <c r="F374" s="37">
        <v>3137.78</v>
      </c>
      <c r="G374" s="37">
        <v>3269.2</v>
      </c>
      <c r="H374" s="37">
        <v>3343.02</v>
      </c>
    </row>
    <row r="375" spans="2:8">
      <c r="B375" s="75">
        <v>7</v>
      </c>
      <c r="C375" s="37">
        <v>2493.12</v>
      </c>
      <c r="D375" s="37">
        <v>2729.06</v>
      </c>
      <c r="E375" s="37">
        <v>2877.36</v>
      </c>
      <c r="F375" s="37">
        <v>3004.81</v>
      </c>
      <c r="G375" s="37">
        <v>3111.25</v>
      </c>
      <c r="H375" s="37">
        <v>3189.58</v>
      </c>
    </row>
    <row r="376" spans="2:8">
      <c r="B376" s="75">
        <v>6</v>
      </c>
      <c r="C376" s="37">
        <v>2446.41</v>
      </c>
      <c r="D376" s="37">
        <v>2662.97</v>
      </c>
      <c r="E376" s="37">
        <v>2788.15</v>
      </c>
      <c r="F376" s="37">
        <v>2909.22</v>
      </c>
      <c r="G376" s="37">
        <v>3007.98</v>
      </c>
      <c r="H376" s="37">
        <v>3081</v>
      </c>
    </row>
    <row r="377" spans="2:8">
      <c r="B377" s="75">
        <v>5</v>
      </c>
      <c r="C377" s="37">
        <v>2347.5500000000002</v>
      </c>
      <c r="D377" s="37">
        <v>2555.4</v>
      </c>
      <c r="E377" s="37">
        <v>2673.48</v>
      </c>
      <c r="F377" s="37">
        <v>2794.54</v>
      </c>
      <c r="G377" s="37">
        <v>2894.01</v>
      </c>
      <c r="H377" s="37">
        <v>2955.27</v>
      </c>
    </row>
    <row r="378" spans="2:8">
      <c r="B378" s="75">
        <v>4</v>
      </c>
      <c r="C378" s="37">
        <v>2236.29</v>
      </c>
      <c r="D378" s="37">
        <v>2438.63</v>
      </c>
      <c r="E378" s="37">
        <v>2587.48</v>
      </c>
      <c r="F378" s="37">
        <v>2676.8</v>
      </c>
      <c r="G378" s="37">
        <v>2766.11</v>
      </c>
      <c r="H378" s="37">
        <v>2818.41</v>
      </c>
    </row>
    <row r="379" spans="2:8">
      <c r="B379" s="75">
        <v>3</v>
      </c>
      <c r="C379" s="37">
        <v>2201.29</v>
      </c>
      <c r="D379" s="37">
        <v>2407.15</v>
      </c>
      <c r="E379" s="37">
        <v>2462.5500000000002</v>
      </c>
      <c r="F379" s="37">
        <v>2564.71</v>
      </c>
      <c r="G379" s="37">
        <v>2641.37</v>
      </c>
      <c r="H379" s="37">
        <v>2711.6</v>
      </c>
    </row>
    <row r="380" spans="2:8">
      <c r="B380" s="513" t="s">
        <v>14</v>
      </c>
      <c r="C380" s="511">
        <f t="shared" ref="C380:H380" si="302">IF(C357="-","-",ROUND(C357*$B$362,2))</f>
        <v>2084.42</v>
      </c>
      <c r="D380" s="511">
        <f t="shared" si="302"/>
        <v>2297.88</v>
      </c>
      <c r="E380" s="511">
        <f t="shared" si="302"/>
        <v>2374.56</v>
      </c>
      <c r="F380" s="511">
        <f t="shared" si="302"/>
        <v>2476.8000000000002</v>
      </c>
      <c r="G380" s="511">
        <f t="shared" si="302"/>
        <v>2547.0700000000002</v>
      </c>
      <c r="H380" s="511">
        <f t="shared" si="302"/>
        <v>2599.5</v>
      </c>
    </row>
    <row r="381" spans="2:8">
      <c r="B381" s="75">
        <v>2</v>
      </c>
      <c r="C381" s="37">
        <v>2037.85</v>
      </c>
      <c r="D381" s="37">
        <v>2234.7399999999998</v>
      </c>
      <c r="E381" s="37">
        <v>2290.29</v>
      </c>
      <c r="F381" s="37">
        <v>2354.37</v>
      </c>
      <c r="G381" s="37">
        <v>2495.2199999999998</v>
      </c>
      <c r="H381" s="37">
        <v>2642.56</v>
      </c>
    </row>
    <row r="382" spans="2:8">
      <c r="B382" s="75">
        <v>1</v>
      </c>
      <c r="C382" s="37" t="s">
        <v>15</v>
      </c>
      <c r="D382" s="37">
        <v>1827.17</v>
      </c>
      <c r="E382" s="37">
        <v>1858.18</v>
      </c>
      <c r="F382" s="37">
        <v>1896.96</v>
      </c>
      <c r="G382" s="37">
        <v>1933.11</v>
      </c>
      <c r="H382" s="37">
        <v>2026.15</v>
      </c>
    </row>
    <row r="385" spans="1:17">
      <c r="B385" s="512" t="s">
        <v>492</v>
      </c>
      <c r="C385" s="247"/>
    </row>
    <row r="386" spans="1:17">
      <c r="A386" s="155" t="s">
        <v>495</v>
      </c>
      <c r="B386" s="75">
        <v>2019</v>
      </c>
      <c r="C386" s="75" t="str">
        <f t="shared" ref="C386:H386" si="303">C363</f>
        <v>Stufe 1</v>
      </c>
      <c r="D386" s="75" t="str">
        <f t="shared" si="303"/>
        <v>Stufe 2</v>
      </c>
      <c r="E386" s="75" t="str">
        <f t="shared" si="303"/>
        <v>Stufe 3</v>
      </c>
      <c r="F386" s="75" t="str">
        <f t="shared" si="303"/>
        <v>Stufe 4</v>
      </c>
      <c r="G386" s="75" t="str">
        <f t="shared" si="303"/>
        <v>Stufe 5</v>
      </c>
      <c r="H386" s="75" t="str">
        <f t="shared" si="303"/>
        <v>Stufe 6</v>
      </c>
    </row>
    <row r="387" spans="1:17">
      <c r="B387" s="75" t="str">
        <f>B364</f>
        <v>15Ü</v>
      </c>
      <c r="C387" s="511">
        <f t="shared" ref="C387:H387" si="304">IF(C364="-","-",ROUND(C364*$B$385,2))</f>
        <v>5869.17</v>
      </c>
      <c r="D387" s="511">
        <f t="shared" si="304"/>
        <v>6513.78</v>
      </c>
      <c r="E387" s="511">
        <f t="shared" si="304"/>
        <v>7124.44</v>
      </c>
      <c r="F387" s="511">
        <f t="shared" si="304"/>
        <v>7531.57</v>
      </c>
      <c r="G387" s="511">
        <f t="shared" si="304"/>
        <v>7626.56</v>
      </c>
      <c r="H387" s="511" t="str">
        <f t="shared" si="304"/>
        <v>-</v>
      </c>
      <c r="L387" s="37"/>
      <c r="M387" s="37"/>
      <c r="N387" s="37"/>
      <c r="O387" s="37"/>
      <c r="P387" s="37"/>
      <c r="Q387" s="37"/>
    </row>
    <row r="388" spans="1:17">
      <c r="B388" s="75">
        <f t="shared" ref="B388:B405" si="305">B365</f>
        <v>15</v>
      </c>
      <c r="C388" s="37">
        <v>4788.3500000000004</v>
      </c>
      <c r="D388" s="37">
        <v>5141.2299999999996</v>
      </c>
      <c r="E388" s="37">
        <v>5481.38</v>
      </c>
      <c r="F388" s="37">
        <v>6004.84</v>
      </c>
      <c r="G388" s="37">
        <v>6517.61</v>
      </c>
      <c r="H388" s="37">
        <v>6854.95</v>
      </c>
    </row>
    <row r="389" spans="1:17">
      <c r="B389" s="75">
        <f t="shared" si="305"/>
        <v>14</v>
      </c>
      <c r="C389" s="37">
        <v>4335.9799999999996</v>
      </c>
      <c r="D389" s="37">
        <v>4655.42</v>
      </c>
      <c r="E389" s="37">
        <v>5025.8900000000003</v>
      </c>
      <c r="F389" s="37">
        <v>5451.94</v>
      </c>
      <c r="G389" s="37">
        <v>5950.88</v>
      </c>
      <c r="H389" s="37">
        <v>6293.73</v>
      </c>
    </row>
    <row r="390" spans="1:17">
      <c r="B390" s="75">
        <f t="shared" si="305"/>
        <v>13</v>
      </c>
      <c r="C390" s="37">
        <v>3996.72</v>
      </c>
      <c r="D390" s="37">
        <v>4335.42</v>
      </c>
      <c r="E390" s="37">
        <v>4685.32</v>
      </c>
      <c r="F390" s="37">
        <v>5093.03</v>
      </c>
      <c r="G390" s="37">
        <v>5586.51</v>
      </c>
      <c r="H390" s="37">
        <v>5842.91</v>
      </c>
    </row>
    <row r="391" spans="1:17">
      <c r="B391" s="75">
        <f t="shared" si="305"/>
        <v>12</v>
      </c>
      <c r="C391" s="37">
        <v>3582.23</v>
      </c>
      <c r="D391" s="37">
        <v>3956.45</v>
      </c>
      <c r="E391" s="37">
        <v>4407.8900000000003</v>
      </c>
      <c r="F391" s="37">
        <v>4890.8599999999997</v>
      </c>
      <c r="G391" s="37">
        <v>5465.08</v>
      </c>
      <c r="H391" s="37">
        <v>5734.95</v>
      </c>
    </row>
    <row r="392" spans="1:17">
      <c r="B392" s="75">
        <f t="shared" si="305"/>
        <v>11</v>
      </c>
      <c r="C392" s="37">
        <v>3457.1</v>
      </c>
      <c r="D392" s="37">
        <v>3803.91</v>
      </c>
      <c r="E392" s="37">
        <v>4119.43</v>
      </c>
      <c r="F392" s="37">
        <v>4477.63</v>
      </c>
      <c r="G392" s="37">
        <v>4972.55</v>
      </c>
      <c r="H392" s="37">
        <v>5242.43</v>
      </c>
    </row>
    <row r="393" spans="1:17">
      <c r="B393" s="75">
        <f t="shared" si="305"/>
        <v>10</v>
      </c>
      <c r="C393" s="37">
        <v>3331.93</v>
      </c>
      <c r="D393" s="37">
        <v>3613.93</v>
      </c>
      <c r="E393" s="37">
        <v>3915.01</v>
      </c>
      <c r="F393" s="37">
        <v>4238.32</v>
      </c>
      <c r="G393" s="37">
        <v>4628.4399999999996</v>
      </c>
      <c r="H393" s="37">
        <v>4749.8900000000003</v>
      </c>
    </row>
    <row r="394" spans="1:17">
      <c r="B394" s="421" t="str">
        <f t="shared" si="305"/>
        <v>9c</v>
      </c>
      <c r="C394" s="37">
        <v>2952.16</v>
      </c>
      <c r="D394" s="37">
        <v>3416.4</v>
      </c>
      <c r="E394" s="37">
        <v>3689.63</v>
      </c>
      <c r="F394" s="37">
        <v>4022.45</v>
      </c>
      <c r="G394" s="37">
        <v>4365.6000000000004</v>
      </c>
      <c r="H394" s="37">
        <v>4498.6499999999996</v>
      </c>
    </row>
    <row r="395" spans="1:17">
      <c r="B395" s="75" t="str">
        <f t="shared" si="305"/>
        <v>9b</v>
      </c>
      <c r="C395" s="37">
        <v>2952.16</v>
      </c>
      <c r="D395" s="37">
        <v>3196.8</v>
      </c>
      <c r="E395" s="37">
        <v>3451.45</v>
      </c>
      <c r="F395" s="37">
        <v>3764.11</v>
      </c>
      <c r="G395" s="37">
        <v>4088.7</v>
      </c>
      <c r="H395" s="37">
        <v>4358.55</v>
      </c>
    </row>
    <row r="396" spans="1:17">
      <c r="B396" s="75" t="str">
        <f t="shared" si="305"/>
        <v>9a</v>
      </c>
      <c r="C396" s="37">
        <v>2952.16</v>
      </c>
      <c r="D396" s="37">
        <v>3167.8</v>
      </c>
      <c r="E396" s="37">
        <v>3222.84</v>
      </c>
      <c r="F396" s="37">
        <v>3398.61</v>
      </c>
      <c r="G396" s="37">
        <v>3751.33</v>
      </c>
      <c r="H396" s="37">
        <v>3877.9</v>
      </c>
    </row>
    <row r="397" spans="1:17">
      <c r="B397" s="75">
        <f t="shared" si="305"/>
        <v>8</v>
      </c>
      <c r="C397" s="37">
        <v>2769.15</v>
      </c>
      <c r="D397" s="37">
        <v>2971.27</v>
      </c>
      <c r="E397" s="37">
        <v>3102.32</v>
      </c>
      <c r="F397" s="37">
        <v>3231.3</v>
      </c>
      <c r="G397" s="37">
        <v>3370.3</v>
      </c>
      <c r="H397" s="37">
        <v>3439.92</v>
      </c>
    </row>
    <row r="398" spans="1:17">
      <c r="B398" s="75">
        <f t="shared" si="305"/>
        <v>7</v>
      </c>
      <c r="C398" s="37">
        <v>2598.38</v>
      </c>
      <c r="D398" s="37">
        <v>2822.59</v>
      </c>
      <c r="E398" s="37">
        <v>2958.18</v>
      </c>
      <c r="F398" s="37">
        <v>3089.21</v>
      </c>
      <c r="G398" s="37">
        <v>3209.21</v>
      </c>
      <c r="H398" s="37">
        <v>3279.17</v>
      </c>
    </row>
    <row r="399" spans="1:17">
      <c r="B399" s="75">
        <f t="shared" si="305"/>
        <v>6</v>
      </c>
      <c r="C399" s="37">
        <v>2549.58</v>
      </c>
      <c r="D399" s="37">
        <v>2739.94</v>
      </c>
      <c r="E399" s="37">
        <v>2866.46</v>
      </c>
      <c r="F399" s="37">
        <v>2990.93</v>
      </c>
      <c r="G399" s="37">
        <v>3107.94</v>
      </c>
      <c r="H399" s="37">
        <v>3173.47</v>
      </c>
    </row>
    <row r="400" spans="1:17">
      <c r="B400" s="75">
        <f t="shared" si="305"/>
        <v>5</v>
      </c>
      <c r="C400" s="37">
        <v>2445.9899999999998</v>
      </c>
      <c r="D400" s="37">
        <v>2630.06</v>
      </c>
      <c r="E400" s="37">
        <v>2748.57</v>
      </c>
      <c r="F400" s="37">
        <v>2873.03</v>
      </c>
      <c r="G400" s="37">
        <v>2985.28</v>
      </c>
      <c r="H400" s="37">
        <v>3045.87</v>
      </c>
    </row>
    <row r="401" spans="1:17">
      <c r="B401" s="75">
        <f t="shared" si="305"/>
        <v>4</v>
      </c>
      <c r="C401" s="37">
        <v>2329.9899999999998</v>
      </c>
      <c r="D401" s="37">
        <v>2514.19</v>
      </c>
      <c r="E401" s="37">
        <v>2663.27</v>
      </c>
      <c r="F401" s="37">
        <v>2755.21</v>
      </c>
      <c r="G401" s="37">
        <v>2847.13</v>
      </c>
      <c r="H401" s="37">
        <v>2900.97</v>
      </c>
    </row>
    <row r="402" spans="1:17">
      <c r="B402" s="75">
        <f t="shared" si="305"/>
        <v>3</v>
      </c>
      <c r="C402" s="37">
        <v>2293.39</v>
      </c>
      <c r="D402" s="37">
        <v>2488.41</v>
      </c>
      <c r="E402" s="37">
        <v>2537.2399999999998</v>
      </c>
      <c r="F402" s="37">
        <v>2642.5</v>
      </c>
      <c r="G402" s="37">
        <v>2721.49</v>
      </c>
      <c r="H402" s="37">
        <v>2793.85</v>
      </c>
    </row>
    <row r="403" spans="1:17">
      <c r="B403" s="75" t="str">
        <f t="shared" si="305"/>
        <v>2Ü</v>
      </c>
      <c r="C403" s="511">
        <f t="shared" ref="C403:H403" si="306">IF(C380="-","-",ROUND(C380*$B$385,2))</f>
        <v>2148.83</v>
      </c>
      <c r="D403" s="511">
        <f t="shared" si="306"/>
        <v>2368.88</v>
      </c>
      <c r="E403" s="511">
        <f t="shared" si="306"/>
        <v>2447.9299999999998</v>
      </c>
      <c r="F403" s="511">
        <f t="shared" si="306"/>
        <v>2553.33</v>
      </c>
      <c r="G403" s="511">
        <f t="shared" si="306"/>
        <v>2625.77</v>
      </c>
      <c r="H403" s="511">
        <f t="shared" si="306"/>
        <v>2679.82</v>
      </c>
    </row>
    <row r="404" spans="1:17">
      <c r="B404" s="75">
        <f>B381</f>
        <v>2</v>
      </c>
      <c r="C404" s="37">
        <v>2122.6</v>
      </c>
      <c r="D404" s="37">
        <v>2316.9699999999998</v>
      </c>
      <c r="E404" s="37">
        <v>2366.14</v>
      </c>
      <c r="F404" s="37">
        <v>2432.35</v>
      </c>
      <c r="G404" s="37">
        <v>2577.86</v>
      </c>
      <c r="H404" s="37">
        <v>2730.08</v>
      </c>
    </row>
    <row r="405" spans="1:17">
      <c r="B405" s="75">
        <f t="shared" si="305"/>
        <v>1</v>
      </c>
      <c r="C405" s="37" t="s">
        <v>15</v>
      </c>
      <c r="D405" s="37">
        <v>1903.09</v>
      </c>
      <c r="E405" s="37">
        <v>1935.39</v>
      </c>
      <c r="F405" s="37">
        <v>1975.78</v>
      </c>
      <c r="G405" s="37">
        <v>2013.43</v>
      </c>
      <c r="H405" s="37">
        <v>2110.33</v>
      </c>
    </row>
    <row r="408" spans="1:17">
      <c r="B408" s="624" t="s">
        <v>493</v>
      </c>
      <c r="C408" s="247"/>
    </row>
    <row r="409" spans="1:17">
      <c r="A409" s="155" t="s">
        <v>488</v>
      </c>
      <c r="B409" s="75" t="s">
        <v>489</v>
      </c>
      <c r="C409" s="75" t="str">
        <f t="shared" ref="C409:H409" si="307">C386</f>
        <v>Stufe 1</v>
      </c>
      <c r="D409" s="75" t="str">
        <f t="shared" si="307"/>
        <v>Stufe 2</v>
      </c>
      <c r="E409" s="75" t="str">
        <f t="shared" si="307"/>
        <v>Stufe 3</v>
      </c>
      <c r="F409" s="75" t="str">
        <f t="shared" si="307"/>
        <v>Stufe 4</v>
      </c>
      <c r="G409" s="75" t="str">
        <f t="shared" si="307"/>
        <v>Stufe 5</v>
      </c>
      <c r="H409" s="75" t="str">
        <f t="shared" si="307"/>
        <v>Stufe 6</v>
      </c>
    </row>
    <row r="410" spans="1:17">
      <c r="B410" s="75" t="str">
        <f>B387</f>
        <v>15Ü</v>
      </c>
      <c r="C410" s="623">
        <f t="shared" ref="C410:H410" si="308">IF(C387="-","-",ROUND(C387*$B$408,2))</f>
        <v>5931.38</v>
      </c>
      <c r="D410" s="623">
        <f t="shared" si="308"/>
        <v>6582.83</v>
      </c>
      <c r="E410" s="623">
        <f t="shared" si="308"/>
        <v>7199.96</v>
      </c>
      <c r="F410" s="623">
        <f t="shared" si="308"/>
        <v>7611.4</v>
      </c>
      <c r="G410" s="623">
        <f t="shared" si="308"/>
        <v>7707.4</v>
      </c>
      <c r="H410" s="623" t="str">
        <f t="shared" si="308"/>
        <v>-</v>
      </c>
      <c r="L410" s="37"/>
      <c r="M410" s="37"/>
      <c r="N410" s="37"/>
      <c r="O410" s="37"/>
      <c r="P410" s="37"/>
      <c r="Q410" s="37"/>
    </row>
    <row r="411" spans="1:17">
      <c r="B411" s="75">
        <f t="shared" ref="B411:B428" si="309">B388</f>
        <v>15</v>
      </c>
      <c r="C411" s="37">
        <v>4860.3100000000004</v>
      </c>
      <c r="D411" s="37">
        <v>5190.8100000000004</v>
      </c>
      <c r="E411" s="37">
        <v>5559.47</v>
      </c>
      <c r="F411" s="37">
        <v>6062.74</v>
      </c>
      <c r="G411" s="37">
        <v>6580.45</v>
      </c>
      <c r="H411" s="37">
        <v>6921.06</v>
      </c>
    </row>
    <row r="412" spans="1:17">
      <c r="B412" s="75">
        <f t="shared" si="309"/>
        <v>14</v>
      </c>
      <c r="C412" s="37">
        <v>4401.04</v>
      </c>
      <c r="D412" s="37">
        <v>4700.3100000000004</v>
      </c>
      <c r="E412" s="37">
        <v>5091.13</v>
      </c>
      <c r="F412" s="37">
        <v>5524.82</v>
      </c>
      <c r="G412" s="37">
        <v>6008.27</v>
      </c>
      <c r="H412" s="37">
        <v>6355.34</v>
      </c>
    </row>
    <row r="413" spans="1:17">
      <c r="B413" s="75">
        <f t="shared" si="309"/>
        <v>13</v>
      </c>
      <c r="C413" s="37">
        <v>4056.62</v>
      </c>
      <c r="D413" s="37">
        <v>4384.6099999999997</v>
      </c>
      <c r="E413" s="37">
        <v>4757.99</v>
      </c>
      <c r="F413" s="37">
        <v>5163.37</v>
      </c>
      <c r="G413" s="37">
        <v>5640.38</v>
      </c>
      <c r="H413" s="37">
        <v>5899.26</v>
      </c>
    </row>
    <row r="414" spans="1:17">
      <c r="B414" s="75">
        <f t="shared" si="309"/>
        <v>12</v>
      </c>
      <c r="C414" s="37">
        <v>3635.65</v>
      </c>
      <c r="D414" s="37">
        <v>4013.07</v>
      </c>
      <c r="E414" s="37">
        <v>4454.13</v>
      </c>
      <c r="F414" s="37">
        <v>4943.53</v>
      </c>
      <c r="G414" s="37">
        <v>5517.78</v>
      </c>
      <c r="H414" s="37">
        <v>5790.26</v>
      </c>
    </row>
    <row r="415" spans="1:17">
      <c r="B415" s="75">
        <f t="shared" si="309"/>
        <v>11</v>
      </c>
      <c r="C415" s="37">
        <v>3508.11</v>
      </c>
      <c r="D415" s="37">
        <v>3856.11</v>
      </c>
      <c r="E415" s="37">
        <v>4182.29</v>
      </c>
      <c r="F415" s="37">
        <v>4536.17</v>
      </c>
      <c r="G415" s="37">
        <v>5020.49</v>
      </c>
      <c r="H415" s="37">
        <v>5292.98</v>
      </c>
    </row>
    <row r="416" spans="1:17">
      <c r="B416" s="75">
        <f t="shared" si="309"/>
        <v>10</v>
      </c>
      <c r="C416" s="37">
        <v>3380.51</v>
      </c>
      <c r="D416" s="37">
        <v>3655.13</v>
      </c>
      <c r="E416" s="37">
        <v>3964.32</v>
      </c>
      <c r="F416" s="37">
        <v>4299.6499999999996</v>
      </c>
      <c r="G416" s="37">
        <v>4673.08</v>
      </c>
      <c r="H416" s="37">
        <v>4795.6899999999996</v>
      </c>
    </row>
    <row r="417" spans="1:17">
      <c r="B417" s="75" t="str">
        <f t="shared" si="309"/>
        <v>9c</v>
      </c>
      <c r="C417" s="37">
        <v>2994.7</v>
      </c>
      <c r="D417" s="37">
        <v>3490.82</v>
      </c>
      <c r="E417" s="37">
        <v>3786.03</v>
      </c>
      <c r="F417" s="37">
        <v>4106.46</v>
      </c>
      <c r="G417" s="37">
        <v>4453.88</v>
      </c>
      <c r="H417" s="37">
        <v>4565.3900000000003</v>
      </c>
    </row>
    <row r="418" spans="1:17">
      <c r="B418" s="75" t="str">
        <f t="shared" si="309"/>
        <v>9b</v>
      </c>
      <c r="C418" s="37">
        <v>2994.7</v>
      </c>
      <c r="D418" s="37">
        <v>3232.46</v>
      </c>
      <c r="E418" s="37">
        <v>3505.82</v>
      </c>
      <c r="F418" s="37">
        <v>3802.54</v>
      </c>
      <c r="G418" s="37">
        <v>4128.12</v>
      </c>
      <c r="H418" s="37">
        <v>4400.58</v>
      </c>
    </row>
    <row r="419" spans="1:17">
      <c r="B419" s="75" t="str">
        <f t="shared" si="309"/>
        <v>9a</v>
      </c>
      <c r="C419" s="37">
        <v>2994.7</v>
      </c>
      <c r="D419" s="37">
        <v>3198.34</v>
      </c>
      <c r="E419" s="37">
        <v>3254.35</v>
      </c>
      <c r="F419" s="37">
        <v>3443.66</v>
      </c>
      <c r="G419" s="37">
        <v>3787.5</v>
      </c>
      <c r="H419" s="37">
        <v>3922.86</v>
      </c>
    </row>
    <row r="420" spans="1:17">
      <c r="B420" s="75">
        <f t="shared" si="309"/>
        <v>8</v>
      </c>
      <c r="C420" s="37">
        <v>2808.91</v>
      </c>
      <c r="D420" s="37">
        <v>2999.92</v>
      </c>
      <c r="E420" s="37">
        <v>3132.23</v>
      </c>
      <c r="F420" s="37">
        <v>3264.31</v>
      </c>
      <c r="G420" s="37">
        <v>3405.98</v>
      </c>
      <c r="H420" s="37">
        <v>3474.11</v>
      </c>
    </row>
    <row r="421" spans="1:17">
      <c r="B421" s="75">
        <f t="shared" si="309"/>
        <v>7</v>
      </c>
      <c r="C421" s="37">
        <v>2635.53</v>
      </c>
      <c r="D421" s="37">
        <v>2855.6</v>
      </c>
      <c r="E421" s="37">
        <v>2986.7</v>
      </c>
      <c r="F421" s="37">
        <v>3119</v>
      </c>
      <c r="G421" s="37">
        <v>3243.78</v>
      </c>
      <c r="H421" s="37">
        <v>3310.79</v>
      </c>
    </row>
    <row r="422" spans="1:17">
      <c r="B422" s="75">
        <f t="shared" si="309"/>
        <v>6</v>
      </c>
      <c r="C422" s="37">
        <v>2586</v>
      </c>
      <c r="D422" s="37">
        <v>2767.11</v>
      </c>
      <c r="E422" s="37">
        <v>2894.11</v>
      </c>
      <c r="F422" s="37">
        <v>3019.78</v>
      </c>
      <c r="G422" s="37">
        <v>3143.22</v>
      </c>
      <c r="H422" s="37">
        <v>3206.1</v>
      </c>
    </row>
    <row r="423" spans="1:17">
      <c r="B423" s="75">
        <f t="shared" si="309"/>
        <v>5</v>
      </c>
      <c r="C423" s="37">
        <v>2480.7399999999998</v>
      </c>
      <c r="D423" s="37">
        <v>2656.42</v>
      </c>
      <c r="E423" s="37">
        <v>2775.08</v>
      </c>
      <c r="F423" s="37">
        <v>2900.74</v>
      </c>
      <c r="G423" s="37">
        <v>3017.5</v>
      </c>
      <c r="H423" s="37">
        <v>3077.85</v>
      </c>
    </row>
    <row r="424" spans="1:17">
      <c r="B424" s="75">
        <f t="shared" si="309"/>
        <v>4</v>
      </c>
      <c r="C424" s="37">
        <v>2363.0700000000002</v>
      </c>
      <c r="D424" s="37">
        <v>2540.85</v>
      </c>
      <c r="E424" s="37">
        <v>2690.02</v>
      </c>
      <c r="F424" s="37">
        <v>2782.88</v>
      </c>
      <c r="G424" s="37">
        <v>2875.73</v>
      </c>
      <c r="H424" s="37">
        <v>2930.1</v>
      </c>
    </row>
    <row r="425" spans="1:17">
      <c r="B425" s="75">
        <f t="shared" si="309"/>
        <v>3</v>
      </c>
      <c r="C425" s="37">
        <v>2325.89</v>
      </c>
      <c r="D425" s="37">
        <v>2517.08</v>
      </c>
      <c r="E425" s="37">
        <v>2563.61</v>
      </c>
      <c r="F425" s="37">
        <v>2669.96</v>
      </c>
      <c r="G425" s="37">
        <v>2749.76</v>
      </c>
      <c r="H425" s="37">
        <v>2822.87</v>
      </c>
    </row>
    <row r="426" spans="1:17">
      <c r="B426" s="75" t="str">
        <f t="shared" si="309"/>
        <v>2Ü</v>
      </c>
      <c r="C426" s="623">
        <f t="shared" ref="C426:H426" si="310">IF(C403="-","-",ROUND(C403*$B$408,2))</f>
        <v>2171.61</v>
      </c>
      <c r="D426" s="623">
        <f t="shared" si="310"/>
        <v>2393.9899999999998</v>
      </c>
      <c r="E426" s="623">
        <f t="shared" si="310"/>
        <v>2473.88</v>
      </c>
      <c r="F426" s="623">
        <f t="shared" si="310"/>
        <v>2580.4</v>
      </c>
      <c r="G426" s="623">
        <f t="shared" si="310"/>
        <v>2653.6</v>
      </c>
      <c r="H426" s="623">
        <f t="shared" si="310"/>
        <v>2708.23</v>
      </c>
      <c r="L426" s="37"/>
      <c r="M426" s="37"/>
      <c r="N426" s="37"/>
      <c r="O426" s="37"/>
      <c r="P426" s="37"/>
      <c r="Q426" s="37"/>
    </row>
    <row r="427" spans="1:17">
      <c r="B427" s="75">
        <f>B404</f>
        <v>2</v>
      </c>
      <c r="C427" s="37">
        <v>2152.5100000000002</v>
      </c>
      <c r="D427" s="37">
        <v>2346</v>
      </c>
      <c r="E427" s="37">
        <v>2392.92</v>
      </c>
      <c r="F427" s="37">
        <v>2459.87</v>
      </c>
      <c r="G427" s="37">
        <v>2607.0300000000002</v>
      </c>
      <c r="H427" s="37">
        <v>2760.98</v>
      </c>
    </row>
    <row r="428" spans="1:17">
      <c r="B428" s="75">
        <f t="shared" si="309"/>
        <v>1</v>
      </c>
      <c r="C428" s="37" t="s">
        <v>15</v>
      </c>
      <c r="D428" s="37">
        <v>1929.88</v>
      </c>
      <c r="E428" s="37">
        <v>1962.63</v>
      </c>
      <c r="F428" s="37">
        <v>2003.59</v>
      </c>
      <c r="G428" s="37">
        <v>2041.77</v>
      </c>
      <c r="H428" s="37">
        <v>2140.0500000000002</v>
      </c>
    </row>
    <row r="431" spans="1:17">
      <c r="B431" s="624" t="s">
        <v>209</v>
      </c>
      <c r="C431" s="248">
        <v>50</v>
      </c>
    </row>
    <row r="432" spans="1:17">
      <c r="A432" s="155" t="s">
        <v>619</v>
      </c>
      <c r="B432" s="75">
        <v>2019</v>
      </c>
      <c r="C432" s="75" t="str">
        <f t="shared" ref="C432:H432" si="311">C409</f>
        <v>Stufe 1</v>
      </c>
      <c r="D432" s="75" t="str">
        <f t="shared" si="311"/>
        <v>Stufe 2</v>
      </c>
      <c r="E432" s="75" t="str">
        <f t="shared" si="311"/>
        <v>Stufe 3</v>
      </c>
      <c r="F432" s="75" t="str">
        <f t="shared" si="311"/>
        <v>Stufe 4</v>
      </c>
      <c r="G432" s="75" t="str">
        <f t="shared" si="311"/>
        <v>Stufe 5</v>
      </c>
      <c r="H432" s="75" t="str">
        <f t="shared" si="311"/>
        <v>Stufe 6</v>
      </c>
    </row>
    <row r="433" spans="2:12">
      <c r="B433" s="75" t="str">
        <f>B410</f>
        <v>15Ü</v>
      </c>
      <c r="C433" s="37">
        <f>IF(C410="-","-",IF((ROUND(C410*$B$431,2)-C410)&lt;$C$431,C410+$C$431,ROUND(C410*$B$431,2)))</f>
        <v>6014.42</v>
      </c>
      <c r="D433" s="37">
        <f t="shared" ref="D433:H434" si="312">IF(D410="-","-",IF((ROUND(D410*$B$431,2)-D410)&lt;$C$431,D410+$C$431,ROUND(D410*$B$431,2)))</f>
        <v>6674.99</v>
      </c>
      <c r="E433" s="37">
        <f t="shared" si="312"/>
        <v>7300.76</v>
      </c>
      <c r="F433" s="37">
        <f t="shared" si="312"/>
        <v>7717.96</v>
      </c>
      <c r="G433" s="37">
        <f t="shared" si="312"/>
        <v>7815.3</v>
      </c>
      <c r="H433" s="37" t="str">
        <f t="shared" si="312"/>
        <v>-</v>
      </c>
    </row>
    <row r="434" spans="2:12">
      <c r="B434" s="75">
        <f t="shared" ref="B434:B451" si="313">B411</f>
        <v>15</v>
      </c>
      <c r="C434" s="37">
        <f>IF(C411="-","-",IF((ROUND(C411*$B$431,2)-C411)&lt;$C$431,C411+$C$431,ROUND(C411*$B$431,2)))</f>
        <v>4928.3500000000004</v>
      </c>
      <c r="D434" s="37">
        <f t="shared" si="312"/>
        <v>5263.48</v>
      </c>
      <c r="E434" s="37">
        <f t="shared" si="312"/>
        <v>5637.3</v>
      </c>
      <c r="F434" s="37">
        <f t="shared" si="312"/>
        <v>6147.62</v>
      </c>
      <c r="G434" s="37">
        <f t="shared" si="312"/>
        <v>6672.58</v>
      </c>
      <c r="H434" s="37">
        <f t="shared" si="312"/>
        <v>7017.95</v>
      </c>
    </row>
    <row r="435" spans="2:12">
      <c r="B435" s="75">
        <f t="shared" si="313"/>
        <v>14</v>
      </c>
      <c r="C435" s="37">
        <f t="shared" ref="C435:H435" si="314">IF(C412="-","-",IF((ROUND(C412*$B$431,2)-C412)&lt;$C$431,C412+$C$431,ROUND(C412*$B$431,2)))</f>
        <v>4462.6499999999996</v>
      </c>
      <c r="D435" s="37">
        <f t="shared" si="314"/>
        <v>4766.1099999999997</v>
      </c>
      <c r="E435" s="37">
        <f t="shared" si="314"/>
        <v>5162.41</v>
      </c>
      <c r="F435" s="37">
        <f t="shared" si="314"/>
        <v>5602.17</v>
      </c>
      <c r="G435" s="37">
        <f t="shared" si="314"/>
        <v>6092.39</v>
      </c>
      <c r="H435" s="37">
        <f t="shared" si="314"/>
        <v>6444.31</v>
      </c>
    </row>
    <row r="436" spans="2:12">
      <c r="B436" s="75">
        <f t="shared" si="313"/>
        <v>13</v>
      </c>
      <c r="C436" s="37">
        <f t="shared" ref="C436:H436" si="315">IF(C413="-","-",IF((ROUND(C413*$B$431,2)-C413)&lt;$C$431,C413+$C$431,ROUND(C413*$B$431,2)))</f>
        <v>4113.41</v>
      </c>
      <c r="D436" s="37">
        <f t="shared" si="315"/>
        <v>4445.99</v>
      </c>
      <c r="E436" s="37">
        <f t="shared" si="315"/>
        <v>4824.6000000000004</v>
      </c>
      <c r="F436" s="37">
        <f t="shared" si="315"/>
        <v>5235.66</v>
      </c>
      <c r="G436" s="37">
        <f t="shared" si="315"/>
        <v>5719.35</v>
      </c>
      <c r="H436" s="37">
        <f t="shared" si="315"/>
        <v>5981.85</v>
      </c>
    </row>
    <row r="437" spans="2:12">
      <c r="B437" s="75">
        <f t="shared" si="313"/>
        <v>12</v>
      </c>
      <c r="C437" s="37">
        <f t="shared" ref="C437:H437" si="316">IF(C414="-","-",IF((ROUND(C414*$B$431,2)-C414)&lt;$C$431,C414+$C$431,ROUND(C414*$B$431,2)))</f>
        <v>3686.55</v>
      </c>
      <c r="D437" s="37">
        <f t="shared" si="316"/>
        <v>4069.25</v>
      </c>
      <c r="E437" s="37">
        <f t="shared" si="316"/>
        <v>4516.49</v>
      </c>
      <c r="F437" s="37">
        <f t="shared" si="316"/>
        <v>5012.74</v>
      </c>
      <c r="G437" s="37">
        <f t="shared" si="316"/>
        <v>5595.03</v>
      </c>
      <c r="H437" s="37">
        <f t="shared" si="316"/>
        <v>5871.32</v>
      </c>
    </row>
    <row r="438" spans="2:12">
      <c r="B438" s="75">
        <f t="shared" si="313"/>
        <v>11</v>
      </c>
      <c r="C438" s="37">
        <f t="shared" ref="C438:H438" si="317">IF(C415="-","-",IF((ROUND(C415*$B$431,2)-C415)&lt;$C$431,C415+$C$431,ROUND(C415*$B$431,2)))</f>
        <v>3558.11</v>
      </c>
      <c r="D438" s="37">
        <f t="shared" si="317"/>
        <v>3910.1</v>
      </c>
      <c r="E438" s="37">
        <f t="shared" si="317"/>
        <v>4240.84</v>
      </c>
      <c r="F438" s="37">
        <f t="shared" si="317"/>
        <v>4599.68</v>
      </c>
      <c r="G438" s="37">
        <f t="shared" si="317"/>
        <v>5090.78</v>
      </c>
      <c r="H438" s="37">
        <f t="shared" si="317"/>
        <v>5367.08</v>
      </c>
    </row>
    <row r="439" spans="2:12">
      <c r="B439" s="75">
        <f t="shared" si="313"/>
        <v>10</v>
      </c>
      <c r="C439" s="37">
        <f t="shared" ref="C439:H439" si="318">IF(C416="-","-",IF((ROUND(C416*$B$431,2)-C416)&lt;$C$431,C416+$C$431,ROUND(C416*$B$431,2)))</f>
        <v>3430.51</v>
      </c>
      <c r="D439" s="37">
        <f t="shared" si="318"/>
        <v>3706.3</v>
      </c>
      <c r="E439" s="37">
        <f t="shared" si="318"/>
        <v>4019.82</v>
      </c>
      <c r="F439" s="37">
        <f t="shared" si="318"/>
        <v>4359.8500000000004</v>
      </c>
      <c r="G439" s="37">
        <f t="shared" si="318"/>
        <v>4738.5</v>
      </c>
      <c r="H439" s="37">
        <f t="shared" si="318"/>
        <v>4862.83</v>
      </c>
    </row>
    <row r="440" spans="2:12">
      <c r="B440" s="421" t="str">
        <f t="shared" si="313"/>
        <v>9c</v>
      </c>
      <c r="C440" s="623">
        <f>((C439-C442)/3)+C441</f>
        <v>3301.9066666666668</v>
      </c>
      <c r="D440" s="37">
        <f t="shared" ref="D440:H441" si="319">IF(D417="-","-",IF((ROUND(D417*$B$431,2)-D417)&lt;$C$431,D417+$C$431,ROUND(D417*$B$431,2)))</f>
        <v>3540.82</v>
      </c>
      <c r="E440" s="37">
        <f t="shared" si="319"/>
        <v>3839.03</v>
      </c>
      <c r="F440" s="37">
        <f t="shared" si="319"/>
        <v>4163.95</v>
      </c>
      <c r="G440" s="37">
        <f t="shared" si="319"/>
        <v>4516.2299999999996</v>
      </c>
      <c r="H440" s="37">
        <f t="shared" si="319"/>
        <v>4629.3100000000004</v>
      </c>
      <c r="K440" s="625">
        <f>(C439-C442)/3</f>
        <v>128.60333333333347</v>
      </c>
      <c r="L440" s="625">
        <f>ROUND(C441+K440,2)</f>
        <v>3301.91</v>
      </c>
    </row>
    <row r="441" spans="2:12">
      <c r="B441" s="421" t="str">
        <f t="shared" si="313"/>
        <v>9b</v>
      </c>
      <c r="C441" s="623">
        <f>((C439-C442)/3)+C442</f>
        <v>3173.3033333333333</v>
      </c>
      <c r="D441" s="37">
        <f t="shared" si="319"/>
        <v>3282.46</v>
      </c>
      <c r="E441" s="37">
        <f t="shared" si="319"/>
        <v>3555.82</v>
      </c>
      <c r="F441" s="37">
        <f t="shared" si="319"/>
        <v>3855.78</v>
      </c>
      <c r="G441" s="37">
        <f t="shared" si="319"/>
        <v>4185.91</v>
      </c>
      <c r="H441" s="37">
        <f t="shared" si="319"/>
        <v>4462.1899999999996</v>
      </c>
      <c r="K441" s="625"/>
      <c r="L441" s="625">
        <f>ROUND(C442+K440,2)</f>
        <v>3173.3</v>
      </c>
    </row>
    <row r="442" spans="2:12">
      <c r="B442" s="75" t="str">
        <f t="shared" si="313"/>
        <v>9a</v>
      </c>
      <c r="C442" s="37">
        <f t="shared" ref="C442:H442" si="320">IF(C419="-","-",IF((ROUND(C419*$B$431,2)-C419)&lt;$C$431,C419+$C$431,ROUND(C419*$B$431,2)))</f>
        <v>3044.7</v>
      </c>
      <c r="D442" s="37">
        <f t="shared" si="320"/>
        <v>3248.34</v>
      </c>
      <c r="E442" s="37">
        <f t="shared" si="320"/>
        <v>3304.35</v>
      </c>
      <c r="F442" s="37">
        <f t="shared" si="320"/>
        <v>3493.66</v>
      </c>
      <c r="G442" s="37">
        <f t="shared" si="320"/>
        <v>3840.53</v>
      </c>
      <c r="H442" s="37">
        <f t="shared" si="320"/>
        <v>3977.78</v>
      </c>
    </row>
    <row r="443" spans="2:12">
      <c r="B443" s="75">
        <f t="shared" si="313"/>
        <v>8</v>
      </c>
      <c r="C443" s="37">
        <f t="shared" ref="C443:H443" si="321">IF(C420="-","-",IF((ROUND(C420*$B$431,2)-C420)&lt;$C$431,C420+$C$431,ROUND(C420*$B$431,2)))</f>
        <v>2858.91</v>
      </c>
      <c r="D443" s="37">
        <f t="shared" si="321"/>
        <v>3049.92</v>
      </c>
      <c r="E443" s="37">
        <f t="shared" si="321"/>
        <v>3182.23</v>
      </c>
      <c r="F443" s="37">
        <f t="shared" si="321"/>
        <v>3314.31</v>
      </c>
      <c r="G443" s="37">
        <f t="shared" si="321"/>
        <v>3455.98</v>
      </c>
      <c r="H443" s="37">
        <f t="shared" si="321"/>
        <v>3524.11</v>
      </c>
    </row>
    <row r="444" spans="2:12">
      <c r="B444" s="75">
        <f t="shared" si="313"/>
        <v>7</v>
      </c>
      <c r="C444" s="37">
        <f t="shared" ref="C444:H444" si="322">IF(C421="-","-",IF((ROUND(C421*$B$431,2)-C421)&lt;$C$431,C421+$C$431,ROUND(C421*$B$431,2)))</f>
        <v>2685.53</v>
      </c>
      <c r="D444" s="37">
        <f t="shared" si="322"/>
        <v>2905.6</v>
      </c>
      <c r="E444" s="37">
        <f t="shared" si="322"/>
        <v>3036.7</v>
      </c>
      <c r="F444" s="37">
        <f t="shared" si="322"/>
        <v>3169</v>
      </c>
      <c r="G444" s="37">
        <f t="shared" si="322"/>
        <v>3293.78</v>
      </c>
      <c r="H444" s="37">
        <f t="shared" si="322"/>
        <v>3360.79</v>
      </c>
    </row>
    <row r="445" spans="2:12">
      <c r="B445" s="75">
        <f t="shared" si="313"/>
        <v>6</v>
      </c>
      <c r="C445" s="37">
        <f t="shared" ref="C445:H445" si="323">IF(C422="-","-",IF((ROUND(C422*$B$431,2)-C422)&lt;$C$431,C422+$C$431,ROUND(C422*$B$431,2)))</f>
        <v>2636</v>
      </c>
      <c r="D445" s="37">
        <f t="shared" si="323"/>
        <v>2817.11</v>
      </c>
      <c r="E445" s="37">
        <f t="shared" si="323"/>
        <v>2944.11</v>
      </c>
      <c r="F445" s="37">
        <f t="shared" si="323"/>
        <v>3069.78</v>
      </c>
      <c r="G445" s="37">
        <f t="shared" si="323"/>
        <v>3193.22</v>
      </c>
      <c r="H445" s="37">
        <f t="shared" si="323"/>
        <v>3256.1</v>
      </c>
    </row>
    <row r="446" spans="2:12">
      <c r="B446" s="75">
        <f t="shared" si="313"/>
        <v>5</v>
      </c>
      <c r="C446" s="37">
        <f t="shared" ref="C446:H446" si="324">IF(C423="-","-",IF((ROUND(C423*$B$431,2)-C423)&lt;$C$431,C423+$C$431,ROUND(C423*$B$431,2)))</f>
        <v>2530.7399999999998</v>
      </c>
      <c r="D446" s="37">
        <f t="shared" si="324"/>
        <v>2706.42</v>
      </c>
      <c r="E446" s="37">
        <f t="shared" si="324"/>
        <v>2825.08</v>
      </c>
      <c r="F446" s="37">
        <f t="shared" si="324"/>
        <v>2950.74</v>
      </c>
      <c r="G446" s="37">
        <f t="shared" si="324"/>
        <v>3067.5</v>
      </c>
      <c r="H446" s="37">
        <f t="shared" si="324"/>
        <v>3127.85</v>
      </c>
    </row>
    <row r="447" spans="2:12">
      <c r="B447" s="75">
        <f t="shared" si="313"/>
        <v>4</v>
      </c>
      <c r="C447" s="37">
        <f t="shared" ref="C447:H447" si="325">IF(C424="-","-",IF((ROUND(C424*$B$431,2)-C424)&lt;$C$431,C424+$C$431,ROUND(C424*$B$431,2)))</f>
        <v>2413.0700000000002</v>
      </c>
      <c r="D447" s="37">
        <f t="shared" si="325"/>
        <v>2590.85</v>
      </c>
      <c r="E447" s="37">
        <f t="shared" si="325"/>
        <v>2740.02</v>
      </c>
      <c r="F447" s="37">
        <f t="shared" si="325"/>
        <v>2832.88</v>
      </c>
      <c r="G447" s="37">
        <f t="shared" si="325"/>
        <v>2925.73</v>
      </c>
      <c r="H447" s="37">
        <f t="shared" si="325"/>
        <v>2980.1</v>
      </c>
    </row>
    <row r="448" spans="2:12">
      <c r="B448" s="75">
        <f t="shared" si="313"/>
        <v>3</v>
      </c>
      <c r="C448" s="37">
        <f t="shared" ref="C448:H448" si="326">IF(C425="-","-",IF((ROUND(C425*$B$431,2)-C425)&lt;$C$431,C425+$C$431,ROUND(C425*$B$431,2)))</f>
        <v>2375.89</v>
      </c>
      <c r="D448" s="37">
        <f t="shared" si="326"/>
        <v>2567.08</v>
      </c>
      <c r="E448" s="37">
        <f t="shared" si="326"/>
        <v>2613.61</v>
      </c>
      <c r="F448" s="37">
        <f t="shared" si="326"/>
        <v>2719.96</v>
      </c>
      <c r="G448" s="37">
        <f t="shared" si="326"/>
        <v>2799.76</v>
      </c>
      <c r="H448" s="37">
        <f t="shared" si="326"/>
        <v>2872.87</v>
      </c>
    </row>
    <row r="449" spans="1:8">
      <c r="B449" s="75" t="str">
        <f t="shared" si="313"/>
        <v>2Ü</v>
      </c>
      <c r="C449" s="37">
        <f t="shared" ref="C449:H449" si="327">IF(C426="-","-",IF((ROUND(C426*$B$431,2)-C426)&lt;$C$431,C426+$C$431,ROUND(C426*$B$431,2)))</f>
        <v>2221.61</v>
      </c>
      <c r="D449" s="37">
        <f t="shared" si="327"/>
        <v>2443.9899999999998</v>
      </c>
      <c r="E449" s="37">
        <f t="shared" si="327"/>
        <v>2523.88</v>
      </c>
      <c r="F449" s="37">
        <f t="shared" si="327"/>
        <v>2630.4</v>
      </c>
      <c r="G449" s="37">
        <f t="shared" si="327"/>
        <v>2703.6</v>
      </c>
      <c r="H449" s="37">
        <f t="shared" si="327"/>
        <v>2758.23</v>
      </c>
    </row>
    <row r="450" spans="1:8">
      <c r="B450" s="75">
        <f>B427</f>
        <v>2</v>
      </c>
      <c r="C450" s="37">
        <f t="shared" ref="C450:H450" si="328">IF(C427="-","-",IF((ROUND(C427*$B$431,2)-C427)&lt;$C$431,C427+$C$431,ROUND(C427*$B$431,2)))</f>
        <v>2202.5100000000002</v>
      </c>
      <c r="D450" s="37">
        <f t="shared" si="328"/>
        <v>2396</v>
      </c>
      <c r="E450" s="37">
        <f t="shared" si="328"/>
        <v>2442.92</v>
      </c>
      <c r="F450" s="37">
        <f t="shared" si="328"/>
        <v>2509.87</v>
      </c>
      <c r="G450" s="37">
        <f t="shared" si="328"/>
        <v>2657.03</v>
      </c>
      <c r="H450" s="37">
        <f t="shared" si="328"/>
        <v>2810.98</v>
      </c>
    </row>
    <row r="451" spans="1:8">
      <c r="B451" s="75">
        <f t="shared" si="313"/>
        <v>1</v>
      </c>
      <c r="C451" s="37" t="str">
        <f t="shared" ref="C451:H451" si="329">IF(C428="-","-",IF((ROUND(C428*$B$431,2)-C428)&lt;$C$431,C428+$C$431,ROUND(C428*$B$431,2)))</f>
        <v>-</v>
      </c>
      <c r="D451" s="37">
        <f t="shared" si="329"/>
        <v>1979.88</v>
      </c>
      <c r="E451" s="37">
        <f t="shared" si="329"/>
        <v>2012.63</v>
      </c>
      <c r="F451" s="37">
        <f t="shared" si="329"/>
        <v>2053.59</v>
      </c>
      <c r="G451" s="37">
        <f t="shared" si="329"/>
        <v>2091.77</v>
      </c>
      <c r="H451" s="37">
        <f t="shared" si="329"/>
        <v>2190.0500000000002</v>
      </c>
    </row>
    <row r="454" spans="1:8">
      <c r="B454" s="512" t="s">
        <v>621</v>
      </c>
      <c r="C454" s="247"/>
    </row>
    <row r="455" spans="1:8">
      <c r="A455" s="155" t="s">
        <v>620</v>
      </c>
      <c r="B455" s="75" t="s">
        <v>489</v>
      </c>
      <c r="C455" s="75" t="str">
        <f t="shared" ref="C455:H455" si="330">C432</f>
        <v>Stufe 1</v>
      </c>
      <c r="D455" s="75" t="str">
        <f t="shared" si="330"/>
        <v>Stufe 2</v>
      </c>
      <c r="E455" s="75" t="str">
        <f t="shared" si="330"/>
        <v>Stufe 3</v>
      </c>
      <c r="F455" s="75" t="str">
        <f t="shared" si="330"/>
        <v>Stufe 4</v>
      </c>
      <c r="G455" s="75" t="str">
        <f t="shared" si="330"/>
        <v>Stufe 5</v>
      </c>
      <c r="H455" s="75" t="str">
        <f t="shared" si="330"/>
        <v>Stufe 6</v>
      </c>
    </row>
    <row r="456" spans="1:8">
      <c r="B456" s="75" t="str">
        <f>B433</f>
        <v>15Ü</v>
      </c>
      <c r="C456" s="37">
        <f t="shared" ref="C456:H456" si="331">IF(C433="-","-",ROUND(C433*$B$454,2))</f>
        <v>6122.68</v>
      </c>
      <c r="D456" s="37">
        <f t="shared" si="331"/>
        <v>6795.14</v>
      </c>
      <c r="E456" s="37">
        <f t="shared" si="331"/>
        <v>7432.17</v>
      </c>
      <c r="F456" s="37">
        <f t="shared" si="331"/>
        <v>7856.88</v>
      </c>
      <c r="G456" s="37">
        <f t="shared" si="331"/>
        <v>7955.98</v>
      </c>
      <c r="H456" s="37" t="str">
        <f t="shared" si="331"/>
        <v>-</v>
      </c>
    </row>
    <row r="457" spans="1:8">
      <c r="B457" s="75">
        <f t="shared" ref="B457:B474" si="332">B434</f>
        <v>15</v>
      </c>
      <c r="C457" s="37">
        <f t="shared" ref="C457:H457" si="333">IF(C434="-","-",ROUND(C434*$B$454,2))</f>
        <v>5017.0600000000004</v>
      </c>
      <c r="D457" s="37">
        <f t="shared" si="333"/>
        <v>5358.22</v>
      </c>
      <c r="E457" s="37">
        <f t="shared" si="333"/>
        <v>5738.77</v>
      </c>
      <c r="F457" s="37">
        <f t="shared" si="333"/>
        <v>6258.28</v>
      </c>
      <c r="G457" s="37">
        <f t="shared" si="333"/>
        <v>6792.69</v>
      </c>
      <c r="H457" s="37">
        <f t="shared" si="333"/>
        <v>7144.27</v>
      </c>
    </row>
    <row r="458" spans="1:8">
      <c r="B458" s="75">
        <f t="shared" si="332"/>
        <v>14</v>
      </c>
      <c r="C458" s="37">
        <f t="shared" ref="C458:H458" si="334">IF(C435="-","-",ROUND(C435*$B$454,2))</f>
        <v>4542.9799999999996</v>
      </c>
      <c r="D458" s="37">
        <f t="shared" si="334"/>
        <v>4851.8999999999996</v>
      </c>
      <c r="E458" s="37">
        <f t="shared" si="334"/>
        <v>5255.33</v>
      </c>
      <c r="F458" s="37">
        <f t="shared" si="334"/>
        <v>5703.01</v>
      </c>
      <c r="G458" s="37">
        <f t="shared" si="334"/>
        <v>6202.05</v>
      </c>
      <c r="H458" s="37">
        <f t="shared" si="334"/>
        <v>6560.31</v>
      </c>
    </row>
    <row r="459" spans="1:8">
      <c r="B459" s="75">
        <f t="shared" si="332"/>
        <v>13</v>
      </c>
      <c r="C459" s="37">
        <f t="shared" ref="C459:H459" si="335">IF(C436="-","-",ROUND(C436*$B$454,2))</f>
        <v>4187.45</v>
      </c>
      <c r="D459" s="37">
        <f t="shared" si="335"/>
        <v>4526.0200000000004</v>
      </c>
      <c r="E459" s="37">
        <f t="shared" si="335"/>
        <v>4911.4399999999996</v>
      </c>
      <c r="F459" s="37">
        <f t="shared" si="335"/>
        <v>5329.9</v>
      </c>
      <c r="G459" s="37">
        <f t="shared" si="335"/>
        <v>5822.3</v>
      </c>
      <c r="H459" s="37">
        <f t="shared" si="335"/>
        <v>6089.52</v>
      </c>
    </row>
    <row r="460" spans="1:8">
      <c r="B460" s="75">
        <f t="shared" si="332"/>
        <v>12</v>
      </c>
      <c r="C460" s="37">
        <f t="shared" ref="C460:H460" si="336">IF(C437="-","-",ROUND(C437*$B$454,2))</f>
        <v>3752.91</v>
      </c>
      <c r="D460" s="37">
        <f t="shared" si="336"/>
        <v>4142.5</v>
      </c>
      <c r="E460" s="37">
        <f t="shared" si="336"/>
        <v>4597.79</v>
      </c>
      <c r="F460" s="37">
        <f t="shared" si="336"/>
        <v>5102.97</v>
      </c>
      <c r="G460" s="37">
        <f t="shared" si="336"/>
        <v>5695.74</v>
      </c>
      <c r="H460" s="37">
        <f t="shared" si="336"/>
        <v>5977</v>
      </c>
    </row>
    <row r="461" spans="1:8">
      <c r="B461" s="75">
        <f t="shared" si="332"/>
        <v>11</v>
      </c>
      <c r="C461" s="37">
        <f t="shared" ref="C461:H461" si="337">IF(C438="-","-",ROUND(C438*$B$454,2))</f>
        <v>3622.16</v>
      </c>
      <c r="D461" s="37">
        <f t="shared" si="337"/>
        <v>3980.48</v>
      </c>
      <c r="E461" s="37">
        <f t="shared" si="337"/>
        <v>4317.18</v>
      </c>
      <c r="F461" s="37">
        <f t="shared" si="337"/>
        <v>4682.47</v>
      </c>
      <c r="G461" s="37">
        <f t="shared" si="337"/>
        <v>5182.41</v>
      </c>
      <c r="H461" s="37">
        <f t="shared" si="337"/>
        <v>5463.69</v>
      </c>
    </row>
    <row r="462" spans="1:8">
      <c r="B462" s="75">
        <f t="shared" si="332"/>
        <v>10</v>
      </c>
      <c r="C462" s="37">
        <f t="shared" ref="C462:H462" si="338">IF(C439="-","-",ROUND(C439*$B$454,2))</f>
        <v>3492.26</v>
      </c>
      <c r="D462" s="37">
        <f t="shared" si="338"/>
        <v>3773.01</v>
      </c>
      <c r="E462" s="37">
        <f t="shared" si="338"/>
        <v>4092.18</v>
      </c>
      <c r="F462" s="37">
        <f t="shared" si="338"/>
        <v>4438.33</v>
      </c>
      <c r="G462" s="37">
        <f t="shared" si="338"/>
        <v>4823.79</v>
      </c>
      <c r="H462" s="37">
        <f t="shared" si="338"/>
        <v>4950.3599999999997</v>
      </c>
    </row>
    <row r="463" spans="1:8">
      <c r="B463" s="421" t="str">
        <f t="shared" si="332"/>
        <v>9c</v>
      </c>
      <c r="C463" s="623">
        <f t="shared" ref="C463:H463" si="339">IF(C440="-","-",ROUND(C440*$B$454,2))</f>
        <v>3361.34</v>
      </c>
      <c r="D463" s="37">
        <f t="shared" si="339"/>
        <v>3604.55</v>
      </c>
      <c r="E463" s="37">
        <f t="shared" si="339"/>
        <v>3908.13</v>
      </c>
      <c r="F463" s="37">
        <f t="shared" si="339"/>
        <v>4238.8999999999996</v>
      </c>
      <c r="G463" s="37">
        <f t="shared" si="339"/>
        <v>4597.5200000000004</v>
      </c>
      <c r="H463" s="37">
        <f t="shared" si="339"/>
        <v>4712.6400000000003</v>
      </c>
    </row>
    <row r="464" spans="1:8">
      <c r="B464" s="421" t="str">
        <f t="shared" si="332"/>
        <v>9b</v>
      </c>
      <c r="C464" s="623">
        <f t="shared" ref="C464:H464" si="340">IF(C441="-","-",ROUND(C441*$B$454,2))</f>
        <v>3230.42</v>
      </c>
      <c r="D464" s="37">
        <f t="shared" si="340"/>
        <v>3341.54</v>
      </c>
      <c r="E464" s="37">
        <f t="shared" si="340"/>
        <v>3619.82</v>
      </c>
      <c r="F464" s="37">
        <f t="shared" si="340"/>
        <v>3925.18</v>
      </c>
      <c r="G464" s="37">
        <f t="shared" si="340"/>
        <v>4261.26</v>
      </c>
      <c r="H464" s="37">
        <f t="shared" si="340"/>
        <v>4542.51</v>
      </c>
    </row>
    <row r="465" spans="2:8">
      <c r="B465" s="75" t="str">
        <f t="shared" si="332"/>
        <v>9a</v>
      </c>
      <c r="C465" s="37">
        <f t="shared" ref="C465:H465" si="341">IF(C442="-","-",ROUND(C442*$B$454,2))</f>
        <v>3099.5</v>
      </c>
      <c r="D465" s="37">
        <f t="shared" si="341"/>
        <v>3306.81</v>
      </c>
      <c r="E465" s="37">
        <f t="shared" si="341"/>
        <v>3363.83</v>
      </c>
      <c r="F465" s="37">
        <f t="shared" si="341"/>
        <v>3556.55</v>
      </c>
      <c r="G465" s="37">
        <f t="shared" si="341"/>
        <v>3909.66</v>
      </c>
      <c r="H465" s="37">
        <f t="shared" si="341"/>
        <v>4049.38</v>
      </c>
    </row>
    <row r="466" spans="2:8">
      <c r="B466" s="75">
        <f t="shared" si="332"/>
        <v>8</v>
      </c>
      <c r="C466" s="37">
        <f t="shared" ref="C466:H466" si="342">IF(C443="-","-",ROUND(C443*$B$454,2))</f>
        <v>2910.37</v>
      </c>
      <c r="D466" s="37">
        <f t="shared" si="342"/>
        <v>3104.82</v>
      </c>
      <c r="E466" s="37">
        <f t="shared" si="342"/>
        <v>3239.51</v>
      </c>
      <c r="F466" s="37">
        <f t="shared" si="342"/>
        <v>3373.97</v>
      </c>
      <c r="G466" s="37">
        <f t="shared" si="342"/>
        <v>3518.19</v>
      </c>
      <c r="H466" s="37">
        <f t="shared" si="342"/>
        <v>3587.54</v>
      </c>
    </row>
    <row r="467" spans="2:8">
      <c r="B467" s="75">
        <f t="shared" si="332"/>
        <v>7</v>
      </c>
      <c r="C467" s="37">
        <f t="shared" ref="C467:H467" si="343">IF(C444="-","-",ROUND(C444*$B$454,2))</f>
        <v>2733.87</v>
      </c>
      <c r="D467" s="37">
        <f t="shared" si="343"/>
        <v>2957.9</v>
      </c>
      <c r="E467" s="37">
        <f t="shared" si="343"/>
        <v>3091.36</v>
      </c>
      <c r="F467" s="37">
        <f t="shared" si="343"/>
        <v>3226.04</v>
      </c>
      <c r="G467" s="37">
        <f t="shared" si="343"/>
        <v>3353.07</v>
      </c>
      <c r="H467" s="37">
        <f t="shared" si="343"/>
        <v>3421.28</v>
      </c>
    </row>
    <row r="468" spans="2:8">
      <c r="B468" s="75">
        <f t="shared" si="332"/>
        <v>6</v>
      </c>
      <c r="C468" s="37">
        <f t="shared" ref="C468:H468" si="344">IF(C445="-","-",ROUND(C445*$B$454,2))</f>
        <v>2683.45</v>
      </c>
      <c r="D468" s="37">
        <f t="shared" si="344"/>
        <v>2867.82</v>
      </c>
      <c r="E468" s="37">
        <f t="shared" si="344"/>
        <v>2997.1</v>
      </c>
      <c r="F468" s="37">
        <f t="shared" si="344"/>
        <v>3125.04</v>
      </c>
      <c r="G468" s="37">
        <f t="shared" si="344"/>
        <v>3250.7</v>
      </c>
      <c r="H468" s="37">
        <f t="shared" si="344"/>
        <v>3314.71</v>
      </c>
    </row>
    <row r="469" spans="2:8">
      <c r="B469" s="75">
        <f t="shared" si="332"/>
        <v>5</v>
      </c>
      <c r="C469" s="37">
        <f t="shared" ref="C469:H469" si="345">IF(C446="-","-",ROUND(C446*$B$454,2))</f>
        <v>2576.29</v>
      </c>
      <c r="D469" s="37">
        <f t="shared" si="345"/>
        <v>2755.14</v>
      </c>
      <c r="E469" s="37">
        <f t="shared" si="345"/>
        <v>2875.93</v>
      </c>
      <c r="F469" s="37">
        <f t="shared" si="345"/>
        <v>3003.85</v>
      </c>
      <c r="G469" s="37">
        <f t="shared" si="345"/>
        <v>3122.72</v>
      </c>
      <c r="H469" s="37">
        <f t="shared" si="345"/>
        <v>3184.15</v>
      </c>
    </row>
    <row r="470" spans="2:8">
      <c r="B470" s="75">
        <f t="shared" si="332"/>
        <v>4</v>
      </c>
      <c r="C470" s="37">
        <f t="shared" ref="C470:H470" si="346">IF(C447="-","-",ROUND(C447*$B$454,2))</f>
        <v>2456.5100000000002</v>
      </c>
      <c r="D470" s="37">
        <f t="shared" si="346"/>
        <v>2637.49</v>
      </c>
      <c r="E470" s="37">
        <f t="shared" si="346"/>
        <v>2789.34</v>
      </c>
      <c r="F470" s="37">
        <f t="shared" si="346"/>
        <v>2883.87</v>
      </c>
      <c r="G470" s="37">
        <f t="shared" si="346"/>
        <v>2978.39</v>
      </c>
      <c r="H470" s="37">
        <f t="shared" si="346"/>
        <v>3033.74</v>
      </c>
    </row>
    <row r="471" spans="2:8">
      <c r="B471" s="75">
        <f t="shared" si="332"/>
        <v>3</v>
      </c>
      <c r="C471" s="37">
        <f t="shared" ref="C471:H471" si="347">IF(C448="-","-",ROUND(C448*$B$454,2))</f>
        <v>2418.66</v>
      </c>
      <c r="D471" s="37">
        <f t="shared" si="347"/>
        <v>2613.29</v>
      </c>
      <c r="E471" s="37">
        <f t="shared" si="347"/>
        <v>2660.65</v>
      </c>
      <c r="F471" s="37">
        <f t="shared" si="347"/>
        <v>2768.92</v>
      </c>
      <c r="G471" s="37">
        <f t="shared" si="347"/>
        <v>2850.16</v>
      </c>
      <c r="H471" s="37">
        <f t="shared" si="347"/>
        <v>2924.58</v>
      </c>
    </row>
    <row r="472" spans="2:8">
      <c r="B472" s="75" t="str">
        <f t="shared" si="332"/>
        <v>2Ü</v>
      </c>
      <c r="C472" s="37">
        <f t="shared" ref="C472:H472" si="348">IF(C449="-","-",ROUND(C449*$B$454,2))</f>
        <v>2261.6</v>
      </c>
      <c r="D472" s="37">
        <f t="shared" si="348"/>
        <v>2487.98</v>
      </c>
      <c r="E472" s="37">
        <f t="shared" si="348"/>
        <v>2569.31</v>
      </c>
      <c r="F472" s="37">
        <f t="shared" si="348"/>
        <v>2677.75</v>
      </c>
      <c r="G472" s="37">
        <f t="shared" si="348"/>
        <v>2752.26</v>
      </c>
      <c r="H472" s="37">
        <f t="shared" si="348"/>
        <v>2807.88</v>
      </c>
    </row>
    <row r="473" spans="2:8">
      <c r="B473" s="75">
        <f>B450</f>
        <v>2</v>
      </c>
      <c r="C473" s="37">
        <f t="shared" ref="C473:H473" si="349">IF(C450="-","-",ROUND(C450*$B$454,2))</f>
        <v>2242.16</v>
      </c>
      <c r="D473" s="37">
        <f t="shared" si="349"/>
        <v>2439.13</v>
      </c>
      <c r="E473" s="37">
        <f t="shared" si="349"/>
        <v>2486.89</v>
      </c>
      <c r="F473" s="37">
        <f t="shared" si="349"/>
        <v>2555.0500000000002</v>
      </c>
      <c r="G473" s="37">
        <f t="shared" si="349"/>
        <v>2704.86</v>
      </c>
      <c r="H473" s="37">
        <f t="shared" si="349"/>
        <v>2861.58</v>
      </c>
    </row>
    <row r="474" spans="2:8">
      <c r="B474" s="75">
        <f t="shared" si="332"/>
        <v>1</v>
      </c>
      <c r="C474" s="37" t="str">
        <f t="shared" ref="C474:H474" si="350">IF(C451="-","-",ROUND(C451*$B$454,2))</f>
        <v>-</v>
      </c>
      <c r="D474" s="37">
        <f t="shared" si="350"/>
        <v>2015.52</v>
      </c>
      <c r="E474" s="37">
        <f t="shared" si="350"/>
        <v>2048.86</v>
      </c>
      <c r="F474" s="37">
        <f t="shared" si="350"/>
        <v>2090.5500000000002</v>
      </c>
      <c r="G474" s="37">
        <f t="shared" si="350"/>
        <v>2129.42</v>
      </c>
      <c r="H474" s="37">
        <f t="shared" si="350"/>
        <v>2229.4699999999998</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9" tint="-0.249977111117893"/>
    <pageSetUpPr autoPageBreaks="0"/>
  </sheetPr>
  <dimension ref="A1:AC93"/>
  <sheetViews>
    <sheetView showZeros="0" showOutlineSymbols="0" zoomScaleNormal="50" zoomScaleSheetLayoutView="50" workbookViewId="0">
      <selection activeCell="J11" sqref="J11"/>
    </sheetView>
  </sheetViews>
  <sheetFormatPr baseColWidth="10" defaultColWidth="10.7109375" defaultRowHeight="11.25" customHeight="1"/>
  <cols>
    <col min="1" max="1" width="10.7109375" style="287" customWidth="1"/>
    <col min="2" max="3" width="6.42578125" style="287" customWidth="1"/>
    <col min="4" max="9" width="10.7109375" style="287" customWidth="1"/>
    <col min="10" max="10" width="17.85546875" style="287" customWidth="1"/>
    <col min="11" max="12" width="6.42578125" style="287" customWidth="1"/>
    <col min="13" max="16384" width="10.7109375" style="287"/>
  </cols>
  <sheetData>
    <row r="1" spans="1:26" ht="11.25" customHeight="1">
      <c r="A1" s="287" t="str">
        <f>Umse!B11</f>
        <v>1.2.</v>
      </c>
    </row>
    <row r="2" spans="1:26" ht="15" customHeight="1">
      <c r="B2" s="663"/>
      <c r="C2" s="664"/>
      <c r="D2" s="664"/>
      <c r="E2" s="664"/>
      <c r="F2" s="664"/>
      <c r="G2" s="664"/>
      <c r="H2" s="664"/>
      <c r="I2" s="664"/>
      <c r="J2" s="664"/>
      <c r="K2" s="664"/>
      <c r="L2" s="664"/>
      <c r="M2" s="664"/>
      <c r="N2" s="664"/>
      <c r="O2" s="665"/>
      <c r="P2" s="665"/>
      <c r="Q2" s="288"/>
      <c r="R2" s="289"/>
    </row>
    <row r="3" spans="1:26" ht="3.75" customHeight="1"/>
    <row r="4" spans="1:26" ht="13.5" customHeight="1">
      <c r="D4" s="290"/>
      <c r="E4" s="291" t="str">
        <f>IF(Umse!B11=0,"Bitte Tarifgebiet auswählen","")</f>
        <v/>
      </c>
      <c r="H4" s="291" t="str">
        <f>IF(Kalk!K3="Pflichtstunden","",IF(Umse!B11=0,"     Bitte Tarifgebiet auswählen",IF(Umse!C24=0,"     Bitte Vollzeit auswählen",IF(OR(Umse!B11="2.2.",Umse!B11="2.7."),"     Bitte Auswahl treffen",IF(AND(Kalk!B5=4,Umse!B50="Land (TdL)"),"     Bitte Auswahl treffen",IF(AND(Kalk!B5=5,Umse!B50="Land (TdL)"),"     Bitte Auswahl treffen",""))))))</f>
        <v/>
      </c>
      <c r="K4" s="666"/>
      <c r="L4" s="666"/>
      <c r="M4" s="666"/>
      <c r="N4" s="666"/>
      <c r="O4" s="666"/>
      <c r="P4" s="666"/>
    </row>
    <row r="5" spans="1:26" ht="13.5" customHeight="1">
      <c r="B5" s="292"/>
      <c r="C5" s="292"/>
      <c r="D5" s="293"/>
      <c r="E5" s="292"/>
      <c r="F5" s="667"/>
      <c r="G5" s="667"/>
      <c r="H5" s="293"/>
      <c r="I5" s="295"/>
      <c r="J5" s="296"/>
      <c r="K5" s="666"/>
      <c r="L5" s="666"/>
      <c r="M5" s="666"/>
      <c r="N5" s="666"/>
      <c r="O5" s="666"/>
      <c r="P5" s="666"/>
    </row>
    <row r="6" spans="1:26" ht="13.5" customHeight="1">
      <c r="I6" s="297"/>
      <c r="J6" s="298"/>
      <c r="K6" s="666"/>
      <c r="L6" s="666"/>
      <c r="M6" s="666"/>
      <c r="N6" s="666"/>
      <c r="O6" s="666"/>
      <c r="P6" s="666"/>
    </row>
    <row r="7" spans="1:26" s="299" customFormat="1" ht="3.75" customHeight="1">
      <c r="B7" s="300"/>
      <c r="C7" s="300"/>
      <c r="D7" s="301"/>
      <c r="E7" s="301"/>
      <c r="F7" s="301"/>
      <c r="G7" s="301"/>
      <c r="H7" s="301"/>
      <c r="I7" s="301"/>
      <c r="K7" s="302"/>
      <c r="L7" s="302"/>
      <c r="M7" s="303"/>
      <c r="N7" s="303"/>
      <c r="O7" s="303"/>
      <c r="P7" s="303"/>
      <c r="Q7" s="303"/>
      <c r="R7" s="303"/>
      <c r="U7" s="304"/>
      <c r="V7" s="304"/>
      <c r="W7" s="304"/>
      <c r="X7" s="304"/>
      <c r="Y7" s="304"/>
      <c r="Z7" s="304"/>
    </row>
    <row r="8" spans="1:26" s="299" customFormat="1" ht="3.75" customHeight="1">
      <c r="B8" s="301"/>
      <c r="C8" s="301"/>
      <c r="D8" s="301"/>
      <c r="E8" s="301"/>
      <c r="F8" s="301"/>
      <c r="G8" s="301"/>
      <c r="H8" s="301"/>
      <c r="I8" s="301"/>
      <c r="J8" s="305"/>
      <c r="K8" s="303"/>
      <c r="L8" s="303"/>
      <c r="M8" s="303"/>
      <c r="N8" s="303"/>
      <c r="O8" s="303"/>
      <c r="P8" s="303"/>
      <c r="Q8" s="303"/>
      <c r="R8" s="303"/>
      <c r="U8" s="304"/>
      <c r="V8" s="304"/>
      <c r="W8" s="304"/>
      <c r="X8" s="304"/>
      <c r="Y8" s="304"/>
      <c r="Z8" s="304"/>
    </row>
    <row r="9" spans="1:26" s="299" customFormat="1" ht="3.75" customHeight="1">
      <c r="B9" s="301"/>
      <c r="C9" s="301"/>
      <c r="D9" s="301"/>
      <c r="E9" s="301"/>
      <c r="F9" s="301"/>
      <c r="G9" s="301"/>
      <c r="H9" s="301"/>
      <c r="I9" s="301"/>
      <c r="J9" s="305"/>
      <c r="K9" s="303"/>
      <c r="L9" s="303"/>
      <c r="M9" s="303"/>
      <c r="N9" s="303"/>
      <c r="O9" s="303"/>
      <c r="P9" s="303"/>
      <c r="Q9" s="303"/>
      <c r="R9" s="303"/>
      <c r="U9" s="304"/>
      <c r="V9" s="304"/>
      <c r="W9" s="304"/>
      <c r="X9" s="304"/>
      <c r="Y9" s="304"/>
      <c r="Z9" s="304"/>
    </row>
    <row r="10" spans="1:26" ht="12.75" customHeight="1">
      <c r="B10" s="669" t="str">
        <f>K10</f>
        <v/>
      </c>
      <c r="C10" s="670"/>
      <c r="D10" s="670"/>
      <c r="E10" s="673" t="str">
        <f>IF(OR(Umse!B11="2.2.",Umse!B11="2.3.",Umse!B11="2.4.",Umse!B11="2.5."),"Stundenentgelt  ( Vollzeit )",IF(OR(Umse!B11="2.1.",Umse!B11="2.6.",Umse!B11="2.7.",Umse!B11="2.8.",Umse!B11="2.9.",Umse!B11="2.10.",Umse!B11="2.11.",Umse!B11="2.12.",Umse!B11="2.13.",Umse!B11="2.14.",Umse!B11="2.15."),"Stundenentgelt  ( Vollzeit )",""))</f>
        <v/>
      </c>
      <c r="F10" s="673"/>
      <c r="G10" s="673"/>
      <c r="H10" s="661" t="str">
        <f>IF(OR(Umse!$B$11="2.10.",Umse!$B$11="2.11.",Umse!$B$11="2.12."),Umse!B62,IF(Kalk!B5=2,Umse!B62,""))</f>
        <v/>
      </c>
      <c r="I10" s="662"/>
      <c r="J10" s="294"/>
      <c r="K10" s="669" t="str">
        <f>IF(Kalk!B5=2,'V Ist'!A2,"")</f>
        <v/>
      </c>
      <c r="L10" s="670"/>
      <c r="M10" s="670"/>
      <c r="N10" s="673" t="str">
        <f>IF(Kalk!B5=2,'V Ist'!M1&amp;" "&amp;'V Ist'!Q1,"")</f>
        <v/>
      </c>
      <c r="O10" s="673"/>
      <c r="P10" s="673"/>
      <c r="Q10" s="661" t="str">
        <f>IF(Kalk!B5=2,Umse!B36,"")</f>
        <v/>
      </c>
      <c r="R10" s="662"/>
    </row>
    <row r="11" spans="1:26" ht="22.5" customHeight="1">
      <c r="B11" s="302" t="str">
        <f>K11</f>
        <v/>
      </c>
      <c r="C11" s="306"/>
      <c r="D11" s="306" t="str">
        <f t="shared" ref="D11:I11" si="0">M11</f>
        <v/>
      </c>
      <c r="E11" s="306" t="str">
        <f t="shared" si="0"/>
        <v/>
      </c>
      <c r="F11" s="306" t="str">
        <f t="shared" si="0"/>
        <v/>
      </c>
      <c r="G11" s="306" t="str">
        <f t="shared" si="0"/>
        <v/>
      </c>
      <c r="H11" s="306" t="str">
        <f t="shared" si="0"/>
        <v/>
      </c>
      <c r="I11" s="306" t="str">
        <f t="shared" si="0"/>
        <v/>
      </c>
      <c r="J11" s="630" t="str">
        <f>IF(OR($A$1="2.1.",$A$1="2.2.",$A$1="2.5.",$A$1="2.6.",$A$1="2.9.",$A$1="2.10."),"Hinweis","")</f>
        <v/>
      </c>
      <c r="K11" s="302" t="str">
        <f>IF(OR(Umse!$C$24=0,Umse!$B$11=0),"",IF(Kalk!$B$5=2,'V Ist'!K2,""))</f>
        <v/>
      </c>
      <c r="L11" s="306"/>
      <c r="M11" s="306" t="str">
        <f>IF(OR(Umse!$C$24=0,Umse!$B$11=0),"",IF(Kalk!$B$5=2,'V Ist'!M2,""))</f>
        <v/>
      </c>
      <c r="N11" s="306" t="str">
        <f>IF(OR(Umse!$C$24=0,Umse!$B$11=0),"",IF(Kalk!$B$5=2,'V Ist'!N2,""))</f>
        <v/>
      </c>
      <c r="O11" s="306" t="str">
        <f>IF(OR(Umse!$C$24=0,Umse!$B$11=0),"",IF(Kalk!$B$5=2,'V Ist'!O2,""))</f>
        <v/>
      </c>
      <c r="P11" s="306" t="str">
        <f>IF(OR(Umse!$C$24=0,Umse!$B$11=0),"",IF(Kalk!$B$5=2,'V Ist'!P2,""))</f>
        <v/>
      </c>
      <c r="Q11" s="306" t="str">
        <f>IF(OR(Umse!$C$24=0,Umse!$B$11=0),"",IF(Kalk!$B$5=2,'V Ist'!Q2,""))</f>
        <v/>
      </c>
      <c r="R11" s="306" t="str">
        <f>IF(OR(Umse!$C$24=0,Umse!$B$11=0),"",IF(Kalk!$B$5=2,'V Ist'!R2,""))</f>
        <v/>
      </c>
    </row>
    <row r="12" spans="1:26" ht="11.25" customHeight="1">
      <c r="B12" s="306" t="str">
        <f>K12</f>
        <v/>
      </c>
      <c r="C12" s="306" t="str">
        <f>L12</f>
        <v/>
      </c>
      <c r="D12" s="308">
        <f>IF(Kalk!$B$4=2,'V Ist'!D3,0)</f>
        <v>0</v>
      </c>
      <c r="E12" s="308">
        <f>IF(Kalk!$B$4=2,'V Ist'!E3,0)</f>
        <v>0</v>
      </c>
      <c r="F12" s="308">
        <f>IF(Kalk!$B$4=2,'V Ist'!F3,0)</f>
        <v>0</v>
      </c>
      <c r="G12" s="308">
        <f>IF(Kalk!$B$4=2,'V Ist'!G3,0)</f>
        <v>0</v>
      </c>
      <c r="H12" s="308">
        <f>IF(Kalk!$B$4=2,'V Ist'!H3,0)</f>
        <v>0</v>
      </c>
      <c r="I12" s="308">
        <f>IF(Kalk!$B$4=2,'V Ist'!I3,0)</f>
        <v>0</v>
      </c>
      <c r="J12" s="630" t="str">
        <f>IF(OR($A$1="2.1.",$A$1="2.2.",$A$1="2.5.",$A$1="2.6.",$A$1="2.9.",$A$1="2.10."),"Entgelttabelle (Anlage A)","")</f>
        <v/>
      </c>
      <c r="K12" s="306" t="str">
        <f>IF(OR(Umse!$C$24=0,Umse!$B$11=0),"",IF(Kalk!$B$5=2,'V Ist'!K3,""))</f>
        <v/>
      </c>
      <c r="L12" s="306" t="str">
        <f>IF(OR(Umse!$C$24=0,Umse!$B$11=0),"",IF(Kalk!$B$5=2,'V Ist'!L3,""))</f>
        <v/>
      </c>
      <c r="M12" s="308">
        <f>IF(Kalk!$B$4=2,'V Ist'!M3,0)</f>
        <v>0</v>
      </c>
      <c r="N12" s="308">
        <f>IF(Kalk!$B$4=2,'V Ist'!N3,0)</f>
        <v>0</v>
      </c>
      <c r="O12" s="308">
        <f>IF(Kalk!$B$4=2,'V Ist'!O3,0)</f>
        <v>0</v>
      </c>
      <c r="P12" s="308">
        <f>IF(Kalk!$B$4=2,'V Ist'!P3,0)</f>
        <v>0</v>
      </c>
      <c r="Q12" s="308">
        <f>IF(Kalk!$B$4=2,'V Ist'!Q3,0)</f>
        <v>0</v>
      </c>
      <c r="R12" s="308">
        <f>IF(Kalk!$B$4=2,'V Ist'!R3,0)</f>
        <v>0</v>
      </c>
    </row>
    <row r="13" spans="1:26" ht="11.25" customHeight="1">
      <c r="B13" s="306" t="str">
        <f t="shared" ref="B13:B32" si="1">K13</f>
        <v/>
      </c>
      <c r="C13" s="306" t="str">
        <f t="shared" ref="C13:C32" si="2">L13</f>
        <v/>
      </c>
      <c r="D13" s="308">
        <f>IF(Kalk!$B$4=2,'V Ist'!D4,0)</f>
        <v>0</v>
      </c>
      <c r="E13" s="308">
        <f>IF(Kalk!$B$4=2,'V Ist'!E4,0)</f>
        <v>0</v>
      </c>
      <c r="F13" s="308">
        <f>IF(Kalk!$B$4=2,'V Ist'!F4,0)</f>
        <v>0</v>
      </c>
      <c r="G13" s="308">
        <f>IF(Kalk!$B$4=2,'V Ist'!G4,0)</f>
        <v>0</v>
      </c>
      <c r="H13" s="308">
        <f>IF(Kalk!$B$4=2,'V Ist'!H4,0)</f>
        <v>0</v>
      </c>
      <c r="I13" s="308">
        <f>IF(Kalk!$B$4=2,'V Ist'!I4,0)</f>
        <v>0</v>
      </c>
      <c r="J13" s="630" t="str">
        <f>IF(OR($A$1="2.1.",$A$1="2.2.",$A$1="2.5.",$A$1="2.6.",$A$1="2.9.",$A$1="2.10."),"im Bereich Sparkassen","")</f>
        <v/>
      </c>
      <c r="K13" s="306" t="str">
        <f>IF(OR(Umse!$C$24=0,Umse!$B$11=0),"",IF(Kalk!$B$5=2,'V Ist'!K4,""))</f>
        <v/>
      </c>
      <c r="L13" s="306" t="str">
        <f>IF(OR(Umse!$C$24=0,Umse!$B$11=0),"",IF(Kalk!$B$5=2,'V Ist'!L4,""))</f>
        <v/>
      </c>
      <c r="M13" s="308">
        <f>IF(Kalk!$B$4=2,'V Ist'!M4,0)</f>
        <v>0</v>
      </c>
      <c r="N13" s="308">
        <f>IF(Kalk!$B$4=2,'V Ist'!N4,0)</f>
        <v>0</v>
      </c>
      <c r="O13" s="308">
        <f>IF(Kalk!$B$4=2,'V Ist'!O4,0)</f>
        <v>0</v>
      </c>
      <c r="P13" s="308">
        <f>IF(Kalk!$B$4=2,'V Ist'!P4,0)</f>
        <v>0</v>
      </c>
      <c r="Q13" s="308">
        <f>IF(Kalk!$B$4=2,'V Ist'!Q4,0)</f>
        <v>0</v>
      </c>
      <c r="R13" s="308">
        <f>IF(Kalk!$B$4=2,'V Ist'!R4,0)</f>
        <v>0</v>
      </c>
    </row>
    <row r="14" spans="1:26" ht="11.25" customHeight="1">
      <c r="B14" s="306" t="str">
        <f t="shared" si="1"/>
        <v/>
      </c>
      <c r="C14" s="306" t="str">
        <f t="shared" si="2"/>
        <v/>
      </c>
      <c r="D14" s="308">
        <f>IF(Kalk!$B$4=2,'V Ist'!D5,0)</f>
        <v>0</v>
      </c>
      <c r="E14" s="308">
        <f>IF(Kalk!$B$4=2,'V Ist'!E5,0)</f>
        <v>0</v>
      </c>
      <c r="F14" s="308">
        <f>IF(Kalk!$B$4=2,'V Ist'!F5,0)</f>
        <v>0</v>
      </c>
      <c r="G14" s="308">
        <f>IF(Kalk!$B$4=2,'V Ist'!G5,0)</f>
        <v>0</v>
      </c>
      <c r="H14" s="308">
        <f>IF(Kalk!$B$4=2,'V Ist'!H5,0)</f>
        <v>0</v>
      </c>
      <c r="I14" s="308">
        <f>IF(Kalk!$B$4=2,'V Ist'!I5,0)</f>
        <v>0</v>
      </c>
      <c r="J14" s="630" t="str">
        <f>IF(OR($A$1="2.1.",$A$1="2.2."),"gilt bis 30.06.2021",IF(OR($A$1="2.5.",$A$1="2.6."),"gilt erst ab 1.07.2021",IF(OR($A$1="2.9.",$A$1="2.10."),"gilt erst ab 1.12.2022","")))</f>
        <v/>
      </c>
      <c r="K14" s="306" t="str">
        <f>IF(OR(Umse!$C$24=0,Umse!$B$11=0),"",IF(Kalk!$B$5=2,'V Ist'!K5,""))</f>
        <v/>
      </c>
      <c r="L14" s="306" t="str">
        <f>IF(OR(Umse!$C$24=0,Umse!$B$11=0),"",IF(Kalk!$B$5=2,'V Ist'!L5,""))</f>
        <v/>
      </c>
      <c r="M14" s="308">
        <f>IF(Kalk!$B$4=2,'V Ist'!M5,0)</f>
        <v>0</v>
      </c>
      <c r="N14" s="308">
        <f>IF(Kalk!$B$4=2,'V Ist'!N5,0)</f>
        <v>0</v>
      </c>
      <c r="O14" s="308">
        <f>IF(Kalk!$B$4=2,'V Ist'!O5,0)</f>
        <v>0</v>
      </c>
      <c r="P14" s="308">
        <f>IF(Kalk!$B$4=2,'V Ist'!P5,0)</f>
        <v>0</v>
      </c>
      <c r="Q14" s="308">
        <f>IF(Kalk!$B$4=2,'V Ist'!Q5,0)</f>
        <v>0</v>
      </c>
      <c r="R14" s="308">
        <f>IF(Kalk!$B$4=2,'V Ist'!R5,0)</f>
        <v>0</v>
      </c>
    </row>
    <row r="15" spans="1:26" ht="11.25" customHeight="1">
      <c r="B15" s="306" t="str">
        <f t="shared" si="1"/>
        <v/>
      </c>
      <c r="C15" s="306" t="str">
        <f t="shared" si="2"/>
        <v/>
      </c>
      <c r="D15" s="308">
        <f>IF(Kalk!$B$4=2,'V Ist'!D6,0)</f>
        <v>0</v>
      </c>
      <c r="E15" s="308">
        <f>IF(Kalk!$B$4=2,'V Ist'!E6,0)</f>
        <v>0</v>
      </c>
      <c r="F15" s="308">
        <f>IF(Kalk!$B$4=2,'V Ist'!F6,0)</f>
        <v>0</v>
      </c>
      <c r="G15" s="308">
        <f>IF(Kalk!$B$4=2,'V Ist'!G6,0)</f>
        <v>0</v>
      </c>
      <c r="H15" s="308">
        <f>IF(Kalk!$B$4=2,'V Ist'!H6,0)</f>
        <v>0</v>
      </c>
      <c r="I15" s="308">
        <f>IF(Kalk!$B$4=2,'V Ist'!I6,0)</f>
        <v>0</v>
      </c>
      <c r="J15" s="630" t="str">
        <f>IF(OR($A$1="2.1.",$A$1="2.2."),"",IF(OR($A$1="2.5.",$A$1="2.6."),"und gilt bis 30.06.2022",IF(OR($A$1="2.9.",$A$1="2.10."),"","")))</f>
        <v/>
      </c>
      <c r="K15" s="306" t="str">
        <f>IF(OR(Umse!$C$24=0,Umse!$B$11=0),"",IF(Kalk!$B$5=2,'V Ist'!K6,""))</f>
        <v/>
      </c>
      <c r="L15" s="306" t="str">
        <f>IF(OR(Umse!$C$24=0,Umse!$B$11=0),"",IF(Kalk!$B$5=2,'V Ist'!L6,""))</f>
        <v/>
      </c>
      <c r="M15" s="308">
        <f>IF(Kalk!$B$4=2,'V Ist'!M6,0)</f>
        <v>0</v>
      </c>
      <c r="N15" s="308">
        <f>IF(Kalk!$B$4=2,'V Ist'!N6,0)</f>
        <v>0</v>
      </c>
      <c r="O15" s="308">
        <f>IF(Kalk!$B$4=2,'V Ist'!O6,0)</f>
        <v>0</v>
      </c>
      <c r="P15" s="308">
        <f>IF(Kalk!$B$4=2,'V Ist'!P6,0)</f>
        <v>0</v>
      </c>
      <c r="Q15" s="308">
        <f>IF(Kalk!$B$4=2,'V Ist'!Q6,0)</f>
        <v>0</v>
      </c>
      <c r="R15" s="308">
        <f>IF(Kalk!$B$4=2,'V Ist'!R6,0)</f>
        <v>0</v>
      </c>
    </row>
    <row r="16" spans="1:26" ht="11.25" customHeight="1">
      <c r="B16" s="306" t="str">
        <f t="shared" si="1"/>
        <v/>
      </c>
      <c r="C16" s="306" t="str">
        <f t="shared" si="2"/>
        <v/>
      </c>
      <c r="D16" s="308">
        <f>IF(Kalk!$B$4=2,'V Ist'!D7,0)</f>
        <v>0</v>
      </c>
      <c r="E16" s="308">
        <f>IF(Kalk!$B$4=2,'V Ist'!E7,0)</f>
        <v>0</v>
      </c>
      <c r="F16" s="308">
        <f>IF(Kalk!$B$4=2,'V Ist'!F7,0)</f>
        <v>0</v>
      </c>
      <c r="G16" s="308">
        <f>IF(Kalk!$B$4=2,'V Ist'!G7,0)</f>
        <v>0</v>
      </c>
      <c r="H16" s="308">
        <f>IF(Kalk!$B$4=2,'V Ist'!H7,0)</f>
        <v>0</v>
      </c>
      <c r="I16" s="308">
        <f>IF(Kalk!$B$4=2,'V Ist'!I7,0)</f>
        <v>0</v>
      </c>
      <c r="J16" s="307"/>
      <c r="K16" s="306" t="str">
        <f>IF(OR(Umse!$C$24=0,Umse!$B$11=0),"",IF(Kalk!$B$5=2,'V Ist'!K7,""))</f>
        <v/>
      </c>
      <c r="L16" s="306" t="str">
        <f>IF(OR(Umse!$C$24=0,Umse!$B$11=0),"",IF(Kalk!$B$5=2,'V Ist'!L7,""))</f>
        <v/>
      </c>
      <c r="M16" s="308">
        <f>IF(Kalk!$B$4=2,'V Ist'!M7,0)</f>
        <v>0</v>
      </c>
      <c r="N16" s="308">
        <f>IF(Kalk!$B$4=2,'V Ist'!N7,0)</f>
        <v>0</v>
      </c>
      <c r="O16" s="308">
        <f>IF(Kalk!$B$4=2,'V Ist'!O7,0)</f>
        <v>0</v>
      </c>
      <c r="P16" s="308">
        <f>IF(Kalk!$B$4=2,'V Ist'!P7,0)</f>
        <v>0</v>
      </c>
      <c r="Q16" s="308">
        <f>IF(Kalk!$B$4=2,'V Ist'!Q7,0)</f>
        <v>0</v>
      </c>
      <c r="R16" s="308">
        <f>IF(Kalk!$B$4=2,'V Ist'!R7,0)</f>
        <v>0</v>
      </c>
    </row>
    <row r="17" spans="2:29" ht="11.25" customHeight="1">
      <c r="B17" s="306" t="str">
        <f t="shared" si="1"/>
        <v/>
      </c>
      <c r="C17" s="306" t="str">
        <f t="shared" si="2"/>
        <v/>
      </c>
      <c r="D17" s="308">
        <f>IF(Kalk!$B$4=2,'V Ist'!D8,0)</f>
        <v>0</v>
      </c>
      <c r="E17" s="308">
        <f>IF(Kalk!$B$4=2,'V Ist'!E8,0)</f>
        <v>0</v>
      </c>
      <c r="F17" s="308">
        <f>IF(Kalk!$B$4=2,'V Ist'!F8,0)</f>
        <v>0</v>
      </c>
      <c r="G17" s="308">
        <f>IF(Kalk!$B$4=2,'V Ist'!G8,0)</f>
        <v>0</v>
      </c>
      <c r="H17" s="308">
        <f>IF(Kalk!$B$4=2,'V Ist'!H8,0)</f>
        <v>0</v>
      </c>
      <c r="I17" s="308">
        <f>IF(Kalk!$B$4=2,'V Ist'!I8,0)</f>
        <v>0</v>
      </c>
      <c r="J17" s="307"/>
      <c r="K17" s="306" t="str">
        <f>IF(OR(Umse!$C$24=0,Umse!$B$11=0),"",IF(Kalk!$B$5=2,'V Ist'!K8,""))</f>
        <v/>
      </c>
      <c r="L17" s="306" t="str">
        <f>IF(OR(Umse!$C$24=0,Umse!$B$11=0),"",IF(Kalk!$B$5=2,'V Ist'!L8,""))</f>
        <v/>
      </c>
      <c r="M17" s="308">
        <f>IF(Kalk!$B$4=2,'V Ist'!M8,0)</f>
        <v>0</v>
      </c>
      <c r="N17" s="308">
        <f>IF(Kalk!$B$4=2,'V Ist'!N8,0)</f>
        <v>0</v>
      </c>
      <c r="O17" s="308">
        <f>IF(Kalk!$B$4=2,'V Ist'!O8,0)</f>
        <v>0</v>
      </c>
      <c r="P17" s="308">
        <f>IF(Kalk!$B$4=2,'V Ist'!P8,0)</f>
        <v>0</v>
      </c>
      <c r="Q17" s="308">
        <f>IF(Kalk!$B$4=2,'V Ist'!Q8,0)</f>
        <v>0</v>
      </c>
      <c r="R17" s="308">
        <f>IF(Kalk!$B$4=2,'V Ist'!R8,0)</f>
        <v>0</v>
      </c>
    </row>
    <row r="18" spans="2:29" ht="11.25" customHeight="1">
      <c r="B18" s="306" t="str">
        <f t="shared" si="1"/>
        <v/>
      </c>
      <c r="C18" s="306" t="str">
        <f t="shared" si="2"/>
        <v/>
      </c>
      <c r="D18" s="308">
        <f>IF(Kalk!$B$4=2,'V Ist'!D9,0)</f>
        <v>0</v>
      </c>
      <c r="E18" s="308">
        <f>IF(Kalk!$B$4=2,'V Ist'!E9,0)</f>
        <v>0</v>
      </c>
      <c r="F18" s="308">
        <f>IF(Kalk!$B$4=2,'V Ist'!F9,0)</f>
        <v>0</v>
      </c>
      <c r="G18" s="308">
        <f>IF(Kalk!$B$4=2,'V Ist'!G9,0)</f>
        <v>0</v>
      </c>
      <c r="H18" s="308">
        <f>IF(Kalk!$B$4=2,'V Ist'!H9,0)</f>
        <v>0</v>
      </c>
      <c r="I18" s="308">
        <f>IF(Kalk!$B$4=2,'V Ist'!I9,0)</f>
        <v>0</v>
      </c>
      <c r="J18" s="307"/>
      <c r="K18" s="306" t="str">
        <f>IF(OR(Umse!$C$24=0,Umse!$B$11=0),"",IF(Kalk!$B$5=2,'V Ist'!K9,""))</f>
        <v/>
      </c>
      <c r="L18" s="306" t="str">
        <f>IF(OR(Umse!$C$24=0,Umse!$B$11=0),"",IF(Kalk!$B$5=2,'V Ist'!L9,""))</f>
        <v/>
      </c>
      <c r="M18" s="308">
        <f>IF(Kalk!$B$4=2,'V Ist'!M9,0)</f>
        <v>0</v>
      </c>
      <c r="N18" s="308">
        <f>IF(Kalk!$B$4=2,'V Ist'!N9,0)</f>
        <v>0</v>
      </c>
      <c r="O18" s="308">
        <f>IF(Kalk!$B$4=2,'V Ist'!O9,0)</f>
        <v>0</v>
      </c>
      <c r="P18" s="308">
        <f>IF(Kalk!$B$4=2,'V Ist'!P9,0)</f>
        <v>0</v>
      </c>
      <c r="Q18" s="308">
        <f>IF(Kalk!$B$4=2,'V Ist'!Q9,0)</f>
        <v>0</v>
      </c>
      <c r="R18" s="308">
        <f>IF(Kalk!$B$4=2,'V Ist'!R9,0)</f>
        <v>0</v>
      </c>
    </row>
    <row r="19" spans="2:29" ht="11.25" customHeight="1">
      <c r="B19" s="306" t="str">
        <f t="shared" si="1"/>
        <v/>
      </c>
      <c r="C19" s="306" t="str">
        <f t="shared" si="2"/>
        <v/>
      </c>
      <c r="D19" s="308">
        <f>IF(Kalk!$B$4=2,'V Ist'!D10,0)</f>
        <v>0</v>
      </c>
      <c r="E19" s="308">
        <f>IF(Kalk!$B$4=2,'V Ist'!E10,0)</f>
        <v>0</v>
      </c>
      <c r="F19" s="308">
        <f>IF(Kalk!$B$4=2,'V Ist'!F10,0)</f>
        <v>0</v>
      </c>
      <c r="G19" s="308">
        <f>IF(Kalk!$B$4=2,'V Ist'!G10,0)</f>
        <v>0</v>
      </c>
      <c r="H19" s="308">
        <f>IF(Kalk!$B$4=2,'V Ist'!H10,0)</f>
        <v>0</v>
      </c>
      <c r="I19" s="308">
        <f>IF(Kalk!$B$4=2,'V Ist'!I10,0)</f>
        <v>0</v>
      </c>
      <c r="J19" s="307"/>
      <c r="K19" s="306" t="str">
        <f>IF(OR(Umse!$C$24=0,Umse!$B$11=0),"",IF(Kalk!$B$5=2,'V Ist'!K10,""))</f>
        <v/>
      </c>
      <c r="L19" s="306" t="str">
        <f>IF(OR(Umse!$C$24=0,Umse!$B$11=0),"",IF(Kalk!$B$5=2,'V Ist'!L10,""))</f>
        <v/>
      </c>
      <c r="M19" s="308">
        <f>IF(Kalk!$B$4=2,'V Ist'!M10,0)</f>
        <v>0</v>
      </c>
      <c r="N19" s="308">
        <f>IF(Kalk!$B$4=2,'V Ist'!N10,0)</f>
        <v>0</v>
      </c>
      <c r="O19" s="308">
        <f>IF(Kalk!$B$4=2,'V Ist'!O10,0)</f>
        <v>0</v>
      </c>
      <c r="P19" s="308">
        <f>IF(Kalk!$B$4=2,'V Ist'!P10,0)</f>
        <v>0</v>
      </c>
      <c r="Q19" s="308">
        <f>IF(Kalk!$B$4=2,'V Ist'!Q10,0)</f>
        <v>0</v>
      </c>
      <c r="R19" s="308">
        <f>IF(Kalk!$B$4=2,'V Ist'!R10,0)</f>
        <v>0</v>
      </c>
    </row>
    <row r="20" spans="2:29" ht="11.25" customHeight="1">
      <c r="B20" s="306" t="str">
        <f t="shared" si="1"/>
        <v/>
      </c>
      <c r="C20" s="306" t="str">
        <f t="shared" si="2"/>
        <v/>
      </c>
      <c r="D20" s="308">
        <f>IF(Kalk!$B$4=2,'V Ist'!D11,0)</f>
        <v>0</v>
      </c>
      <c r="E20" s="308">
        <f>IF(Kalk!$B$4=2,'V Ist'!E11,0)</f>
        <v>0</v>
      </c>
      <c r="F20" s="308">
        <f>IF(Kalk!$B$4=2,'V Ist'!F11,0)</f>
        <v>0</v>
      </c>
      <c r="G20" s="308">
        <f>IF(Kalk!$B$4=2,'V Ist'!G11,0)</f>
        <v>0</v>
      </c>
      <c r="H20" s="308">
        <f>IF(Kalk!$B$4=2,'V Ist'!H11,0)</f>
        <v>0</v>
      </c>
      <c r="I20" s="308">
        <f>IF(Kalk!$B$4=2,'V Ist'!I11,0)</f>
        <v>0</v>
      </c>
      <c r="J20" s="307"/>
      <c r="K20" s="306" t="str">
        <f>IF(OR(Umse!$C$24=0,Umse!$B$11=0),"",IF(Kalk!$B$5=2,'V Ist'!K11,""))</f>
        <v/>
      </c>
      <c r="L20" s="306" t="str">
        <f>IF(OR(Umse!$C$24=0,Umse!$B$11=0),"",IF(Kalk!$B$5=2,'V Ist'!L11,""))</f>
        <v/>
      </c>
      <c r="M20" s="308">
        <f>IF(Kalk!$B$4=2,'V Ist'!M11,0)</f>
        <v>0</v>
      </c>
      <c r="N20" s="308">
        <f>IF(Kalk!$B$4=2,'V Ist'!N11,0)</f>
        <v>0</v>
      </c>
      <c r="O20" s="308">
        <f>IF(Kalk!$B$4=2,'V Ist'!O11,0)</f>
        <v>0</v>
      </c>
      <c r="P20" s="308">
        <f>IF(Kalk!$B$4=2,'V Ist'!P11,0)</f>
        <v>0</v>
      </c>
      <c r="Q20" s="308">
        <f>IF(Kalk!$B$4=2,'V Ist'!Q11,0)</f>
        <v>0</v>
      </c>
      <c r="R20" s="308">
        <f>IF(Kalk!$B$4=2,'V Ist'!R11,0)</f>
        <v>0</v>
      </c>
    </row>
    <row r="21" spans="2:29" ht="11.25" customHeight="1">
      <c r="B21" s="306" t="str">
        <f t="shared" si="1"/>
        <v/>
      </c>
      <c r="C21" s="306" t="str">
        <f t="shared" si="2"/>
        <v/>
      </c>
      <c r="D21" s="308">
        <f>IF(Kalk!$B$4=2,'V Ist'!D12,0)</f>
        <v>0</v>
      </c>
      <c r="E21" s="308">
        <f>IF(Kalk!$B$4=2,'V Ist'!E12,0)</f>
        <v>0</v>
      </c>
      <c r="F21" s="308">
        <f>IF(Kalk!$B$4=2,'V Ist'!F12,0)</f>
        <v>0</v>
      </c>
      <c r="G21" s="308">
        <f>IF(Kalk!$B$4=2,'V Ist'!G12,0)</f>
        <v>0</v>
      </c>
      <c r="H21" s="308">
        <f>IF(Kalk!$B$4=2,'V Ist'!H12,0)</f>
        <v>0</v>
      </c>
      <c r="I21" s="308">
        <f>IF(Kalk!$B$4=2,'V Ist'!I12,0)</f>
        <v>0</v>
      </c>
      <c r="J21" s="307"/>
      <c r="K21" s="306" t="str">
        <f>IF(OR(Umse!$C$24=0,Umse!$B$11=0),"",IF(Kalk!$B$5=2,'V Ist'!K12,""))</f>
        <v/>
      </c>
      <c r="L21" s="306" t="str">
        <f>IF(OR(Umse!$C$24=0,Umse!$B$11=0),"",IF(Kalk!$B$5=2,'V Ist'!L12,""))</f>
        <v/>
      </c>
      <c r="M21" s="308">
        <f>IF(Kalk!$B$4=2,'V Ist'!M12,0)</f>
        <v>0</v>
      </c>
      <c r="N21" s="308">
        <f>IF(Kalk!$B$4=2,'V Ist'!N12,0)</f>
        <v>0</v>
      </c>
      <c r="O21" s="308">
        <f>IF(Kalk!$B$4=2,'V Ist'!O12,0)</f>
        <v>0</v>
      </c>
      <c r="P21" s="308">
        <f>IF(Kalk!$B$4=2,'V Ist'!P12,0)</f>
        <v>0</v>
      </c>
      <c r="Q21" s="308">
        <f>IF(Kalk!$B$4=2,'V Ist'!Q12,0)</f>
        <v>0</v>
      </c>
      <c r="R21" s="308">
        <f>IF(Kalk!$B$4=2,'V Ist'!R12,0)</f>
        <v>0</v>
      </c>
    </row>
    <row r="22" spans="2:29" ht="11.25" customHeight="1">
      <c r="B22" s="306" t="str">
        <f t="shared" si="1"/>
        <v/>
      </c>
      <c r="C22" s="306" t="str">
        <f t="shared" si="2"/>
        <v/>
      </c>
      <c r="D22" s="308">
        <f>IF(Kalk!$B$4=2,'V Ist'!D13,0)</f>
        <v>0</v>
      </c>
      <c r="E22" s="308">
        <f>IF(Kalk!$B$4=2,'V Ist'!E13,0)</f>
        <v>0</v>
      </c>
      <c r="F22" s="308">
        <f>IF(Kalk!$B$4=2,'V Ist'!F13,0)</f>
        <v>0</v>
      </c>
      <c r="G22" s="308">
        <f>IF(Kalk!$B$4=2,'V Ist'!G13,0)</f>
        <v>0</v>
      </c>
      <c r="H22" s="308">
        <f>IF(Kalk!$B$4=2,'V Ist'!H13,0)</f>
        <v>0</v>
      </c>
      <c r="I22" s="308">
        <f>IF(Kalk!$B$4=2,'V Ist'!I13,0)</f>
        <v>0</v>
      </c>
      <c r="J22" s="307"/>
      <c r="K22" s="306" t="str">
        <f>IF(OR(Umse!$C$24=0,Umse!$B$11=0),"",IF(Kalk!$B$5=2,'V Ist'!K13,""))</f>
        <v/>
      </c>
      <c r="L22" s="306" t="str">
        <f>IF(OR(Umse!$C$24=0,Umse!$B$11=0),"",IF(Kalk!$B$5=2,'V Ist'!L13,""))</f>
        <v/>
      </c>
      <c r="M22" s="308">
        <f>IF(Kalk!$B$4=2,'V Ist'!M13,0)</f>
        <v>0</v>
      </c>
      <c r="N22" s="308">
        <f>IF(Kalk!$B$4=2,'V Ist'!N13,0)</f>
        <v>0</v>
      </c>
      <c r="O22" s="308">
        <f>IF(Kalk!$B$4=2,'V Ist'!O13,0)</f>
        <v>0</v>
      </c>
      <c r="P22" s="308">
        <f>IF(Kalk!$B$4=2,'V Ist'!P13,0)</f>
        <v>0</v>
      </c>
      <c r="Q22" s="308">
        <f>IF(Kalk!$B$4=2,'V Ist'!Q13,0)</f>
        <v>0</v>
      </c>
      <c r="R22" s="308">
        <f>IF(Kalk!$B$4=2,'V Ist'!R13,0)</f>
        <v>0</v>
      </c>
    </row>
    <row r="23" spans="2:29" ht="11.25" customHeight="1">
      <c r="B23" s="306" t="str">
        <f t="shared" si="1"/>
        <v/>
      </c>
      <c r="C23" s="306" t="str">
        <f t="shared" si="2"/>
        <v/>
      </c>
      <c r="D23" s="308">
        <f>IF(Kalk!$B$4=2,'V Ist'!D14,0)</f>
        <v>0</v>
      </c>
      <c r="E23" s="308">
        <f>IF(Kalk!$B$4=2,'V Ist'!E14,0)</f>
        <v>0</v>
      </c>
      <c r="F23" s="308">
        <f>IF(Kalk!$B$4=2,'V Ist'!F14,0)</f>
        <v>0</v>
      </c>
      <c r="G23" s="308">
        <f>IF(Kalk!$B$4=2,'V Ist'!G14,0)</f>
        <v>0</v>
      </c>
      <c r="H23" s="308">
        <f>IF(Kalk!$B$4=2,'V Ist'!H14,0)</f>
        <v>0</v>
      </c>
      <c r="I23" s="308">
        <f>IF(Kalk!$B$4=2,'V Ist'!I14,0)</f>
        <v>0</v>
      </c>
      <c r="J23" s="307"/>
      <c r="K23" s="306" t="str">
        <f>IF(OR(Umse!$C$24=0,Umse!$B$11=0),"",IF(Kalk!$B$5=2,'V Ist'!K14,""))</f>
        <v/>
      </c>
      <c r="L23" s="306" t="str">
        <f>IF(OR(Umse!$C$24=0,Umse!$B$11=0),"",IF(Kalk!$B$5=2,'V Ist'!L14,""))</f>
        <v/>
      </c>
      <c r="M23" s="308">
        <f>IF(Kalk!$B$4=2,'V Ist'!M14,0)</f>
        <v>0</v>
      </c>
      <c r="N23" s="308">
        <f>IF(Kalk!$B$4=2,'V Ist'!N14,0)</f>
        <v>0</v>
      </c>
      <c r="O23" s="308">
        <f>IF(Kalk!$B$4=2,'V Ist'!O14,0)</f>
        <v>0</v>
      </c>
      <c r="P23" s="308">
        <f>IF(Kalk!$B$4=2,'V Ist'!P14,0)</f>
        <v>0</v>
      </c>
      <c r="Q23" s="308">
        <f>IF(Kalk!$B$4=2,'V Ist'!Q14,0)</f>
        <v>0</v>
      </c>
      <c r="R23" s="308">
        <f>IF(Kalk!$B$4=2,'V Ist'!R14,0)</f>
        <v>0</v>
      </c>
    </row>
    <row r="24" spans="2:29" ht="11.25" customHeight="1">
      <c r="B24" s="306" t="str">
        <f t="shared" si="1"/>
        <v/>
      </c>
      <c r="C24" s="306" t="str">
        <f t="shared" si="2"/>
        <v/>
      </c>
      <c r="D24" s="308">
        <f>IF(Kalk!$B$4=2,'V Ist'!D15,0)</f>
        <v>0</v>
      </c>
      <c r="E24" s="308">
        <f>IF(Kalk!$B$4=2,'V Ist'!E15,0)</f>
        <v>0</v>
      </c>
      <c r="F24" s="308">
        <f>IF(Kalk!$B$4=2,'V Ist'!F15,0)</f>
        <v>0</v>
      </c>
      <c r="G24" s="308">
        <f>IF(Kalk!$B$4=2,'V Ist'!G15,0)</f>
        <v>0</v>
      </c>
      <c r="H24" s="308">
        <f>IF(Kalk!$B$4=2,'V Ist'!H15,0)</f>
        <v>0</v>
      </c>
      <c r="I24" s="308">
        <f>IF(Kalk!$B$4=2,'V Ist'!I15,0)</f>
        <v>0</v>
      </c>
      <c r="J24" s="307"/>
      <c r="K24" s="306" t="str">
        <f>IF(OR(Umse!$C$24=0,Umse!$B$11=0),"",IF(Kalk!$B$5=2,'V Ist'!K15,""))</f>
        <v/>
      </c>
      <c r="L24" s="306" t="str">
        <f>IF(OR(Umse!$C$24=0,Umse!$B$11=0),"",IF(Kalk!$B$5=2,'V Ist'!L15,""))</f>
        <v/>
      </c>
      <c r="M24" s="308">
        <f>IF(Kalk!$B$4=2,'V Ist'!M15,0)</f>
        <v>0</v>
      </c>
      <c r="N24" s="308">
        <f>IF(Kalk!$B$4=2,'V Ist'!N15,0)</f>
        <v>0</v>
      </c>
      <c r="O24" s="308">
        <f>IF(Kalk!$B$4=2,'V Ist'!O15,0)</f>
        <v>0</v>
      </c>
      <c r="P24" s="308">
        <f>IF(Kalk!$B$4=2,'V Ist'!P15,0)</f>
        <v>0</v>
      </c>
      <c r="Q24" s="308">
        <f>IF(Kalk!$B$4=2,'V Ist'!Q15,0)</f>
        <v>0</v>
      </c>
      <c r="R24" s="308">
        <f>IF(Kalk!$B$4=2,'V Ist'!R15,0)</f>
        <v>0</v>
      </c>
    </row>
    <row r="25" spans="2:29" ht="11.25" customHeight="1">
      <c r="B25" s="306" t="str">
        <f t="shared" si="1"/>
        <v/>
      </c>
      <c r="C25" s="306" t="str">
        <f t="shared" si="2"/>
        <v/>
      </c>
      <c r="D25" s="308">
        <f>IF(Kalk!$B$4=2,'V Ist'!D16,0)</f>
        <v>0</v>
      </c>
      <c r="E25" s="308">
        <f>IF(Kalk!$B$4=2,'V Ist'!E16,0)</f>
        <v>0</v>
      </c>
      <c r="F25" s="308">
        <f>IF(Kalk!$B$4=2,'V Ist'!F16,0)</f>
        <v>0</v>
      </c>
      <c r="G25" s="308">
        <f>IF(Kalk!$B$4=2,'V Ist'!G16,0)</f>
        <v>0</v>
      </c>
      <c r="H25" s="308">
        <f>IF(Kalk!$B$4=2,'V Ist'!H16,0)</f>
        <v>0</v>
      </c>
      <c r="I25" s="308">
        <f>IF(Kalk!$B$4=2,'V Ist'!I16,0)</f>
        <v>0</v>
      </c>
      <c r="J25" s="307"/>
      <c r="K25" s="306" t="str">
        <f>IF(OR(Umse!$C$24=0,Umse!$B$11=0),"",IF(Kalk!$B$5=2,'V Ist'!K16,""))</f>
        <v/>
      </c>
      <c r="L25" s="306" t="str">
        <f>IF(OR(Umse!$C$24=0,Umse!$B$11=0),"",IF(Kalk!$B$5=2,'V Ist'!L16,""))</f>
        <v/>
      </c>
      <c r="M25" s="308">
        <f>IF(Kalk!$B$4=2,'V Ist'!M16,0)</f>
        <v>0</v>
      </c>
      <c r="N25" s="308">
        <f>IF(Kalk!$B$4=2,'V Ist'!N16,0)</f>
        <v>0</v>
      </c>
      <c r="O25" s="308">
        <f>IF(Kalk!$B$4=2,'V Ist'!O16,0)</f>
        <v>0</v>
      </c>
      <c r="P25" s="308">
        <f>IF(Kalk!$B$4=2,'V Ist'!P16,0)</f>
        <v>0</v>
      </c>
      <c r="Q25" s="308">
        <f>IF(Kalk!$B$4=2,'V Ist'!Q16,0)</f>
        <v>0</v>
      </c>
      <c r="R25" s="308">
        <f>IF(Kalk!$B$4=2,'V Ist'!R16,0)</f>
        <v>0</v>
      </c>
    </row>
    <row r="26" spans="2:29" ht="11.25" customHeight="1">
      <c r="B26" s="306" t="str">
        <f t="shared" si="1"/>
        <v/>
      </c>
      <c r="C26" s="306" t="str">
        <f t="shared" si="2"/>
        <v/>
      </c>
      <c r="D26" s="308">
        <f>IF(Kalk!$B$4=2,'V Ist'!D17,0)</f>
        <v>0</v>
      </c>
      <c r="E26" s="308">
        <f>IF(Kalk!$B$4=2,'V Ist'!E17,0)</f>
        <v>0</v>
      </c>
      <c r="F26" s="308">
        <f>IF(Kalk!$B$4=2,'V Ist'!F17,0)</f>
        <v>0</v>
      </c>
      <c r="G26" s="308">
        <f>IF(Kalk!$B$4=2,'V Ist'!G17,0)</f>
        <v>0</v>
      </c>
      <c r="H26" s="308">
        <f>IF(Kalk!$B$4=2,'V Ist'!H17,0)</f>
        <v>0</v>
      </c>
      <c r="I26" s="308">
        <f>IF(Kalk!$B$4=2,'V Ist'!I17,0)</f>
        <v>0</v>
      </c>
      <c r="J26" s="307"/>
      <c r="K26" s="306" t="str">
        <f>IF(OR(Umse!$C$24=0,Umse!$B$11=0),"",IF(Kalk!$B$5=2,'V Ist'!K17,""))</f>
        <v/>
      </c>
      <c r="L26" s="306" t="str">
        <f>IF(OR(Umse!$C$24=0,Umse!$B$11=0),"",IF(Kalk!$B$5=2,'V Ist'!L17,""))</f>
        <v/>
      </c>
      <c r="M26" s="308">
        <f>IF(Kalk!$B$4=2,'V Ist'!M17,0)</f>
        <v>0</v>
      </c>
      <c r="N26" s="308">
        <f>IF(Kalk!$B$4=2,'V Ist'!N17,0)</f>
        <v>0</v>
      </c>
      <c r="O26" s="308">
        <f>IF(Kalk!$B$4=2,'V Ist'!O17,0)</f>
        <v>0</v>
      </c>
      <c r="P26" s="308">
        <f>IF(Kalk!$B$4=2,'V Ist'!P17,0)</f>
        <v>0</v>
      </c>
      <c r="Q26" s="308">
        <f>IF(Kalk!$B$4=2,'V Ist'!Q17,0)</f>
        <v>0</v>
      </c>
      <c r="R26" s="308">
        <f>IF(Kalk!$B$4=2,'V Ist'!R17,0)</f>
        <v>0</v>
      </c>
      <c r="T26" s="299"/>
      <c r="U26" s="299"/>
      <c r="V26" s="299"/>
    </row>
    <row r="27" spans="2:29" ht="11.25" customHeight="1">
      <c r="B27" s="306" t="str">
        <f t="shared" si="1"/>
        <v/>
      </c>
      <c r="C27" s="306" t="str">
        <f t="shared" si="2"/>
        <v/>
      </c>
      <c r="D27" s="308">
        <f>IF(Kalk!$B$4=2,'V Ist'!D18,0)</f>
        <v>0</v>
      </c>
      <c r="E27" s="308">
        <f>IF(Kalk!$B$4=2,'V Ist'!E18,0)</f>
        <v>0</v>
      </c>
      <c r="F27" s="308">
        <f>IF(Kalk!$B$4=2,'V Ist'!F18,0)</f>
        <v>0</v>
      </c>
      <c r="G27" s="308">
        <f>IF(Kalk!$B$4=2,'V Ist'!G18,0)</f>
        <v>0</v>
      </c>
      <c r="H27" s="308">
        <f>IF(Kalk!$B$4=2,'V Ist'!H18,0)</f>
        <v>0</v>
      </c>
      <c r="I27" s="308">
        <f>IF(Kalk!$B$4=2,'V Ist'!I18,0)</f>
        <v>0</v>
      </c>
      <c r="J27" s="307"/>
      <c r="K27" s="306" t="str">
        <f>IF(OR(Umse!$C$24=0,Umse!$B$11=0),"",IF(Kalk!$B$5=2,'V Ist'!K18,""))</f>
        <v/>
      </c>
      <c r="L27" s="306" t="str">
        <f>IF(OR(Umse!$C$24=0,Umse!$B$11=0),"",IF(Kalk!$B$5=2,'V Ist'!L18,""))</f>
        <v/>
      </c>
      <c r="M27" s="308">
        <f>IF(Kalk!$B$4=2,'V Ist'!M18,0)</f>
        <v>0</v>
      </c>
      <c r="N27" s="308">
        <f>IF(Kalk!$B$4=2,'V Ist'!N18,0)</f>
        <v>0</v>
      </c>
      <c r="O27" s="308">
        <f>IF(Kalk!$B$4=2,'V Ist'!O18,0)</f>
        <v>0</v>
      </c>
      <c r="P27" s="308">
        <f>IF(Kalk!$B$4=2,'V Ist'!P18,0)</f>
        <v>0</v>
      </c>
      <c r="Q27" s="308">
        <f>IF(Kalk!$B$4=2,'V Ist'!Q18,0)</f>
        <v>0</v>
      </c>
      <c r="R27" s="308">
        <f>IF(Kalk!$B$4=2,'V Ist'!R18,0)</f>
        <v>0</v>
      </c>
      <c r="T27" s="299"/>
      <c r="U27" s="299"/>
      <c r="V27" s="299"/>
    </row>
    <row r="28" spans="2:29" ht="11.25" customHeight="1">
      <c r="B28" s="306" t="str">
        <f t="shared" si="1"/>
        <v/>
      </c>
      <c r="C28" s="306" t="str">
        <f t="shared" si="2"/>
        <v/>
      </c>
      <c r="D28" s="308">
        <f>IF(Kalk!$B$4=2,'V Ist'!D19,0)</f>
        <v>0</v>
      </c>
      <c r="E28" s="308">
        <f>IF(Kalk!$B$4=2,'V Ist'!E19,0)</f>
        <v>0</v>
      </c>
      <c r="F28" s="308">
        <f>IF(Kalk!$B$4=2,'V Ist'!F19,0)</f>
        <v>0</v>
      </c>
      <c r="G28" s="308">
        <f>IF(Kalk!$B$4=2,'V Ist'!G19,0)</f>
        <v>0</v>
      </c>
      <c r="H28" s="308">
        <f>IF(Kalk!$B$4=2,'V Ist'!H19,0)</f>
        <v>0</v>
      </c>
      <c r="I28" s="308">
        <f>IF(Kalk!$B$4=2,'V Ist'!I19,0)</f>
        <v>0</v>
      </c>
      <c r="J28" s="307"/>
      <c r="K28" s="306" t="str">
        <f>IF(OR(Umse!$C$24=0,Umse!$B$11=0),"",IF(Kalk!$B$5=2,'V Ist'!K19,""))</f>
        <v/>
      </c>
      <c r="L28" s="306" t="str">
        <f>IF(OR(Umse!$C$24=0,Umse!$B$11=0),"",IF(Kalk!$B$5=2,'V Ist'!L19,""))</f>
        <v/>
      </c>
      <c r="M28" s="308">
        <f>IF(Kalk!$B$4=2,'V Ist'!M19,0)</f>
        <v>0</v>
      </c>
      <c r="N28" s="308">
        <f>IF(Kalk!$B$4=2,'V Ist'!N19,0)</f>
        <v>0</v>
      </c>
      <c r="O28" s="308">
        <f>IF(Kalk!$B$4=2,'V Ist'!O19,0)</f>
        <v>0</v>
      </c>
      <c r="P28" s="308">
        <f>IF(Kalk!$B$4=2,'V Ist'!P19,0)</f>
        <v>0</v>
      </c>
      <c r="Q28" s="308">
        <f>IF(Kalk!$B$4=2,'V Ist'!Q19,0)</f>
        <v>0</v>
      </c>
      <c r="R28" s="308">
        <f>IF(Kalk!$B$4=2,'V Ist'!R19,0)</f>
        <v>0</v>
      </c>
      <c r="T28" s="299"/>
      <c r="U28" s="299"/>
      <c r="V28" s="299"/>
    </row>
    <row r="29" spans="2:29" ht="11.25" customHeight="1">
      <c r="B29" s="306" t="str">
        <f t="shared" si="1"/>
        <v/>
      </c>
      <c r="C29" s="306" t="str">
        <f t="shared" si="2"/>
        <v/>
      </c>
      <c r="D29" s="308">
        <f>IF(Kalk!$B$4=2,'V Ist'!D20,0)</f>
        <v>0</v>
      </c>
      <c r="E29" s="308">
        <f>IF(Kalk!$B$4=2,'V Ist'!E20,0)</f>
        <v>0</v>
      </c>
      <c r="F29" s="308">
        <f>IF(Kalk!$B$4=2,'V Ist'!F20,0)</f>
        <v>0</v>
      </c>
      <c r="G29" s="308">
        <f>IF(Kalk!$B$4=2,'V Ist'!G20,0)</f>
        <v>0</v>
      </c>
      <c r="H29" s="308">
        <f>IF(Kalk!$B$4=2,'V Ist'!H20,0)</f>
        <v>0</v>
      </c>
      <c r="I29" s="308">
        <f>IF(Kalk!$B$4=2,'V Ist'!I20,0)</f>
        <v>0</v>
      </c>
      <c r="J29" s="307"/>
      <c r="K29" s="306" t="str">
        <f>IF(OR(Umse!$C$24=0,Umse!$B$11=0),"",IF(Kalk!$B$5=2,'V Ist'!K20,""))</f>
        <v/>
      </c>
      <c r="L29" s="306" t="str">
        <f>IF(OR(Umse!$C$24=0,Umse!$B$11=0),"",IF(Kalk!$B$5=2,'V Ist'!L20,""))</f>
        <v/>
      </c>
      <c r="M29" s="308">
        <f>IF(Kalk!$B$4=2,'V Ist'!M20,0)</f>
        <v>0</v>
      </c>
      <c r="N29" s="308">
        <f>IF(Kalk!$B$4=2,'V Ist'!N20,0)</f>
        <v>0</v>
      </c>
      <c r="O29" s="308">
        <f>IF(Kalk!$B$4=2,'V Ist'!O20,0)</f>
        <v>0</v>
      </c>
      <c r="P29" s="308">
        <f>IF(Kalk!$B$4=2,'V Ist'!P20,0)</f>
        <v>0</v>
      </c>
      <c r="Q29" s="308">
        <f>IF(Kalk!$B$4=2,'V Ist'!Q20,0)</f>
        <v>0</v>
      </c>
      <c r="R29" s="308">
        <f>IF(Kalk!$B$4=2,'V Ist'!R20,0)</f>
        <v>0</v>
      </c>
      <c r="S29" s="299"/>
      <c r="T29" s="299"/>
      <c r="U29" s="299"/>
      <c r="V29" s="299"/>
      <c r="W29" s="309"/>
      <c r="X29" s="299"/>
      <c r="Y29" s="299"/>
      <c r="Z29" s="299"/>
      <c r="AA29" s="299"/>
      <c r="AB29" s="299"/>
      <c r="AC29" s="299"/>
    </row>
    <row r="30" spans="2:29" ht="11.25" customHeight="1">
      <c r="B30" s="306" t="str">
        <f t="shared" si="1"/>
        <v/>
      </c>
      <c r="C30" s="306" t="str">
        <f t="shared" si="2"/>
        <v/>
      </c>
      <c r="D30" s="308">
        <f>IF(Kalk!$B$4=2,'V Ist'!D21,0)</f>
        <v>0</v>
      </c>
      <c r="E30" s="308">
        <f>IF(Kalk!$B$4=2,'V Ist'!E21,0)</f>
        <v>0</v>
      </c>
      <c r="F30" s="308">
        <f>IF(Kalk!$B$4=2,'V Ist'!F21,0)</f>
        <v>0</v>
      </c>
      <c r="G30" s="308">
        <f>IF(Kalk!$B$4=2,'V Ist'!G21,0)</f>
        <v>0</v>
      </c>
      <c r="H30" s="308">
        <f>IF(Kalk!$B$4=2,'V Ist'!H21,0)</f>
        <v>0</v>
      </c>
      <c r="I30" s="308">
        <f>IF(Kalk!$B$4=2,'V Ist'!I21,0)</f>
        <v>0</v>
      </c>
      <c r="J30" s="307"/>
      <c r="K30" s="306" t="str">
        <f>IF(OR(Umse!$C$24=0,Umse!$B$11=0),"",IF(Kalk!$B$5=2,'V Ist'!K21,""))</f>
        <v/>
      </c>
      <c r="L30" s="306" t="str">
        <f>IF(OR(Umse!$C$24=0,Umse!$B$11=0),"",IF(Kalk!$B$5=2,'V Ist'!L21,""))</f>
        <v/>
      </c>
      <c r="M30" s="308">
        <f>IF(Kalk!$B$4=2,'V Ist'!M21,0)</f>
        <v>0</v>
      </c>
      <c r="N30" s="308">
        <f>IF(Kalk!$B$4=2,'V Ist'!N21,0)</f>
        <v>0</v>
      </c>
      <c r="O30" s="308">
        <f>IF(Kalk!$B$4=2,'V Ist'!O21,0)</f>
        <v>0</v>
      </c>
      <c r="P30" s="308">
        <f>IF(Kalk!$B$4=2,'V Ist'!P21,0)</f>
        <v>0</v>
      </c>
      <c r="Q30" s="308">
        <f>IF(Kalk!$B$4=2,'V Ist'!Q21,0)</f>
        <v>0</v>
      </c>
      <c r="R30" s="308">
        <f>IF(Kalk!$B$4=2,'V Ist'!R21,0)</f>
        <v>0</v>
      </c>
      <c r="S30" s="299"/>
      <c r="T30" s="299"/>
      <c r="U30" s="299"/>
      <c r="V30" s="299"/>
      <c r="W30" s="309"/>
      <c r="X30" s="299"/>
      <c r="Y30" s="299"/>
      <c r="Z30" s="299"/>
      <c r="AA30" s="299"/>
      <c r="AB30" s="299"/>
      <c r="AC30" s="299"/>
    </row>
    <row r="31" spans="2:29" ht="11.25" customHeight="1">
      <c r="B31" s="306" t="str">
        <f t="shared" si="1"/>
        <v/>
      </c>
      <c r="C31" s="306" t="str">
        <f t="shared" si="2"/>
        <v/>
      </c>
      <c r="D31" s="308">
        <f>IF(Kalk!$B$4=2,'V Ist'!D22,0)</f>
        <v>0</v>
      </c>
      <c r="E31" s="308">
        <f>IF(Kalk!$B$4=2,'V Ist'!E22,0)</f>
        <v>0</v>
      </c>
      <c r="F31" s="308">
        <f>IF(Kalk!$B$4=2,'V Ist'!F22,0)</f>
        <v>0</v>
      </c>
      <c r="G31" s="308">
        <f>IF(Kalk!$B$4=2,'V Ist'!G22,0)</f>
        <v>0</v>
      </c>
      <c r="H31" s="308">
        <f>IF(Kalk!$B$4=2,'V Ist'!H22,0)</f>
        <v>0</v>
      </c>
      <c r="I31" s="308">
        <f>IF(Kalk!$B$4=2,'V Ist'!I22,0)</f>
        <v>0</v>
      </c>
      <c r="J31" s="307"/>
      <c r="K31" s="306" t="str">
        <f>IF(OR(Umse!$C$24=0,Umse!$B$11=0),"",IF(Kalk!$B$5=2,'V Ist'!K22,""))</f>
        <v/>
      </c>
      <c r="L31" s="306" t="str">
        <f>IF(OR(Umse!$C$24=0,Umse!$B$11=0),"",IF(Kalk!$B$5=2,'V Ist'!L22,""))</f>
        <v/>
      </c>
      <c r="M31" s="308">
        <f>IF(Kalk!$B$4=2,'V Ist'!M22,0)</f>
        <v>0</v>
      </c>
      <c r="N31" s="308">
        <f>IF(Kalk!$B$4=2,'V Ist'!N22,0)</f>
        <v>0</v>
      </c>
      <c r="O31" s="308">
        <f>IF(Kalk!$B$4=2,'V Ist'!O22,0)</f>
        <v>0</v>
      </c>
      <c r="P31" s="308">
        <f>IF(Kalk!$B$4=2,'V Ist'!P22,0)</f>
        <v>0</v>
      </c>
      <c r="Q31" s="308">
        <f>IF(Kalk!$B$4=2,'V Ist'!Q22,0)</f>
        <v>0</v>
      </c>
      <c r="R31" s="308">
        <f>IF(Kalk!$B$4=2,'V Ist'!R22,0)</f>
        <v>0</v>
      </c>
      <c r="S31" s="299"/>
      <c r="T31" s="299"/>
      <c r="U31" s="299"/>
      <c r="V31" s="299"/>
      <c r="W31" s="309"/>
      <c r="X31" s="299"/>
      <c r="Y31" s="299"/>
      <c r="Z31" s="299"/>
      <c r="AA31" s="299"/>
      <c r="AB31" s="299"/>
      <c r="AC31" s="299"/>
    </row>
    <row r="32" spans="2:29" ht="11.25" customHeight="1">
      <c r="B32" s="306" t="str">
        <f t="shared" si="1"/>
        <v/>
      </c>
      <c r="C32" s="306" t="str">
        <f t="shared" si="2"/>
        <v/>
      </c>
      <c r="D32" s="308">
        <f>IF(Kalk!$B$4=2,'V Ist'!D23,0)</f>
        <v>0</v>
      </c>
      <c r="E32" s="308">
        <f>IF(Kalk!$B$4=2,'V Ist'!E23,0)</f>
        <v>0</v>
      </c>
      <c r="F32" s="308">
        <f>IF(Kalk!$B$4=2,'V Ist'!F23,0)</f>
        <v>0</v>
      </c>
      <c r="G32" s="308">
        <f>IF(Kalk!$B$4=2,'V Ist'!G23,0)</f>
        <v>0</v>
      </c>
      <c r="H32" s="308">
        <f>IF(Kalk!$B$4=2,'V Ist'!H23,0)</f>
        <v>0</v>
      </c>
      <c r="I32" s="308">
        <f>IF(Kalk!$B$4=2,'V Ist'!I23,0)</f>
        <v>0</v>
      </c>
      <c r="J32" s="307"/>
      <c r="K32" s="306" t="str">
        <f>IF(OR(Umse!$C$24=0,Umse!$B$11=0),"",IF(Kalk!$B$5=2,'V Ist'!K23,""))</f>
        <v/>
      </c>
      <c r="L32" s="306" t="str">
        <f>IF(OR(Umse!$C$24=0,Umse!$B$11=0),"",IF(Kalk!$B$5=2,'V Ist'!L23,""))</f>
        <v/>
      </c>
      <c r="M32" s="308">
        <f>IF(Kalk!$B$4=2,'V Ist'!M23,0)</f>
        <v>0</v>
      </c>
      <c r="N32" s="308">
        <f>IF(Kalk!$B$4=2,'V Ist'!N23,0)</f>
        <v>0</v>
      </c>
      <c r="O32" s="308">
        <f>IF(Kalk!$B$4=2,'V Ist'!O23,0)</f>
        <v>0</v>
      </c>
      <c r="P32" s="308">
        <f>IF(Kalk!$B$4=2,'V Ist'!P23,0)</f>
        <v>0</v>
      </c>
      <c r="Q32" s="308">
        <f>IF(Kalk!$B$4=2,'V Ist'!Q23,0)</f>
        <v>0</v>
      </c>
      <c r="R32" s="308">
        <f>IF(Kalk!$B$4=2,'V Ist'!R23,0)</f>
        <v>0</v>
      </c>
      <c r="S32" s="299"/>
      <c r="T32" s="299"/>
      <c r="U32" s="299"/>
      <c r="V32" s="299"/>
      <c r="W32" s="309"/>
      <c r="X32" s="299"/>
      <c r="Y32" s="299"/>
      <c r="Z32" s="299"/>
      <c r="AA32" s="299"/>
      <c r="AB32" s="299"/>
      <c r="AC32" s="299"/>
    </row>
    <row r="33" spans="2:29" ht="11.25" customHeight="1">
      <c r="B33" s="306"/>
      <c r="C33" s="306"/>
      <c r="D33" s="308"/>
      <c r="E33" s="308"/>
      <c r="F33" s="308"/>
      <c r="G33" s="308"/>
      <c r="H33" s="308"/>
      <c r="I33" s="308"/>
      <c r="J33" s="307"/>
      <c r="K33" s="306"/>
      <c r="L33" s="306"/>
      <c r="M33" s="308"/>
      <c r="N33" s="308"/>
      <c r="O33" s="308"/>
      <c r="P33" s="308"/>
      <c r="Q33" s="308"/>
      <c r="R33" s="308"/>
      <c r="S33" s="299"/>
      <c r="T33" s="299"/>
      <c r="U33" s="299"/>
      <c r="V33" s="299"/>
      <c r="W33" s="309"/>
      <c r="X33" s="299"/>
      <c r="Y33" s="299"/>
      <c r="Z33" s="299"/>
      <c r="AA33" s="299"/>
      <c r="AB33" s="299"/>
      <c r="AC33" s="299"/>
    </row>
    <row r="34" spans="2:29" ht="3.75" customHeight="1">
      <c r="S34" s="299"/>
      <c r="T34" s="299"/>
      <c r="U34" s="299"/>
      <c r="V34" s="299"/>
      <c r="W34" s="309"/>
      <c r="X34" s="299"/>
      <c r="Y34" s="299"/>
      <c r="Z34" s="299"/>
      <c r="AA34" s="299"/>
      <c r="AB34" s="299"/>
      <c r="AC34" s="299"/>
    </row>
    <row r="35" spans="2:29" ht="12.75" customHeight="1">
      <c r="B35" s="669" t="str">
        <f>K10</f>
        <v/>
      </c>
      <c r="C35" s="670"/>
      <c r="D35" s="670"/>
      <c r="E35" s="673" t="str">
        <f>IF(OR(Umse!B11="2.2.",Umse!B11="2.3.",Umse!B11="2.4.",Umse!B11="2.5."),"Zeitzuschläge",IF(OR(Umse!B11="2.1.",Umse!B11="2.6.",Umse!B11="2.7.",Umse!B11="2.8.",Umse!B11="2.9.",Umse!B11="2.10.",Umse!B11="2.11.",Umse!B11="2.12.",Umse!B11="2.13.",Umse!B11="2.14.",Umse!B11="2.15."),"Zeitzuschläge",""))</f>
        <v/>
      </c>
      <c r="F35" s="673"/>
      <c r="G35" s="673"/>
      <c r="H35" s="661" t="str">
        <f>IF(OR(Umse!$B$11="2.10.",Umse!$B$11="2.11.",Umse!$B$11="2.12."),Umse!B62,H10)</f>
        <v/>
      </c>
      <c r="I35" s="662"/>
      <c r="J35" s="307"/>
      <c r="K35" s="310"/>
      <c r="L35" s="311"/>
      <c r="M35" s="312"/>
      <c r="N35" s="312"/>
      <c r="O35" s="312"/>
      <c r="P35" s="312"/>
      <c r="Q35" s="312"/>
      <c r="R35" s="313"/>
      <c r="S35" s="299"/>
      <c r="T35" s="299"/>
      <c r="U35" s="299"/>
      <c r="V35" s="299"/>
      <c r="W35" s="309"/>
      <c r="X35" s="299"/>
      <c r="Y35" s="299"/>
      <c r="Z35" s="299"/>
      <c r="AA35" s="299"/>
      <c r="AB35" s="299"/>
      <c r="AC35" s="299"/>
    </row>
    <row r="36" spans="2:29" ht="12.75" customHeight="1">
      <c r="B36" s="674" t="str">
        <f>IF(OR(Umse!$C$24=0,Umse!$B$11=0),"",IF(Kalk!$B$5=2,'V Ist'!B26,""))</f>
        <v/>
      </c>
      <c r="C36" s="675"/>
      <c r="D36" s="671" t="str">
        <f>IF(OR(Umse!$C$24=0,Umse!$B$11=0),"",IF(Kalk!$B$5=2,'V Ist'!D26,""))</f>
        <v/>
      </c>
      <c r="E36" s="671" t="str">
        <f>IF(OR(Umse!$C$24=0,Umse!$B$11=0),"",IF(Kalk!$B$5=2,'V Ist'!E26,""))</f>
        <v/>
      </c>
      <c r="F36" s="671" t="str">
        <f>IF(OR(Umse!$C$24=0,Umse!$B$11=0),"",IF(Kalk!$B$5=2,'V Ist'!F26,""))</f>
        <v/>
      </c>
      <c r="G36" s="671" t="str">
        <f>IF(OR(Umse!$C$24=0,Umse!$B$11=0),"",IF(Kalk!$B$5=2,'V Ist'!G26,""))</f>
        <v/>
      </c>
      <c r="H36" s="671" t="str">
        <f>IF(OR(Umse!$C$24=0,Umse!$B$11=0),"",IF(Kalk!$B$5=2,'V Ist'!H26,""))</f>
        <v/>
      </c>
      <c r="I36" s="671" t="str">
        <f>IF(OR(Umse!$C$24=0,Umse!$B$11=0),"",IF(Kalk!$B$5=2,'V Ist'!I26,""))</f>
        <v/>
      </c>
      <c r="J36" s="307"/>
      <c r="K36" s="668"/>
      <c r="L36" s="668"/>
      <c r="M36" s="668"/>
      <c r="N36" s="668"/>
      <c r="O36" s="668"/>
      <c r="P36" s="668"/>
      <c r="Q36" s="668"/>
      <c r="R36" s="668"/>
      <c r="S36" s="299"/>
      <c r="T36" s="299"/>
      <c r="U36" s="299"/>
      <c r="V36" s="299"/>
      <c r="W36" s="309"/>
      <c r="X36" s="299"/>
      <c r="Y36" s="299"/>
      <c r="Z36" s="299"/>
      <c r="AA36" s="299"/>
      <c r="AB36" s="299"/>
      <c r="AC36" s="299"/>
    </row>
    <row r="37" spans="2:29" ht="12.75" customHeight="1">
      <c r="B37" s="672"/>
      <c r="C37" s="676"/>
      <c r="D37" s="672"/>
      <c r="E37" s="672"/>
      <c r="F37" s="672"/>
      <c r="G37" s="672"/>
      <c r="H37" s="672"/>
      <c r="I37" s="672"/>
      <c r="J37" s="307"/>
      <c r="K37" s="668"/>
      <c r="L37" s="668"/>
      <c r="M37" s="668"/>
      <c r="N37" s="668"/>
      <c r="O37" s="668"/>
      <c r="P37" s="668"/>
      <c r="Q37" s="668"/>
      <c r="R37" s="668"/>
      <c r="S37" s="299"/>
      <c r="T37" s="299"/>
      <c r="U37" s="299"/>
      <c r="V37" s="299"/>
      <c r="W37" s="309"/>
      <c r="X37" s="299"/>
      <c r="Y37" s="299"/>
      <c r="Z37" s="299"/>
      <c r="AA37" s="299"/>
      <c r="AB37" s="299"/>
      <c r="AC37" s="299"/>
    </row>
    <row r="38" spans="2:29" ht="12.75" customHeight="1">
      <c r="B38" s="672"/>
      <c r="C38" s="676"/>
      <c r="D38" s="672"/>
      <c r="E38" s="672"/>
      <c r="F38" s="672"/>
      <c r="G38" s="672"/>
      <c r="H38" s="672"/>
      <c r="I38" s="672"/>
      <c r="J38" s="307"/>
      <c r="K38" s="668"/>
      <c r="L38" s="668"/>
      <c r="M38" s="668"/>
      <c r="N38" s="668"/>
      <c r="O38" s="668"/>
      <c r="P38" s="668"/>
      <c r="Q38" s="668"/>
      <c r="R38" s="668"/>
      <c r="S38" s="299"/>
      <c r="T38" s="299"/>
      <c r="U38" s="299"/>
      <c r="V38" s="299"/>
      <c r="W38" s="309"/>
      <c r="X38" s="299"/>
      <c r="Y38" s="299"/>
      <c r="Z38" s="299"/>
      <c r="AA38" s="299"/>
      <c r="AB38" s="299"/>
      <c r="AC38" s="299"/>
    </row>
    <row r="39" spans="2:29" ht="12.75" customHeight="1">
      <c r="B39" s="672"/>
      <c r="C39" s="676"/>
      <c r="D39" s="672"/>
      <c r="E39" s="672"/>
      <c r="F39" s="672"/>
      <c r="G39" s="672"/>
      <c r="H39" s="672"/>
      <c r="I39" s="672"/>
      <c r="J39" s="307"/>
      <c r="K39" s="668"/>
      <c r="L39" s="668"/>
      <c r="M39" s="668"/>
      <c r="N39" s="668"/>
      <c r="O39" s="668"/>
      <c r="P39" s="668"/>
      <c r="Q39" s="668"/>
      <c r="R39" s="668"/>
      <c r="S39" s="299"/>
      <c r="T39" s="299"/>
      <c r="U39" s="299"/>
      <c r="V39" s="299"/>
      <c r="W39" s="299"/>
      <c r="X39" s="299"/>
      <c r="Y39" s="299"/>
      <c r="Z39" s="299"/>
      <c r="AA39" s="299"/>
      <c r="AB39" s="299"/>
      <c r="AC39" s="299"/>
    </row>
    <row r="40" spans="2:29" ht="12.75" customHeight="1">
      <c r="B40" s="672"/>
      <c r="C40" s="676"/>
      <c r="D40" s="672"/>
      <c r="E40" s="672"/>
      <c r="F40" s="672"/>
      <c r="G40" s="672"/>
      <c r="H40" s="672"/>
      <c r="I40" s="672"/>
      <c r="J40" s="307"/>
      <c r="K40" s="668"/>
      <c r="L40" s="668"/>
      <c r="M40" s="668"/>
      <c r="N40" s="668"/>
      <c r="O40" s="668"/>
      <c r="P40" s="668"/>
      <c r="Q40" s="668"/>
      <c r="R40" s="668"/>
      <c r="S40" s="299"/>
      <c r="T40" s="299"/>
      <c r="U40" s="299"/>
      <c r="V40" s="299"/>
      <c r="W40" s="299"/>
      <c r="X40" s="299"/>
      <c r="Y40" s="299"/>
      <c r="Z40" s="299"/>
      <c r="AA40" s="299"/>
      <c r="AB40" s="299"/>
      <c r="AC40" s="299"/>
    </row>
    <row r="41" spans="2:29" ht="12.75" customHeight="1">
      <c r="B41" s="672"/>
      <c r="C41" s="676"/>
      <c r="D41" s="672"/>
      <c r="E41" s="672"/>
      <c r="F41" s="672"/>
      <c r="G41" s="672"/>
      <c r="H41" s="672"/>
      <c r="I41" s="672"/>
      <c r="J41" s="307"/>
      <c r="K41" s="668"/>
      <c r="L41" s="668"/>
      <c r="M41" s="668"/>
      <c r="N41" s="668"/>
      <c r="O41" s="668"/>
      <c r="P41" s="668"/>
      <c r="Q41" s="668"/>
      <c r="R41" s="668"/>
      <c r="S41" s="299"/>
      <c r="W41" s="299"/>
      <c r="X41" s="299"/>
      <c r="Y41" s="299"/>
      <c r="Z41" s="299"/>
      <c r="AA41" s="299"/>
      <c r="AB41" s="299"/>
      <c r="AC41" s="299"/>
    </row>
    <row r="42" spans="2:29" ht="12.75" customHeight="1">
      <c r="B42" s="672"/>
      <c r="C42" s="676"/>
      <c r="D42" s="672"/>
      <c r="E42" s="672"/>
      <c r="F42" s="672"/>
      <c r="G42" s="672"/>
      <c r="H42" s="672"/>
      <c r="I42" s="672"/>
      <c r="J42" s="307"/>
      <c r="K42" s="668"/>
      <c r="L42" s="668"/>
      <c r="M42" s="668"/>
      <c r="N42" s="668"/>
      <c r="O42" s="668"/>
      <c r="P42" s="668"/>
      <c r="Q42" s="668"/>
      <c r="R42" s="668"/>
      <c r="S42" s="299"/>
      <c r="W42" s="299"/>
      <c r="X42" s="299"/>
      <c r="Y42" s="299"/>
      <c r="Z42" s="299"/>
      <c r="AA42" s="299"/>
      <c r="AB42" s="299"/>
      <c r="AC42" s="299"/>
    </row>
    <row r="43" spans="2:29" ht="12.75" customHeight="1">
      <c r="B43" s="672"/>
      <c r="C43" s="676"/>
      <c r="D43" s="672"/>
      <c r="E43" s="672"/>
      <c r="F43" s="672"/>
      <c r="G43" s="672"/>
      <c r="H43" s="672"/>
      <c r="I43" s="672"/>
      <c r="J43" s="307"/>
      <c r="K43" s="299"/>
      <c r="L43" s="299"/>
      <c r="M43" s="299"/>
      <c r="N43" s="299"/>
      <c r="O43" s="299"/>
      <c r="P43" s="299"/>
      <c r="Q43" s="299"/>
      <c r="R43" s="299"/>
      <c r="S43" s="299"/>
      <c r="W43" s="299"/>
      <c r="X43" s="299"/>
      <c r="Y43" s="299"/>
      <c r="Z43" s="299"/>
      <c r="AA43" s="299"/>
      <c r="AB43" s="299"/>
      <c r="AC43" s="299"/>
    </row>
    <row r="44" spans="2:29" ht="11.25" customHeight="1">
      <c r="B44" s="672"/>
      <c r="C44" s="676"/>
      <c r="D44" s="672"/>
      <c r="E44" s="672"/>
      <c r="F44" s="672"/>
      <c r="G44" s="672"/>
      <c r="H44" s="672"/>
      <c r="I44" s="672"/>
      <c r="J44" s="307"/>
    </row>
    <row r="45" spans="2:29" ht="12.75" customHeight="1">
      <c r="B45" s="672"/>
      <c r="C45" s="676"/>
      <c r="D45" s="672"/>
      <c r="E45" s="672"/>
      <c r="F45" s="672"/>
      <c r="G45" s="672"/>
      <c r="H45" s="672"/>
      <c r="I45" s="672"/>
      <c r="J45" s="307"/>
      <c r="K45" s="669" t="str">
        <f t="shared" ref="K45:K67" si="3">K10</f>
        <v/>
      </c>
      <c r="L45" s="670"/>
      <c r="M45" s="670"/>
      <c r="N45" s="673" t="str">
        <f>IF(OR(Umse!B11="2.2.",Umse!B11="2.3.",Umse!B11="2.4.",Umse!B11="2.5."),"Überstundenentgelt",IF(OR(Umse!B11="2.1.",Umse!B11="2.6.",Umse!B11="2.7.",Umse!B11="2.8.",Umse!B11="2.9.",Umse!B11="2.10.",Umse!B11="2.11.",Umse!B11="2.12.",Umse!B11="2.13.",Umse!B11="2.14.",Umse!B11="2.15."),"Überstundenentgelt",""))</f>
        <v/>
      </c>
      <c r="O45" s="673"/>
      <c r="P45" s="673"/>
      <c r="Q45" s="661" t="str">
        <f>H35</f>
        <v/>
      </c>
      <c r="R45" s="662"/>
    </row>
    <row r="46" spans="2:29" ht="22.5" customHeight="1">
      <c r="B46" s="302" t="str">
        <f>IF(OR(Umse!$C$24=0,Umse!$B$11=0),"",IF(Kalk!$B$5=2,'V Ist'!B36,""))</f>
        <v/>
      </c>
      <c r="C46" s="306"/>
      <c r="D46" s="314" t="str">
        <f>IF(OR(Umse!$C$24=0,Umse!$B$11=0),"",IF(Kalk!$B$5=2,'V Ist'!D36,""))</f>
        <v/>
      </c>
      <c r="E46" s="314" t="str">
        <f>IF(OR(Umse!$C$24=0,Umse!$B$11=0),"",IF(Kalk!$B$5=2,'V Ist'!E36,""))</f>
        <v/>
      </c>
      <c r="F46" s="315" t="str">
        <f>IF(OR(Umse!$C$24=0,Umse!$B$11=0),"",IF(Kalk!$B$5=2,'V Ist'!F36,""))</f>
        <v/>
      </c>
      <c r="G46" s="315" t="str">
        <f>IF(OR(Umse!$C$24=0,Umse!$B$11=0),"",IF(Kalk!$B$5=2,'V Ist'!G36,""))</f>
        <v/>
      </c>
      <c r="H46" s="315" t="str">
        <f>IF(OR(Umse!$C$24=0,Umse!$B$11=0),"",IF(Kalk!$B$5=2,'V Ist'!H36,""))</f>
        <v/>
      </c>
      <c r="I46" s="315" t="str">
        <f>IF(OR(Umse!$C$24=0,Umse!$B$11=0),"",IF(Kalk!$B$5=2,'V Ist'!I36,""))</f>
        <v/>
      </c>
      <c r="J46" s="307"/>
      <c r="K46" s="302" t="str">
        <f t="shared" si="3"/>
        <v/>
      </c>
      <c r="L46" s="306"/>
      <c r="M46" s="306" t="str">
        <f t="shared" ref="M46:R46" si="4">M11</f>
        <v/>
      </c>
      <c r="N46" s="306" t="str">
        <f t="shared" si="4"/>
        <v/>
      </c>
      <c r="O46" s="306" t="str">
        <f t="shared" si="4"/>
        <v/>
      </c>
      <c r="P46" s="306" t="str">
        <f t="shared" si="4"/>
        <v/>
      </c>
      <c r="Q46" s="306" t="str">
        <f t="shared" si="4"/>
        <v/>
      </c>
      <c r="R46" s="306" t="str">
        <f t="shared" si="4"/>
        <v/>
      </c>
      <c r="S46" s="307"/>
    </row>
    <row r="47" spans="2:29" ht="11.25" customHeight="1">
      <c r="B47" s="306" t="str">
        <f t="shared" ref="B47:B67" si="5">K12</f>
        <v/>
      </c>
      <c r="C47" s="306" t="str">
        <f t="shared" ref="C47:C67" si="6">L12</f>
        <v/>
      </c>
      <c r="D47" s="308">
        <f>IF(Kalk!$B$4=2,'V Ist'!D37,0)</f>
        <v>0</v>
      </c>
      <c r="E47" s="308">
        <f>IF(Kalk!$B$4=2,'V Ist'!E37,0)</f>
        <v>0</v>
      </c>
      <c r="F47" s="308">
        <f>IF(Kalk!$B$4=2,'V Ist'!F37,0)</f>
        <v>0</v>
      </c>
      <c r="G47" s="308">
        <f>IF(Kalk!$B$4=2,'V Ist'!G37,0)</f>
        <v>0</v>
      </c>
      <c r="H47" s="308">
        <f>IF(Kalk!$B$4=2,'V Ist'!H37,0)</f>
        <v>0</v>
      </c>
      <c r="I47" s="308">
        <f>IF(Kalk!$B$4=2,'V Ist'!I37,0)</f>
        <v>0</v>
      </c>
      <c r="J47" s="307"/>
      <c r="K47" s="306" t="str">
        <f t="shared" si="3"/>
        <v/>
      </c>
      <c r="L47" s="306" t="str">
        <f t="shared" ref="L47:L67" si="7">L12</f>
        <v/>
      </c>
      <c r="M47" s="308">
        <f>IF(Kalk!$B$4=2,'V Ist'!M37,0)</f>
        <v>0</v>
      </c>
      <c r="N47" s="308">
        <f>IF(Kalk!$B$4=2,'V Ist'!N37,0)</f>
        <v>0</v>
      </c>
      <c r="O47" s="308">
        <f>IF(Kalk!$B$4=2,'V Ist'!O37,0)</f>
        <v>0</v>
      </c>
      <c r="P47" s="308">
        <f>IF(Kalk!$B$4=2,'V Ist'!P37,0)</f>
        <v>0</v>
      </c>
      <c r="Q47" s="308">
        <f>IF(Kalk!$B$4=2,'V Ist'!Q37,0)</f>
        <v>0</v>
      </c>
      <c r="R47" s="308">
        <f>IF(Kalk!$B$4=2,'V Ist'!R37,0)</f>
        <v>0</v>
      </c>
    </row>
    <row r="48" spans="2:29" ht="11.25" customHeight="1">
      <c r="B48" s="306" t="str">
        <f t="shared" si="5"/>
        <v/>
      </c>
      <c r="C48" s="306" t="str">
        <f t="shared" si="6"/>
        <v/>
      </c>
      <c r="D48" s="308">
        <f>IF(Kalk!$B$4=2,'V Ist'!D38,0)</f>
        <v>0</v>
      </c>
      <c r="E48" s="308">
        <f>IF(Kalk!$B$4=2,'V Ist'!E38,0)</f>
        <v>0</v>
      </c>
      <c r="F48" s="308">
        <f>IF(Kalk!$B$4=2,'V Ist'!F38,0)</f>
        <v>0</v>
      </c>
      <c r="G48" s="308">
        <f>IF(Kalk!$B$4=2,'V Ist'!G38,0)</f>
        <v>0</v>
      </c>
      <c r="H48" s="308">
        <f>IF(Kalk!$B$4=2,'V Ist'!H38,0)</f>
        <v>0</v>
      </c>
      <c r="I48" s="308">
        <f>IF(Kalk!$B$4=2,'V Ist'!I38,0)</f>
        <v>0</v>
      </c>
      <c r="J48" s="307"/>
      <c r="K48" s="306" t="str">
        <f t="shared" si="3"/>
        <v/>
      </c>
      <c r="L48" s="306" t="str">
        <f t="shared" si="7"/>
        <v/>
      </c>
      <c r="M48" s="308">
        <f>IF(Kalk!$B$4=2,'V Ist'!M38,0)</f>
        <v>0</v>
      </c>
      <c r="N48" s="308">
        <f>IF(Kalk!$B$4=2,'V Ist'!N38,0)</f>
        <v>0</v>
      </c>
      <c r="O48" s="308">
        <f>IF(Kalk!$B$4=2,'V Ist'!O38,0)</f>
        <v>0</v>
      </c>
      <c r="P48" s="308">
        <f>IF(Kalk!$B$4=2,'V Ist'!P38,0)</f>
        <v>0</v>
      </c>
      <c r="Q48" s="308">
        <f>IF(Kalk!$B$4=2,'V Ist'!Q38,0)</f>
        <v>0</v>
      </c>
      <c r="R48" s="308">
        <f>IF(Kalk!$B$4=2,'V Ist'!R38,0)</f>
        <v>0</v>
      </c>
    </row>
    <row r="49" spans="2:18" ht="11.25" customHeight="1">
      <c r="B49" s="306" t="str">
        <f t="shared" si="5"/>
        <v/>
      </c>
      <c r="C49" s="306" t="str">
        <f t="shared" si="6"/>
        <v/>
      </c>
      <c r="D49" s="308">
        <f>IF(Kalk!$B$4=2,'V Ist'!D39,0)</f>
        <v>0</v>
      </c>
      <c r="E49" s="308">
        <f>IF(Kalk!$B$4=2,'V Ist'!E39,0)</f>
        <v>0</v>
      </c>
      <c r="F49" s="308">
        <f>IF(Kalk!$B$4=2,'V Ist'!F39,0)</f>
        <v>0</v>
      </c>
      <c r="G49" s="308">
        <f>IF(Kalk!$B$4=2,'V Ist'!G39,0)</f>
        <v>0</v>
      </c>
      <c r="H49" s="308">
        <f>IF(Kalk!$B$4=2,'V Ist'!H39,0)</f>
        <v>0</v>
      </c>
      <c r="I49" s="308">
        <f>IF(Kalk!$B$4=2,'V Ist'!I39,0)</f>
        <v>0</v>
      </c>
      <c r="J49" s="307"/>
      <c r="K49" s="306" t="str">
        <f t="shared" si="3"/>
        <v/>
      </c>
      <c r="L49" s="306" t="str">
        <f t="shared" si="7"/>
        <v/>
      </c>
      <c r="M49" s="308">
        <f>IF(Kalk!$B$4=2,'V Ist'!M39,0)</f>
        <v>0</v>
      </c>
      <c r="N49" s="308">
        <f>IF(Kalk!$B$4=2,'V Ist'!N39,0)</f>
        <v>0</v>
      </c>
      <c r="O49" s="308">
        <f>IF(Kalk!$B$4=2,'V Ist'!O39,0)</f>
        <v>0</v>
      </c>
      <c r="P49" s="308">
        <f>IF(Kalk!$B$4=2,'V Ist'!P39,0)</f>
        <v>0</v>
      </c>
      <c r="Q49" s="308">
        <f>IF(Kalk!$B$4=2,'V Ist'!Q39,0)</f>
        <v>0</v>
      </c>
      <c r="R49" s="308">
        <f>IF(Kalk!$B$4=2,'V Ist'!R39,0)</f>
        <v>0</v>
      </c>
    </row>
    <row r="50" spans="2:18" ht="11.25" customHeight="1">
      <c r="B50" s="306" t="str">
        <f t="shared" si="5"/>
        <v/>
      </c>
      <c r="C50" s="306" t="str">
        <f t="shared" si="6"/>
        <v/>
      </c>
      <c r="D50" s="308">
        <f>IF(Kalk!$B$4=2,'V Ist'!D40,0)</f>
        <v>0</v>
      </c>
      <c r="E50" s="308">
        <f>IF(Kalk!$B$4=2,'V Ist'!E40,0)</f>
        <v>0</v>
      </c>
      <c r="F50" s="308">
        <f>IF(Kalk!$B$4=2,'V Ist'!F40,0)</f>
        <v>0</v>
      </c>
      <c r="G50" s="308">
        <f>IF(Kalk!$B$4=2,'V Ist'!G40,0)</f>
        <v>0</v>
      </c>
      <c r="H50" s="308">
        <f>IF(Kalk!$B$4=2,'V Ist'!H40,0)</f>
        <v>0</v>
      </c>
      <c r="I50" s="308">
        <f>IF(Kalk!$B$4=2,'V Ist'!I40,0)</f>
        <v>0</v>
      </c>
      <c r="J50" s="307"/>
      <c r="K50" s="306" t="str">
        <f t="shared" si="3"/>
        <v/>
      </c>
      <c r="L50" s="306" t="str">
        <f t="shared" si="7"/>
        <v/>
      </c>
      <c r="M50" s="308">
        <f>IF(Kalk!$B$4=2,'V Ist'!M40,0)</f>
        <v>0</v>
      </c>
      <c r="N50" s="308">
        <f>IF(Kalk!$B$4=2,'V Ist'!N40,0)</f>
        <v>0</v>
      </c>
      <c r="O50" s="308">
        <f>IF(Kalk!$B$4=2,'V Ist'!O40,0)</f>
        <v>0</v>
      </c>
      <c r="P50" s="308">
        <f>IF(Kalk!$B$4=2,'V Ist'!P40,0)</f>
        <v>0</v>
      </c>
      <c r="Q50" s="308">
        <f>IF(Kalk!$B$4=2,'V Ist'!Q40,0)</f>
        <v>0</v>
      </c>
      <c r="R50" s="308">
        <f>IF(Kalk!$B$4=2,'V Ist'!R40,0)</f>
        <v>0</v>
      </c>
    </row>
    <row r="51" spans="2:18" ht="11.25" customHeight="1">
      <c r="B51" s="306" t="str">
        <f t="shared" si="5"/>
        <v/>
      </c>
      <c r="C51" s="306" t="str">
        <f t="shared" si="6"/>
        <v/>
      </c>
      <c r="D51" s="308">
        <f>IF(Kalk!$B$4=2,'V Ist'!D41,0)</f>
        <v>0</v>
      </c>
      <c r="E51" s="308">
        <f>IF(Kalk!$B$4=2,'V Ist'!E41,0)</f>
        <v>0</v>
      </c>
      <c r="F51" s="308">
        <f>IF(Kalk!$B$4=2,'V Ist'!F41,0)</f>
        <v>0</v>
      </c>
      <c r="G51" s="308">
        <f>IF(Kalk!$B$4=2,'V Ist'!G41,0)</f>
        <v>0</v>
      </c>
      <c r="H51" s="308">
        <f>IF(Kalk!$B$4=2,'V Ist'!H41,0)</f>
        <v>0</v>
      </c>
      <c r="I51" s="308">
        <f>IF(Kalk!$B$4=2,'V Ist'!I41,0)</f>
        <v>0</v>
      </c>
      <c r="J51" s="307"/>
      <c r="K51" s="306" t="str">
        <f t="shared" si="3"/>
        <v/>
      </c>
      <c r="L51" s="306" t="str">
        <f t="shared" si="7"/>
        <v/>
      </c>
      <c r="M51" s="308">
        <f>IF(Kalk!$B$4=2,'V Ist'!M41,0)</f>
        <v>0</v>
      </c>
      <c r="N51" s="308">
        <f>IF(Kalk!$B$4=2,'V Ist'!N41,0)</f>
        <v>0</v>
      </c>
      <c r="O51" s="308">
        <f>IF(Kalk!$B$4=2,'V Ist'!O41,0)</f>
        <v>0</v>
      </c>
      <c r="P51" s="308">
        <f>IF(Kalk!$B$4=2,'V Ist'!P41,0)</f>
        <v>0</v>
      </c>
      <c r="Q51" s="308">
        <f>IF(Kalk!$B$4=2,'V Ist'!Q41,0)</f>
        <v>0</v>
      </c>
      <c r="R51" s="308">
        <f>IF(Kalk!$B$4=2,'V Ist'!R41,0)</f>
        <v>0</v>
      </c>
    </row>
    <row r="52" spans="2:18" ht="11.25" customHeight="1">
      <c r="B52" s="306" t="str">
        <f t="shared" si="5"/>
        <v/>
      </c>
      <c r="C52" s="306" t="str">
        <f t="shared" si="6"/>
        <v/>
      </c>
      <c r="D52" s="308">
        <f>IF(Kalk!$B$4=2,'V Ist'!D42,0)</f>
        <v>0</v>
      </c>
      <c r="E52" s="308">
        <f>IF(Kalk!$B$4=2,'V Ist'!E42,0)</f>
        <v>0</v>
      </c>
      <c r="F52" s="308">
        <f>IF(Kalk!$B$4=2,'V Ist'!F42,0)</f>
        <v>0</v>
      </c>
      <c r="G52" s="308">
        <f>IF(Kalk!$B$4=2,'V Ist'!G42,0)</f>
        <v>0</v>
      </c>
      <c r="H52" s="308">
        <f>IF(Kalk!$B$4=2,'V Ist'!H42,0)</f>
        <v>0</v>
      </c>
      <c r="I52" s="308">
        <f>IF(Kalk!$B$4=2,'V Ist'!I42,0)</f>
        <v>0</v>
      </c>
      <c r="J52" s="307"/>
      <c r="K52" s="306" t="str">
        <f t="shared" si="3"/>
        <v/>
      </c>
      <c r="L52" s="306" t="str">
        <f t="shared" si="7"/>
        <v/>
      </c>
      <c r="M52" s="308">
        <f>IF(Kalk!$B$4=2,'V Ist'!M42,0)</f>
        <v>0</v>
      </c>
      <c r="N52" s="308">
        <f>IF(Kalk!$B$4=2,'V Ist'!N42,0)</f>
        <v>0</v>
      </c>
      <c r="O52" s="308">
        <f>IF(Kalk!$B$4=2,'V Ist'!O42,0)</f>
        <v>0</v>
      </c>
      <c r="P52" s="308">
        <f>IF(Kalk!$B$4=2,'V Ist'!P42,0)</f>
        <v>0</v>
      </c>
      <c r="Q52" s="308">
        <f>IF(Kalk!$B$4=2,'V Ist'!Q42,0)</f>
        <v>0</v>
      </c>
      <c r="R52" s="308">
        <f>IF(Kalk!$B$4=2,'V Ist'!R42,0)</f>
        <v>0</v>
      </c>
    </row>
    <row r="53" spans="2:18" ht="11.25" customHeight="1">
      <c r="B53" s="306" t="str">
        <f t="shared" si="5"/>
        <v/>
      </c>
      <c r="C53" s="306" t="str">
        <f t="shared" si="6"/>
        <v/>
      </c>
      <c r="D53" s="308">
        <f>IF(Kalk!$B$4=2,'V Ist'!D43,0)</f>
        <v>0</v>
      </c>
      <c r="E53" s="308">
        <f>IF(Kalk!$B$4=2,'V Ist'!E43,0)</f>
        <v>0</v>
      </c>
      <c r="F53" s="308">
        <f>IF(Kalk!$B$4=2,'V Ist'!F43,0)</f>
        <v>0</v>
      </c>
      <c r="G53" s="308">
        <f>IF(Kalk!$B$4=2,'V Ist'!G43,0)</f>
        <v>0</v>
      </c>
      <c r="H53" s="308">
        <f>IF(Kalk!$B$4=2,'V Ist'!H43,0)</f>
        <v>0</v>
      </c>
      <c r="I53" s="308">
        <f>IF(Kalk!$B$4=2,'V Ist'!I43,0)</f>
        <v>0</v>
      </c>
      <c r="J53" s="307"/>
      <c r="K53" s="306" t="str">
        <f t="shared" si="3"/>
        <v/>
      </c>
      <c r="L53" s="306" t="str">
        <f t="shared" si="7"/>
        <v/>
      </c>
      <c r="M53" s="308">
        <f>IF(Kalk!$B$4=2,'V Ist'!M43,0)</f>
        <v>0</v>
      </c>
      <c r="N53" s="308">
        <f>IF(Kalk!$B$4=2,'V Ist'!N43,0)</f>
        <v>0</v>
      </c>
      <c r="O53" s="308">
        <f>IF(Kalk!$B$4=2,'V Ist'!O43,0)</f>
        <v>0</v>
      </c>
      <c r="P53" s="308">
        <f>IF(Kalk!$B$4=2,'V Ist'!P43,0)</f>
        <v>0</v>
      </c>
      <c r="Q53" s="308">
        <f>IF(Kalk!$B$4=2,'V Ist'!Q43,0)</f>
        <v>0</v>
      </c>
      <c r="R53" s="308">
        <f>IF(Kalk!$B$4=2,'V Ist'!R43,0)</f>
        <v>0</v>
      </c>
    </row>
    <row r="54" spans="2:18" ht="11.25" customHeight="1">
      <c r="B54" s="306" t="str">
        <f t="shared" si="5"/>
        <v/>
      </c>
      <c r="C54" s="306" t="str">
        <f t="shared" si="6"/>
        <v/>
      </c>
      <c r="D54" s="308">
        <f>IF(Kalk!$B$4=2,'V Ist'!D44,0)</f>
        <v>0</v>
      </c>
      <c r="E54" s="308">
        <f>IF(Kalk!$B$4=2,'V Ist'!E44,0)</f>
        <v>0</v>
      </c>
      <c r="F54" s="308">
        <f>IF(Kalk!$B$4=2,'V Ist'!F44,0)</f>
        <v>0</v>
      </c>
      <c r="G54" s="308">
        <f>IF(Kalk!$B$4=2,'V Ist'!G44,0)</f>
        <v>0</v>
      </c>
      <c r="H54" s="308">
        <f>IF(Kalk!$B$4=2,'V Ist'!H44,0)</f>
        <v>0</v>
      </c>
      <c r="I54" s="308">
        <f>IF(Kalk!$B$4=2,'V Ist'!I44,0)</f>
        <v>0</v>
      </c>
      <c r="J54" s="307"/>
      <c r="K54" s="306" t="str">
        <f t="shared" si="3"/>
        <v/>
      </c>
      <c r="L54" s="306" t="str">
        <f t="shared" si="7"/>
        <v/>
      </c>
      <c r="M54" s="308">
        <f>IF(Kalk!$B$4=2,'V Ist'!M44,0)</f>
        <v>0</v>
      </c>
      <c r="N54" s="308">
        <f>IF(Kalk!$B$4=2,'V Ist'!N44,0)</f>
        <v>0</v>
      </c>
      <c r="O54" s="308">
        <f>IF(Kalk!$B$4=2,'V Ist'!O44,0)</f>
        <v>0</v>
      </c>
      <c r="P54" s="308">
        <f>IF(Kalk!$B$4=2,'V Ist'!P44,0)</f>
        <v>0</v>
      </c>
      <c r="Q54" s="308">
        <f>IF(Kalk!$B$4=2,'V Ist'!Q44,0)</f>
        <v>0</v>
      </c>
      <c r="R54" s="308">
        <f>IF(Kalk!$B$4=2,'V Ist'!R44,0)</f>
        <v>0</v>
      </c>
    </row>
    <row r="55" spans="2:18" ht="11.25" customHeight="1">
      <c r="B55" s="306" t="str">
        <f t="shared" si="5"/>
        <v/>
      </c>
      <c r="C55" s="306" t="str">
        <f t="shared" si="6"/>
        <v/>
      </c>
      <c r="D55" s="308">
        <f>IF(Kalk!$B$4=2,'V Ist'!D45,0)</f>
        <v>0</v>
      </c>
      <c r="E55" s="308">
        <f>IF(Kalk!$B$4=2,'V Ist'!E45,0)</f>
        <v>0</v>
      </c>
      <c r="F55" s="308">
        <f>IF(Kalk!$B$4=2,'V Ist'!F45,0)</f>
        <v>0</v>
      </c>
      <c r="G55" s="308">
        <f>IF(Kalk!$B$4=2,'V Ist'!G45,0)</f>
        <v>0</v>
      </c>
      <c r="H55" s="308">
        <f>IF(Kalk!$B$4=2,'V Ist'!H45,0)</f>
        <v>0</v>
      </c>
      <c r="I55" s="308">
        <f>IF(Kalk!$B$4=2,'V Ist'!I45,0)</f>
        <v>0</v>
      </c>
      <c r="J55" s="307"/>
      <c r="K55" s="306" t="str">
        <f t="shared" si="3"/>
        <v/>
      </c>
      <c r="L55" s="306" t="str">
        <f t="shared" si="7"/>
        <v/>
      </c>
      <c r="M55" s="308">
        <f>IF(Kalk!$B$4=2,'V Ist'!M45,0)</f>
        <v>0</v>
      </c>
      <c r="N55" s="308">
        <f>IF(Kalk!$B$4=2,'V Ist'!N45,0)</f>
        <v>0</v>
      </c>
      <c r="O55" s="308">
        <f>IF(Kalk!$B$4=2,'V Ist'!O45,0)</f>
        <v>0</v>
      </c>
      <c r="P55" s="308">
        <f>IF(Kalk!$B$4=2,'V Ist'!P45,0)</f>
        <v>0</v>
      </c>
      <c r="Q55" s="308">
        <f>IF(Kalk!$B$4=2,'V Ist'!Q45,0)</f>
        <v>0</v>
      </c>
      <c r="R55" s="308">
        <f>IF(Kalk!$B$4=2,'V Ist'!R45,0)</f>
        <v>0</v>
      </c>
    </row>
    <row r="56" spans="2:18" ht="11.25" customHeight="1">
      <c r="B56" s="306" t="str">
        <f t="shared" si="5"/>
        <v/>
      </c>
      <c r="C56" s="306" t="str">
        <f t="shared" si="6"/>
        <v/>
      </c>
      <c r="D56" s="308">
        <f>IF(Kalk!$B$4=2,'V Ist'!D46,0)</f>
        <v>0</v>
      </c>
      <c r="E56" s="308">
        <f>IF(Kalk!$B$4=2,'V Ist'!E46,0)</f>
        <v>0</v>
      </c>
      <c r="F56" s="308">
        <f>IF(Kalk!$B$4=2,'V Ist'!F46,0)</f>
        <v>0</v>
      </c>
      <c r="G56" s="308">
        <f>IF(Kalk!$B$4=2,'V Ist'!G46,0)</f>
        <v>0</v>
      </c>
      <c r="H56" s="308">
        <f>IF(Kalk!$B$4=2,'V Ist'!H46,0)</f>
        <v>0</v>
      </c>
      <c r="I56" s="308">
        <f>IF(Kalk!$B$4=2,'V Ist'!I46,0)</f>
        <v>0</v>
      </c>
      <c r="J56" s="307"/>
      <c r="K56" s="306" t="str">
        <f t="shared" si="3"/>
        <v/>
      </c>
      <c r="L56" s="306" t="str">
        <f t="shared" si="7"/>
        <v/>
      </c>
      <c r="M56" s="308">
        <f>IF(Kalk!$B$4=2,'V Ist'!M46,0)</f>
        <v>0</v>
      </c>
      <c r="N56" s="308">
        <f>IF(Kalk!$B$4=2,'V Ist'!N46,0)</f>
        <v>0</v>
      </c>
      <c r="O56" s="308">
        <f>IF(Kalk!$B$4=2,'V Ist'!O46,0)</f>
        <v>0</v>
      </c>
      <c r="P56" s="308">
        <f>IF(Kalk!$B$4=2,'V Ist'!P46,0)</f>
        <v>0</v>
      </c>
      <c r="Q56" s="308">
        <f>IF(Kalk!$B$4=2,'V Ist'!Q46,0)</f>
        <v>0</v>
      </c>
      <c r="R56" s="308">
        <f>IF(Kalk!$B$4=2,'V Ist'!R46,0)</f>
        <v>0</v>
      </c>
    </row>
    <row r="57" spans="2:18" ht="11.25" customHeight="1">
      <c r="B57" s="306" t="str">
        <f t="shared" si="5"/>
        <v/>
      </c>
      <c r="C57" s="306" t="str">
        <f t="shared" si="6"/>
        <v/>
      </c>
      <c r="D57" s="308">
        <f>IF(Kalk!$B$4=2,'V Ist'!D47,0)</f>
        <v>0</v>
      </c>
      <c r="E57" s="308">
        <f>IF(Kalk!$B$4=2,'V Ist'!E47,0)</f>
        <v>0</v>
      </c>
      <c r="F57" s="308">
        <f>IF(Kalk!$B$4=2,'V Ist'!F47,0)</f>
        <v>0</v>
      </c>
      <c r="G57" s="308">
        <f>IF(Kalk!$B$4=2,'V Ist'!G47,0)</f>
        <v>0</v>
      </c>
      <c r="H57" s="308">
        <f>IF(Kalk!$B$4=2,'V Ist'!H47,0)</f>
        <v>0</v>
      </c>
      <c r="I57" s="308">
        <f>IF(Kalk!$B$4=2,'V Ist'!I47,0)</f>
        <v>0</v>
      </c>
      <c r="J57" s="307"/>
      <c r="K57" s="306" t="str">
        <f t="shared" si="3"/>
        <v/>
      </c>
      <c r="L57" s="306" t="str">
        <f t="shared" si="7"/>
        <v/>
      </c>
      <c r="M57" s="308">
        <f>IF(Kalk!$B$4=2,'V Ist'!M47,0)</f>
        <v>0</v>
      </c>
      <c r="N57" s="308">
        <f>IF(Kalk!$B$4=2,'V Ist'!N47,0)</f>
        <v>0</v>
      </c>
      <c r="O57" s="308">
        <f>IF(Kalk!$B$4=2,'V Ist'!O47,0)</f>
        <v>0</v>
      </c>
      <c r="P57" s="308">
        <f>IF(Kalk!$B$4=2,'V Ist'!P47,0)</f>
        <v>0</v>
      </c>
      <c r="Q57" s="308">
        <f>IF(Kalk!$B$4=2,'V Ist'!Q47,0)</f>
        <v>0</v>
      </c>
      <c r="R57" s="308">
        <f>IF(Kalk!$B$4=2,'V Ist'!R47,0)</f>
        <v>0</v>
      </c>
    </row>
    <row r="58" spans="2:18" ht="11.25" customHeight="1">
      <c r="B58" s="306" t="str">
        <f t="shared" si="5"/>
        <v/>
      </c>
      <c r="C58" s="306" t="str">
        <f t="shared" si="6"/>
        <v/>
      </c>
      <c r="D58" s="308">
        <f>IF(Kalk!$B$4=2,'V Ist'!D48,0)</f>
        <v>0</v>
      </c>
      <c r="E58" s="308">
        <f>IF(Kalk!$B$4=2,'V Ist'!E48,0)</f>
        <v>0</v>
      </c>
      <c r="F58" s="308">
        <f>IF(Kalk!$B$4=2,'V Ist'!F48,0)</f>
        <v>0</v>
      </c>
      <c r="G58" s="308">
        <f>IF(Kalk!$B$4=2,'V Ist'!G48,0)</f>
        <v>0</v>
      </c>
      <c r="H58" s="308">
        <f>IF(Kalk!$B$4=2,'V Ist'!H48,0)</f>
        <v>0</v>
      </c>
      <c r="I58" s="308">
        <f>IF(Kalk!$B$4=2,'V Ist'!I48,0)</f>
        <v>0</v>
      </c>
      <c r="J58" s="307"/>
      <c r="K58" s="306" t="str">
        <f t="shared" si="3"/>
        <v/>
      </c>
      <c r="L58" s="306" t="str">
        <f t="shared" si="7"/>
        <v/>
      </c>
      <c r="M58" s="308">
        <f>IF(Kalk!$B$4=2,'V Ist'!M48,0)</f>
        <v>0</v>
      </c>
      <c r="N58" s="308">
        <f>IF(Kalk!$B$4=2,'V Ist'!N48,0)</f>
        <v>0</v>
      </c>
      <c r="O58" s="308">
        <f>IF(Kalk!$B$4=2,'V Ist'!O48,0)</f>
        <v>0</v>
      </c>
      <c r="P58" s="308">
        <f>IF(Kalk!$B$4=2,'V Ist'!P48,0)</f>
        <v>0</v>
      </c>
      <c r="Q58" s="308">
        <f>IF(Kalk!$B$4=2,'V Ist'!Q48,0)</f>
        <v>0</v>
      </c>
      <c r="R58" s="308">
        <f>IF(Kalk!$B$4=2,'V Ist'!R48,0)</f>
        <v>0</v>
      </c>
    </row>
    <row r="59" spans="2:18" ht="11.25" customHeight="1">
      <c r="B59" s="306" t="str">
        <f t="shared" si="5"/>
        <v/>
      </c>
      <c r="C59" s="306" t="str">
        <f t="shared" si="6"/>
        <v/>
      </c>
      <c r="D59" s="308">
        <f>IF(Kalk!$B$4=2,'V Ist'!D49,0)</f>
        <v>0</v>
      </c>
      <c r="E59" s="308">
        <f>IF(Kalk!$B$4=2,'V Ist'!E49,0)</f>
        <v>0</v>
      </c>
      <c r="F59" s="308">
        <f>IF(Kalk!$B$4=2,'V Ist'!F49,0)</f>
        <v>0</v>
      </c>
      <c r="G59" s="308">
        <f>IF(Kalk!$B$4=2,'V Ist'!G49,0)</f>
        <v>0</v>
      </c>
      <c r="H59" s="308">
        <f>IF(Kalk!$B$4=2,'V Ist'!H49,0)</f>
        <v>0</v>
      </c>
      <c r="I59" s="308">
        <f>IF(Kalk!$B$4=2,'V Ist'!I49,0)</f>
        <v>0</v>
      </c>
      <c r="J59" s="307"/>
      <c r="K59" s="306" t="str">
        <f t="shared" si="3"/>
        <v/>
      </c>
      <c r="L59" s="306" t="str">
        <f t="shared" si="7"/>
        <v/>
      </c>
      <c r="M59" s="308">
        <f>IF(Kalk!$B$4=2,'V Ist'!M49,0)</f>
        <v>0</v>
      </c>
      <c r="N59" s="308">
        <f>IF(Kalk!$B$4=2,'V Ist'!N49,0)</f>
        <v>0</v>
      </c>
      <c r="O59" s="308">
        <f>IF(Kalk!$B$4=2,'V Ist'!O49,0)</f>
        <v>0</v>
      </c>
      <c r="P59" s="308">
        <f>IF(Kalk!$B$4=2,'V Ist'!P49,0)</f>
        <v>0</v>
      </c>
      <c r="Q59" s="308">
        <f>IF(Kalk!$B$4=2,'V Ist'!Q49,0)</f>
        <v>0</v>
      </c>
      <c r="R59" s="308">
        <f>IF(Kalk!$B$4=2,'V Ist'!R49,0)</f>
        <v>0</v>
      </c>
    </row>
    <row r="60" spans="2:18" ht="11.25" customHeight="1">
      <c r="B60" s="306" t="str">
        <f t="shared" si="5"/>
        <v/>
      </c>
      <c r="C60" s="306" t="str">
        <f t="shared" si="6"/>
        <v/>
      </c>
      <c r="D60" s="308">
        <f>IF(Kalk!$B$4=2,'V Ist'!D50,0)</f>
        <v>0</v>
      </c>
      <c r="E60" s="308">
        <f>IF(Kalk!$B$4=2,'V Ist'!E50,0)</f>
        <v>0</v>
      </c>
      <c r="F60" s="308">
        <f>IF(Kalk!$B$4=2,'V Ist'!F50,0)</f>
        <v>0</v>
      </c>
      <c r="G60" s="308">
        <f>IF(Kalk!$B$4=2,'V Ist'!G50,0)</f>
        <v>0</v>
      </c>
      <c r="H60" s="308">
        <f>IF(Kalk!$B$4=2,'V Ist'!H50,0)</f>
        <v>0</v>
      </c>
      <c r="I60" s="308">
        <f>IF(Kalk!$B$4=2,'V Ist'!I50,0)</f>
        <v>0</v>
      </c>
      <c r="J60" s="307"/>
      <c r="K60" s="306" t="str">
        <f t="shared" si="3"/>
        <v/>
      </c>
      <c r="L60" s="306" t="str">
        <f t="shared" si="7"/>
        <v/>
      </c>
      <c r="M60" s="308">
        <f>IF(Kalk!$B$4=2,'V Ist'!M50,0)</f>
        <v>0</v>
      </c>
      <c r="N60" s="308">
        <f>IF(Kalk!$B$4=2,'V Ist'!N50,0)</f>
        <v>0</v>
      </c>
      <c r="O60" s="308">
        <f>IF(Kalk!$B$4=2,'V Ist'!O50,0)</f>
        <v>0</v>
      </c>
      <c r="P60" s="308">
        <f>IF(Kalk!$B$4=2,'V Ist'!P50,0)</f>
        <v>0</v>
      </c>
      <c r="Q60" s="308">
        <f>IF(Kalk!$B$4=2,'V Ist'!Q50,0)</f>
        <v>0</v>
      </c>
      <c r="R60" s="308">
        <f>IF(Kalk!$B$4=2,'V Ist'!R50,0)</f>
        <v>0</v>
      </c>
    </row>
    <row r="61" spans="2:18" ht="11.25" customHeight="1">
      <c r="B61" s="306" t="str">
        <f t="shared" si="5"/>
        <v/>
      </c>
      <c r="C61" s="306" t="str">
        <f t="shared" si="6"/>
        <v/>
      </c>
      <c r="D61" s="308">
        <f>IF(Kalk!$B$4=2,'V Ist'!D51,0)</f>
        <v>0</v>
      </c>
      <c r="E61" s="308">
        <f>IF(Kalk!$B$4=2,'V Ist'!E51,0)</f>
        <v>0</v>
      </c>
      <c r="F61" s="308">
        <f>IF(Kalk!$B$4=2,'V Ist'!F51,0)</f>
        <v>0</v>
      </c>
      <c r="G61" s="308">
        <f>IF(Kalk!$B$4=2,'V Ist'!G51,0)</f>
        <v>0</v>
      </c>
      <c r="H61" s="308">
        <f>IF(Kalk!$B$4=2,'V Ist'!H51,0)</f>
        <v>0</v>
      </c>
      <c r="I61" s="308">
        <f>IF(Kalk!$B$4=2,'V Ist'!I51,0)</f>
        <v>0</v>
      </c>
      <c r="J61" s="307"/>
      <c r="K61" s="306" t="str">
        <f t="shared" si="3"/>
        <v/>
      </c>
      <c r="L61" s="306" t="str">
        <f t="shared" si="7"/>
        <v/>
      </c>
      <c r="M61" s="308">
        <f>IF(Kalk!$B$4=2,'V Ist'!M51,0)</f>
        <v>0</v>
      </c>
      <c r="N61" s="308">
        <f>IF(Kalk!$B$4=2,'V Ist'!N51,0)</f>
        <v>0</v>
      </c>
      <c r="O61" s="308">
        <f>IF(Kalk!$B$4=2,'V Ist'!O51,0)</f>
        <v>0</v>
      </c>
      <c r="P61" s="308">
        <f>IF(Kalk!$B$4=2,'V Ist'!P51,0)</f>
        <v>0</v>
      </c>
      <c r="Q61" s="308">
        <f>IF(Kalk!$B$4=2,'V Ist'!Q51,0)</f>
        <v>0</v>
      </c>
      <c r="R61" s="308">
        <f>IF(Kalk!$B$4=2,'V Ist'!R51,0)</f>
        <v>0</v>
      </c>
    </row>
    <row r="62" spans="2:18" ht="11.25" customHeight="1">
      <c r="B62" s="306" t="str">
        <f t="shared" si="5"/>
        <v/>
      </c>
      <c r="C62" s="306" t="str">
        <f t="shared" si="6"/>
        <v/>
      </c>
      <c r="D62" s="308">
        <f>IF(Kalk!$B$4=2,'V Ist'!D52,0)</f>
        <v>0</v>
      </c>
      <c r="E62" s="308">
        <f>IF(Kalk!$B$4=2,'V Ist'!E52,0)</f>
        <v>0</v>
      </c>
      <c r="F62" s="308">
        <f>IF(Kalk!$B$4=2,'V Ist'!F52,0)</f>
        <v>0</v>
      </c>
      <c r="G62" s="308">
        <f>IF(Kalk!$B$4=2,'V Ist'!G52,0)</f>
        <v>0</v>
      </c>
      <c r="H62" s="308">
        <f>IF(Kalk!$B$4=2,'V Ist'!H52,0)</f>
        <v>0</v>
      </c>
      <c r="I62" s="308">
        <f>IF(Kalk!$B$4=2,'V Ist'!I52,0)</f>
        <v>0</v>
      </c>
      <c r="J62" s="307"/>
      <c r="K62" s="306" t="str">
        <f t="shared" si="3"/>
        <v/>
      </c>
      <c r="L62" s="306" t="str">
        <f t="shared" si="7"/>
        <v/>
      </c>
      <c r="M62" s="308">
        <f>IF(Kalk!$B$4=2,'V Ist'!M52,0)</f>
        <v>0</v>
      </c>
      <c r="N62" s="308">
        <f>IF(Kalk!$B$4=2,'V Ist'!N52,0)</f>
        <v>0</v>
      </c>
      <c r="O62" s="308">
        <f>IF(Kalk!$B$4=2,'V Ist'!O52,0)</f>
        <v>0</v>
      </c>
      <c r="P62" s="308">
        <f>IF(Kalk!$B$4=2,'V Ist'!P52,0)</f>
        <v>0</v>
      </c>
      <c r="Q62" s="308">
        <f>IF(Kalk!$B$4=2,'V Ist'!Q52,0)</f>
        <v>0</v>
      </c>
      <c r="R62" s="308">
        <f>IF(Kalk!$B$4=2,'V Ist'!R52,0)</f>
        <v>0</v>
      </c>
    </row>
    <row r="63" spans="2:18" ht="11.25" customHeight="1">
      <c r="B63" s="306" t="str">
        <f t="shared" si="5"/>
        <v/>
      </c>
      <c r="C63" s="306" t="str">
        <f t="shared" si="6"/>
        <v/>
      </c>
      <c r="D63" s="308">
        <f>IF(Kalk!$B$4=2,'V Ist'!D53,0)</f>
        <v>0</v>
      </c>
      <c r="E63" s="308">
        <f>IF(Kalk!$B$4=2,'V Ist'!E53,0)</f>
        <v>0</v>
      </c>
      <c r="F63" s="308">
        <f>IF(Kalk!$B$4=2,'V Ist'!F53,0)</f>
        <v>0</v>
      </c>
      <c r="G63" s="308">
        <f>IF(Kalk!$B$4=2,'V Ist'!G53,0)</f>
        <v>0</v>
      </c>
      <c r="H63" s="308">
        <f>IF(Kalk!$B$4=2,'V Ist'!H53,0)</f>
        <v>0</v>
      </c>
      <c r="I63" s="308">
        <f>IF(Kalk!$B$4=2,'V Ist'!I53,0)</f>
        <v>0</v>
      </c>
      <c r="J63" s="307"/>
      <c r="K63" s="306" t="str">
        <f t="shared" si="3"/>
        <v/>
      </c>
      <c r="L63" s="306" t="str">
        <f t="shared" si="7"/>
        <v/>
      </c>
      <c r="M63" s="308">
        <f>IF(Kalk!$B$4=2,'V Ist'!M53,0)</f>
        <v>0</v>
      </c>
      <c r="N63" s="308">
        <f>IF(Kalk!$B$4=2,'V Ist'!N53,0)</f>
        <v>0</v>
      </c>
      <c r="O63" s="308">
        <f>IF(Kalk!$B$4=2,'V Ist'!O53,0)</f>
        <v>0</v>
      </c>
      <c r="P63" s="308">
        <f>IF(Kalk!$B$4=2,'V Ist'!P53,0)</f>
        <v>0</v>
      </c>
      <c r="Q63" s="308">
        <f>IF(Kalk!$B$4=2,'V Ist'!Q53,0)</f>
        <v>0</v>
      </c>
      <c r="R63" s="308">
        <f>IF(Kalk!$B$4=2,'V Ist'!R53,0)</f>
        <v>0</v>
      </c>
    </row>
    <row r="64" spans="2:18" ht="11.25" customHeight="1">
      <c r="B64" s="306" t="str">
        <f t="shared" si="5"/>
        <v/>
      </c>
      <c r="C64" s="306" t="str">
        <f t="shared" si="6"/>
        <v/>
      </c>
      <c r="D64" s="308">
        <f>IF(Kalk!$B$4=2,'V Ist'!D54,0)</f>
        <v>0</v>
      </c>
      <c r="E64" s="308">
        <f>IF(Kalk!$B$4=2,'V Ist'!E54,0)</f>
        <v>0</v>
      </c>
      <c r="F64" s="308">
        <f>IF(Kalk!$B$4=2,'V Ist'!F54,0)</f>
        <v>0</v>
      </c>
      <c r="G64" s="308">
        <f>IF(Kalk!$B$4=2,'V Ist'!G54,0)</f>
        <v>0</v>
      </c>
      <c r="H64" s="308">
        <f>IF(Kalk!$B$4=2,'V Ist'!H54,0)</f>
        <v>0</v>
      </c>
      <c r="I64" s="308">
        <f>IF(Kalk!$B$4=2,'V Ist'!I54,0)</f>
        <v>0</v>
      </c>
      <c r="J64" s="307"/>
      <c r="K64" s="306" t="str">
        <f t="shared" si="3"/>
        <v/>
      </c>
      <c r="L64" s="306" t="str">
        <f t="shared" si="7"/>
        <v/>
      </c>
      <c r="M64" s="308">
        <f>IF(Kalk!$B$4=2,'V Ist'!M54,0)</f>
        <v>0</v>
      </c>
      <c r="N64" s="308">
        <f>IF(Kalk!$B$4=2,'V Ist'!N54,0)</f>
        <v>0</v>
      </c>
      <c r="O64" s="308">
        <f>IF(Kalk!$B$4=2,'V Ist'!O54,0)</f>
        <v>0</v>
      </c>
      <c r="P64" s="308">
        <f>IF(Kalk!$B$4=2,'V Ist'!P54,0)</f>
        <v>0</v>
      </c>
      <c r="Q64" s="308">
        <f>IF(Kalk!$B$4=2,'V Ist'!Q54,0)</f>
        <v>0</v>
      </c>
      <c r="R64" s="308">
        <f>IF(Kalk!$B$4=2,'V Ist'!R54,0)</f>
        <v>0</v>
      </c>
    </row>
    <row r="65" spans="2:18" ht="11.25" customHeight="1">
      <c r="B65" s="306" t="str">
        <f t="shared" si="5"/>
        <v/>
      </c>
      <c r="C65" s="306" t="str">
        <f t="shared" si="6"/>
        <v/>
      </c>
      <c r="D65" s="308">
        <f>IF(Kalk!$B$4=2,'V Ist'!D55,0)</f>
        <v>0</v>
      </c>
      <c r="E65" s="308">
        <f>IF(Kalk!$B$4=2,'V Ist'!E55,0)</f>
        <v>0</v>
      </c>
      <c r="F65" s="308">
        <f>IF(Kalk!$B$4=2,'V Ist'!F55,0)</f>
        <v>0</v>
      </c>
      <c r="G65" s="308">
        <f>IF(Kalk!$B$4=2,'V Ist'!G55,0)</f>
        <v>0</v>
      </c>
      <c r="H65" s="308">
        <f>IF(Kalk!$B$4=2,'V Ist'!H55,0)</f>
        <v>0</v>
      </c>
      <c r="I65" s="308">
        <f>IF(Kalk!$B$4=2,'V Ist'!I55,0)</f>
        <v>0</v>
      </c>
      <c r="J65" s="307"/>
      <c r="K65" s="306" t="str">
        <f t="shared" si="3"/>
        <v/>
      </c>
      <c r="L65" s="306" t="str">
        <f t="shared" si="7"/>
        <v/>
      </c>
      <c r="M65" s="308">
        <f>IF(Kalk!$B$4=2,'V Ist'!M55,0)</f>
        <v>0</v>
      </c>
      <c r="N65" s="308">
        <f>IF(Kalk!$B$4=2,'V Ist'!N55,0)</f>
        <v>0</v>
      </c>
      <c r="O65" s="308">
        <f>IF(Kalk!$B$4=2,'V Ist'!O55,0)</f>
        <v>0</v>
      </c>
      <c r="P65" s="308">
        <f>IF(Kalk!$B$4=2,'V Ist'!P55,0)</f>
        <v>0</v>
      </c>
      <c r="Q65" s="308">
        <f>IF(Kalk!$B$4=2,'V Ist'!Q55,0)</f>
        <v>0</v>
      </c>
      <c r="R65" s="308">
        <f>IF(Kalk!$B$4=2,'V Ist'!R55,0)</f>
        <v>0</v>
      </c>
    </row>
    <row r="66" spans="2:18" ht="11.25" customHeight="1">
      <c r="B66" s="532" t="str">
        <f t="shared" si="5"/>
        <v/>
      </c>
      <c r="C66" s="306" t="str">
        <f t="shared" si="6"/>
        <v/>
      </c>
      <c r="D66" s="308">
        <f>IF(Kalk!$B$4=2,'V Ist'!D56,0)</f>
        <v>0</v>
      </c>
      <c r="E66" s="308">
        <f>IF(Kalk!$B$4=2,'V Ist'!E56,0)</f>
        <v>0</v>
      </c>
      <c r="F66" s="308">
        <f>IF(Kalk!$B$4=2,'V Ist'!F56,0)</f>
        <v>0</v>
      </c>
      <c r="G66" s="308">
        <f>IF(Kalk!$B$4=2,'V Ist'!G56,0)</f>
        <v>0</v>
      </c>
      <c r="H66" s="308">
        <f>IF(Kalk!$B$4=2,'V Ist'!H56,0)</f>
        <v>0</v>
      </c>
      <c r="I66" s="308">
        <f>IF(Kalk!$B$4=2,'V Ist'!I56,0)</f>
        <v>0</v>
      </c>
      <c r="K66" s="306" t="str">
        <f t="shared" si="3"/>
        <v/>
      </c>
      <c r="L66" s="306" t="str">
        <f t="shared" si="7"/>
        <v/>
      </c>
      <c r="M66" s="308">
        <f>IF(Kalk!$B$4=2,'V Ist'!M56,0)</f>
        <v>0</v>
      </c>
      <c r="N66" s="308">
        <f>IF(Kalk!$B$4=2,'V Ist'!N56,0)</f>
        <v>0</v>
      </c>
      <c r="O66" s="308">
        <f>IF(Kalk!$B$4=2,'V Ist'!O56,0)</f>
        <v>0</v>
      </c>
      <c r="P66" s="308">
        <f>IF(Kalk!$B$4=2,'V Ist'!P56,0)</f>
        <v>0</v>
      </c>
      <c r="Q66" s="308">
        <f>IF(Kalk!$B$4=2,'V Ist'!Q56,0)</f>
        <v>0</v>
      </c>
      <c r="R66" s="308">
        <f>IF(Kalk!$B$4=2,'V Ist'!R56,0)</f>
        <v>0</v>
      </c>
    </row>
    <row r="67" spans="2:18" ht="11.25" customHeight="1">
      <c r="B67" s="306" t="str">
        <f t="shared" si="5"/>
        <v/>
      </c>
      <c r="C67" s="306" t="str">
        <f t="shared" si="6"/>
        <v/>
      </c>
      <c r="D67" s="308">
        <f>IF(Kalk!$B$4=2,'V Ist'!D57,0)</f>
        <v>0</v>
      </c>
      <c r="E67" s="308">
        <f>IF(Kalk!$B$4=2,'V Ist'!E57,0)</f>
        <v>0</v>
      </c>
      <c r="F67" s="308">
        <f>IF(Kalk!$B$4=2,'V Ist'!F57,0)</f>
        <v>0</v>
      </c>
      <c r="G67" s="308">
        <f>IF(Kalk!$B$4=2,'V Ist'!G57,0)</f>
        <v>0</v>
      </c>
      <c r="H67" s="308">
        <f>IF(Kalk!$B$4=2,'V Ist'!H57,0)</f>
        <v>0</v>
      </c>
      <c r="I67" s="308">
        <f>IF(Kalk!$B$4=2,'V Ist'!I57,0)</f>
        <v>0</v>
      </c>
      <c r="K67" s="306" t="str">
        <f t="shared" si="3"/>
        <v/>
      </c>
      <c r="L67" s="306" t="str">
        <f t="shared" si="7"/>
        <v/>
      </c>
      <c r="M67" s="308">
        <f>IF(Kalk!$B$4=2,'V Ist'!M57,0)</f>
        <v>0</v>
      </c>
      <c r="N67" s="308">
        <f>IF(Kalk!$B$4=2,'V Ist'!N57,0)</f>
        <v>0</v>
      </c>
      <c r="O67" s="308">
        <f>IF(Kalk!$B$4=2,'V Ist'!O57,0)</f>
        <v>0</v>
      </c>
      <c r="P67" s="308">
        <f>IF(Kalk!$B$4=2,'V Ist'!P57,0)</f>
        <v>0</v>
      </c>
      <c r="Q67" s="308">
        <f>IF(Kalk!$B$4=2,'V Ist'!Q57,0)</f>
        <v>0</v>
      </c>
      <c r="R67" s="308">
        <f>IF(Kalk!$B$4=2,'V Ist'!R57,0)</f>
        <v>0</v>
      </c>
    </row>
    <row r="89" spans="1:18" ht="11.25" customHeight="1">
      <c r="A89" s="307"/>
      <c r="B89" s="307"/>
      <c r="C89" s="307"/>
      <c r="D89" s="307"/>
      <c r="E89" s="318"/>
      <c r="F89" s="307"/>
      <c r="G89" s="307"/>
      <c r="H89" s="307"/>
      <c r="I89" s="319"/>
      <c r="J89" s="307"/>
      <c r="K89" s="319"/>
      <c r="L89" s="319"/>
      <c r="M89" s="307"/>
      <c r="N89" s="307"/>
      <c r="O89" s="307"/>
      <c r="P89" s="307"/>
      <c r="Q89" s="307"/>
      <c r="R89" s="307"/>
    </row>
    <row r="90" spans="1:18" ht="11.25" customHeight="1">
      <c r="A90" s="307"/>
      <c r="B90" s="307"/>
      <c r="C90" s="307"/>
      <c r="D90" s="307"/>
      <c r="E90" s="318"/>
      <c r="F90" s="307"/>
      <c r="G90" s="307"/>
      <c r="H90" s="307"/>
      <c r="I90" s="319"/>
      <c r="J90" s="307"/>
      <c r="K90" s="319"/>
      <c r="L90" s="319"/>
      <c r="M90" s="307"/>
      <c r="N90" s="307"/>
      <c r="O90" s="307"/>
      <c r="P90" s="307"/>
      <c r="Q90" s="307"/>
      <c r="R90" s="307"/>
    </row>
    <row r="91" spans="1:18" ht="11.25" customHeight="1">
      <c r="A91" s="307"/>
      <c r="B91" s="307"/>
      <c r="C91" s="307"/>
      <c r="D91" s="307"/>
      <c r="E91" s="318"/>
      <c r="F91" s="307"/>
      <c r="G91" s="307"/>
      <c r="H91" s="307"/>
      <c r="I91" s="307"/>
      <c r="J91" s="307"/>
      <c r="K91" s="319"/>
      <c r="L91" s="319"/>
      <c r="M91" s="307"/>
      <c r="N91" s="307"/>
      <c r="O91" s="307"/>
      <c r="P91" s="307"/>
      <c r="Q91" s="307"/>
      <c r="R91" s="307"/>
    </row>
    <row r="92" spans="1:18" ht="11.25" customHeight="1">
      <c r="A92" s="320"/>
      <c r="B92" s="299"/>
      <c r="C92" s="299"/>
      <c r="D92" s="320"/>
      <c r="E92" s="321"/>
      <c r="F92" s="299"/>
      <c r="G92" s="299"/>
      <c r="H92" s="299"/>
      <c r="I92" s="299"/>
      <c r="J92" s="299"/>
      <c r="K92" s="309"/>
      <c r="L92" s="309"/>
      <c r="M92" s="299"/>
      <c r="N92" s="299"/>
      <c r="O92" s="299"/>
      <c r="P92" s="299"/>
      <c r="Q92" s="299"/>
      <c r="R92" s="299"/>
    </row>
    <row r="93" spans="1:18" ht="11.25" customHeight="1">
      <c r="A93" s="320"/>
      <c r="B93" s="299"/>
      <c r="C93" s="299"/>
      <c r="D93" s="320"/>
      <c r="E93" s="321"/>
      <c r="F93" s="299"/>
      <c r="G93" s="299"/>
      <c r="H93" s="299"/>
      <c r="I93" s="299"/>
      <c r="J93" s="299"/>
      <c r="K93" s="309"/>
      <c r="L93" s="309"/>
      <c r="M93" s="299"/>
      <c r="N93" s="299"/>
      <c r="O93" s="299"/>
      <c r="P93" s="299"/>
      <c r="Q93" s="299"/>
      <c r="R93" s="299"/>
    </row>
  </sheetData>
  <mergeCells count="24">
    <mergeCell ref="Q45:R45"/>
    <mergeCell ref="H10:I10"/>
    <mergeCell ref="B10:D10"/>
    <mergeCell ref="N10:P10"/>
    <mergeCell ref="K45:M45"/>
    <mergeCell ref="G36:G45"/>
    <mergeCell ref="H36:H45"/>
    <mergeCell ref="E36:E45"/>
    <mergeCell ref="B2:D2"/>
    <mergeCell ref="E2:P2"/>
    <mergeCell ref="K4:P6"/>
    <mergeCell ref="F5:G5"/>
    <mergeCell ref="K36:R42"/>
    <mergeCell ref="Q10:R10"/>
    <mergeCell ref="B36:C45"/>
    <mergeCell ref="D36:D45"/>
    <mergeCell ref="F36:F45"/>
    <mergeCell ref="H35:I35"/>
    <mergeCell ref="B35:D35"/>
    <mergeCell ref="E35:G35"/>
    <mergeCell ref="E10:G10"/>
    <mergeCell ref="I36:I45"/>
    <mergeCell ref="N45:P45"/>
    <mergeCell ref="K10:M10"/>
  </mergeCells>
  <conditionalFormatting sqref="M23:R32 K12:R28 K13:L32 B12:I32 B48:C67 B47:R63 K48:L67">
    <cfRule type="cellIs" dxfId="19" priority="3" stopIfTrue="1" operator="equal">
      <formula>0</formula>
    </cfRule>
    <cfRule type="cellIs" dxfId="18" priority="4" stopIfTrue="1" operator="equal">
      <formula>""</formula>
    </cfRule>
  </conditionalFormatting>
  <printOptions horizontalCentered="1" verticalCentered="1"/>
  <pageMargins left="0.39370078740157483" right="0.39370078740157483" top="0.19685039370078741" bottom="0.19685039370078741" header="0.51181102362204722" footer="0.51181102362204722"/>
  <pageSetup paperSize="9" scale="84" orientation="landscape" r:id="rId1"/>
  <headerFooter alignWithMargins="0">
    <oddFooter>&amp;L&amp;"Arial,Standard"&amp;4dbb
tarifunion
Entgelte
Version 1.1.
10.10.2007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6"/>
  </sheetPr>
  <dimension ref="A1:AA57"/>
  <sheetViews>
    <sheetView workbookViewId="0">
      <selection activeCell="J7" sqref="J7:J17"/>
    </sheetView>
  </sheetViews>
  <sheetFormatPr baseColWidth="10" defaultColWidth="8.5703125" defaultRowHeight="11.25" customHeight="1"/>
  <cols>
    <col min="1" max="1" width="23.140625" style="329" customWidth="1"/>
    <col min="2" max="3" width="6.42578125" style="329" customWidth="1"/>
    <col min="4" max="9" width="8.5703125" style="329" customWidth="1"/>
    <col min="10" max="10" width="17.85546875" style="328" customWidth="1"/>
    <col min="11" max="12" width="6.42578125" style="329" customWidth="1"/>
    <col min="13" max="19" width="8.5703125" style="329"/>
    <col min="20" max="23" width="5.7109375" style="329" customWidth="1"/>
    <col min="24" max="16384" width="8.5703125" style="329"/>
  </cols>
  <sheetData>
    <row r="1" spans="1:27" ht="11.25" customHeight="1">
      <c r="A1" s="323" t="str">
        <f>Umse!B11</f>
        <v>1.2.</v>
      </c>
      <c r="B1" s="324"/>
      <c r="C1" s="325"/>
      <c r="D1" s="326" t="str">
        <f>IF(A1=0,"","Stundenentgelt  ( Vollzeit )")</f>
        <v>Stundenentgelt  ( Vollzeit )</v>
      </c>
      <c r="E1" s="325"/>
      <c r="F1" s="325"/>
      <c r="G1" s="325"/>
      <c r="H1" s="325"/>
      <c r="I1" s="327"/>
      <c r="K1" s="324"/>
      <c r="L1" s="325"/>
      <c r="M1" s="519" t="str">
        <f>IF(A1=0,"",IF(OR($A$1="2.3.",$A$1="2.4.",$A$1="2.7.",$A$1="2.8.",$A$1="2.11.",$A$1="2.12."),T1,IF(OR($A$1="2.1.",$A$1="2.2.",$A$1="2.5.",$A$1="2.6.",$A$1="2.9.",$A$1="2.10."),V1,"")))</f>
        <v/>
      </c>
      <c r="N1" s="325"/>
      <c r="O1" s="325"/>
      <c r="P1" s="325"/>
      <c r="Q1" s="519" t="str">
        <f>IF(OR(Umse!$C$24=0,Kalk!B4=1,Kalk!B4=3,Kalk!B4=4,Kalk!B4=5,Kalk!B4=6,Kalk!B4=7,Kalk!B4=8,Kalk!B4=9,Kalk!B4=10),"",IF(OR(A1="2.1.",A1="2.2."),Para!C96,IF(OR(A1="2.3.",A1="2.4."),Para!C101,IF(OR(A1="2.5.",A1="2.6."),Para!C97,IF(OR(A1="2.7.",A1="2.8."),Para!C102,IF(OR(A1="2.9.",A1="2.10."),Para!C98,IF(OR(A1="2.11.",A1="2.12."),Para!C103,"")))))))</f>
        <v/>
      </c>
      <c r="R1" s="327"/>
      <c r="T1" s="521" t="str">
        <f>IF(A1=0,"",IF(OR($A$1="2.3.",$A$1="2.4."),"Anlage C VKA",IF(OR($A$1="2.7.",$A$1="2.8."),"Anlage C VKA",IF(OR($A$1="2.11.",$A$1="2.12."),"Anlage C VKA",IF(OR($A$1="2.1.",$A$1="2.2."),"",IF(OR($A$1="2.5.",$A$1="2.6."),"",IF(OR($A$1="2.9.",$A$1="2.10."),"","")))))))</f>
        <v/>
      </c>
      <c r="V1" s="522" t="str">
        <f>IF(A1=0,"",IF(OR($A$1="2.3.",$A$1="2.4."),"",IF(OR($A$1="2.7.",$A$1="2.8."),"",IF(OR($A$1="2.11.",$A$1="2.12."),"",IF(OR($A$1="2.1.",$A$1="2.2."),"Anlage A VKA",IF(OR($A$1="2.5.",$A$1="2.6."),"Anlage A VKA",IF(OR($A$1="2.9.",$A$1="2.10."),"Anlage A VKA","")))))))</f>
        <v/>
      </c>
    </row>
    <row r="2" spans="1:27" ht="21" customHeight="1">
      <c r="A2" s="330" t="str">
        <f>VLOOKUP(Kalk!B5,Kalk!A20:B29,2)</f>
        <v>TVöD ( Bund )</v>
      </c>
      <c r="B2" s="367" t="str">
        <f>K2</f>
        <v xml:space="preserve">    Entgeltgruppe</v>
      </c>
      <c r="C2" s="331"/>
      <c r="D2" s="332" t="s">
        <v>7</v>
      </c>
      <c r="E2" s="332" t="s">
        <v>8</v>
      </c>
      <c r="F2" s="332" t="s">
        <v>9</v>
      </c>
      <c r="G2" s="332" t="s">
        <v>10</v>
      </c>
      <c r="H2" s="332" t="s">
        <v>11</v>
      </c>
      <c r="I2" s="332" t="s">
        <v>12</v>
      </c>
      <c r="J2" s="333"/>
      <c r="K2" s="367" t="str">
        <f>IF(Umse!$C$24=0,"",IF(OR($A$1="2.3.",$A$1="2.4.",$A$1="2.7.",$A$1="2.8.",$A$1="2.11.",$A$1="2.12."),T2,V2))</f>
        <v xml:space="preserve">    Entgeltgruppe</v>
      </c>
      <c r="L2" s="331"/>
      <c r="M2" s="332" t="s">
        <v>7</v>
      </c>
      <c r="N2" s="332" t="s">
        <v>8</v>
      </c>
      <c r="O2" s="332" t="s">
        <v>9</v>
      </c>
      <c r="P2" s="332" t="s">
        <v>10</v>
      </c>
      <c r="Q2" s="332" t="s">
        <v>11</v>
      </c>
      <c r="R2" s="332" t="s">
        <v>12</v>
      </c>
      <c r="T2" s="355" t="s">
        <v>514</v>
      </c>
      <c r="V2" s="355" t="s">
        <v>278</v>
      </c>
      <c r="X2" s="514" t="s">
        <v>385</v>
      </c>
      <c r="Y2" s="430" t="s">
        <v>386</v>
      </c>
      <c r="Z2" s="514" t="s">
        <v>385</v>
      </c>
      <c r="AA2" s="430" t="s">
        <v>386</v>
      </c>
    </row>
    <row r="3" spans="1:27" ht="11.25" customHeight="1">
      <c r="A3" s="323" t="str">
        <f>Umse!B23</f>
        <v>West und Ost ( ab 1.04.2021 )</v>
      </c>
      <c r="B3" s="332" t="str">
        <f>K3</f>
        <v/>
      </c>
      <c r="C3" s="367" t="str">
        <f>L3</f>
        <v/>
      </c>
      <c r="D3" s="361" t="str">
        <f t="shared" ref="D3:I3" si="0">IF(M3=0,0,IF(M3="-","-",IF(M3="","",FIXED(ROUND(M3/$A$5,2),2))))</f>
        <v/>
      </c>
      <c r="E3" s="361" t="str">
        <f t="shared" si="0"/>
        <v/>
      </c>
      <c r="F3" s="361" t="str">
        <f t="shared" si="0"/>
        <v/>
      </c>
      <c r="G3" s="361" t="str">
        <f t="shared" si="0"/>
        <v/>
      </c>
      <c r="H3" s="361" t="str">
        <f t="shared" si="0"/>
        <v/>
      </c>
      <c r="I3" s="361" t="str">
        <f t="shared" si="0"/>
        <v/>
      </c>
      <c r="J3" s="333"/>
      <c r="K3" s="331" t="str">
        <f>IF(Umse!$C$24=0,"",IF(OR($A$1="2.3.",$A$1="2.4.",$A$1="2.7.",$A$1="2.8.",$A$1="2.11.",$A$1="2.12."),T3,V3))</f>
        <v/>
      </c>
      <c r="L3" s="363" t="str">
        <f>IF(Umse!$C$24=0,"",IF(OR($A$1="2.3.",$A$1="2.4.",$A$1="2.7.",$A$1="2.8.",$A$1="2.11.",$A$1="2.12."),U3,W3))</f>
        <v/>
      </c>
      <c r="M3" s="335" t="str">
        <f>IF(Umse!$C$24=0,"",IF(OR($A$1="2.1.",$A$1="2.2.",$A$1="2.5.",$A$1="2.6.",$A$1="2.9.",$A$1="2.10."),'V zwTab'!D4,IF(OR($A$1="2.3.",$A$1="2.4.",$A$1="2.7.",$A$1="2.8.",$A$1="2.11.",$A$1="2.12."),'V zwTab'!M4,"")))</f>
        <v/>
      </c>
      <c r="N3" s="335" t="str">
        <f>IF(Umse!$C$24=0,"",IF(OR($A$1="2.1.",$A$1="2.2.",$A$1="2.5.",$A$1="2.6.",$A$1="2.9.",$A$1="2.10."),'V zwTab'!E4,IF(OR($A$1="2.3.",$A$1="2.4.",$A$1="2.7.",$A$1="2.8.",$A$1="2.11.",$A$1="2.12."),'V zwTab'!N4,"")))</f>
        <v/>
      </c>
      <c r="O3" s="335" t="str">
        <f>IF(Umse!$C$24=0,"",IF(OR($A$1="2.1.",$A$1="2.2.",$A$1="2.5.",$A$1="2.6.",$A$1="2.9.",$A$1="2.10."),'V zwTab'!F4,IF(OR($A$1="2.3.",$A$1="2.4.",$A$1="2.7.",$A$1="2.8.",$A$1="2.11.",$A$1="2.12."),'V zwTab'!O4,"")))</f>
        <v/>
      </c>
      <c r="P3" s="335" t="str">
        <f>IF(Umse!$C$24=0,"",IF(OR($A$1="2.1.",$A$1="2.2.",$A$1="2.5.",$A$1="2.6.",$A$1="2.9.",$A$1="2.10."),'V zwTab'!G4,IF(OR($A$1="2.3.",$A$1="2.4.",$A$1="2.7.",$A$1="2.8.",$A$1="2.11.",$A$1="2.12."),'V zwTab'!P4,"")))</f>
        <v/>
      </c>
      <c r="Q3" s="335" t="str">
        <f>IF(Umse!$C$24=0,"",IF(OR($A$1="2.1.",$A$1="2.2.",$A$1="2.5.",$A$1="2.6.",$A$1="2.9.",$A$1="2.10."),'V zwTab'!H4,IF(OR($A$1="2.3.",$A$1="2.4.",$A$1="2.7.",$A$1="2.8.",$A$1="2.11.",$A$1="2.12."),'V zwTab'!Q4,"")))</f>
        <v/>
      </c>
      <c r="R3" s="335" t="str">
        <f>IF(Umse!$C$24=0,"",IF(OR($A$1="2.1.",$A$1="2.2.",$A$1="2.5.",$A$1="2.6.",$A$1="2.9.",$A$1="2.10."),'V zwTab'!I4,IF(OR($A$1="2.3.",$A$1="2.4.",$A$1="2.7.",$A$1="2.8.",$A$1="2.11.",$A$1="2.12."),'V zwTab'!R4,"")))</f>
        <v/>
      </c>
      <c r="T3" s="323" t="s">
        <v>274</v>
      </c>
      <c r="U3" s="367">
        <v>18</v>
      </c>
      <c r="V3" s="368" t="str">
        <f>IF(OR($A$1="2.1.",$A$1="2.2.",$A$1="2.5.",$A$1="2.6.",$A$1="2.9.",$A$1="2.10."),AA3,"")</f>
        <v/>
      </c>
      <c r="W3" s="516" t="str">
        <f>IF(OR($A$1="2.1.",$A$1="2.2.",$A$1="2.5.",$A$1="2.6.",$A$1="2.9.",$A$1="2.10."),Y3,"")</f>
        <v/>
      </c>
      <c r="X3" s="515" t="s">
        <v>13</v>
      </c>
      <c r="Y3" s="431" t="s">
        <v>13</v>
      </c>
      <c r="Z3" s="515" t="s">
        <v>6</v>
      </c>
      <c r="AA3" s="431" t="s">
        <v>6</v>
      </c>
    </row>
    <row r="4" spans="1:27" ht="11.25" customHeight="1">
      <c r="A4" s="336">
        <f>Umse!B24</f>
        <v>39</v>
      </c>
      <c r="B4" s="332" t="str">
        <f t="shared" ref="B4:B23" si="1">K4</f>
        <v/>
      </c>
      <c r="C4" s="367" t="str">
        <f t="shared" ref="C4:C23" si="2">L4</f>
        <v/>
      </c>
      <c r="D4" s="361" t="str">
        <f t="shared" ref="D4:D23" si="3">IF(M4=0,0,IF(M4="-","-",IF(M4="","",FIXED(ROUND(M4/$A$5,2),2))))</f>
        <v/>
      </c>
      <c r="E4" s="361" t="str">
        <f t="shared" ref="E4:E23" si="4">IF(N4=0,0,IF(N4="-","-",IF(N4="","",FIXED(ROUND(N4/$A$5,2),2))))</f>
        <v/>
      </c>
      <c r="F4" s="361" t="str">
        <f t="shared" ref="F4:F23" si="5">IF(O4=0,0,IF(O4="-","-",IF(O4="","",FIXED(ROUND(O4/$A$5,2),2))))</f>
        <v/>
      </c>
      <c r="G4" s="361" t="str">
        <f t="shared" ref="G4:G23" si="6">IF(P4=0,0,IF(P4="-","-",IF(P4="","",FIXED(ROUND(P4/$A$5,2),2))))</f>
        <v/>
      </c>
      <c r="H4" s="361" t="str">
        <f t="shared" ref="H4:H23" si="7">IF(Q4=0,0,IF(Q4="-","-",IF(Q4="","",FIXED(ROUND(Q4/$A$5,2),2))))</f>
        <v/>
      </c>
      <c r="I4" s="361" t="str">
        <f t="shared" ref="I4:I23" si="8">IF(R4=0,0,IF(R4="-","-",IF(R4="","",FIXED(ROUND(R4/$A$5,2),2))))</f>
        <v/>
      </c>
      <c r="J4" s="333"/>
      <c r="K4" s="331" t="str">
        <f>IF(Umse!$C$24=0,"",IF(OR($A$1="2.3.",$A$1="2.4.",$A$1="2.7.",$A$1="2.8.",$A$1="2.11.",$A$1="2.12."),T4,V4))</f>
        <v/>
      </c>
      <c r="L4" s="363" t="str">
        <f>IF(Umse!$C$24=0,"",IF(OR($A$1="2.3.",$A$1="2.4.",$A$1="2.7.",$A$1="2.8.",$A$1="2.11.",$A$1="2.12."),U4,W4))</f>
        <v/>
      </c>
      <c r="M4" s="335" t="str">
        <f>IF(Umse!$C$24=0,"",IF(OR($A$1="2.1.",$A$1="2.2.",$A$1="2.5.",$A$1="2.6.",$A$1="2.9.",$A$1="2.10."),'V zwTab'!D5,IF(OR($A$1="2.3.",$A$1="2.4.",$A$1="2.7.",$A$1="2.8.",$A$1="2.11.",$A$1="2.12."),'V zwTab'!M5,"")))</f>
        <v/>
      </c>
      <c r="N4" s="335" t="str">
        <f>IF(Umse!$C$24=0,"",IF(OR($A$1="2.1.",$A$1="2.2.",$A$1="2.5.",$A$1="2.6.",$A$1="2.9.",$A$1="2.10."),'V zwTab'!E5,IF(OR($A$1="2.3.",$A$1="2.4.",$A$1="2.7.",$A$1="2.8.",$A$1="2.11.",$A$1="2.12."),'V zwTab'!N5,"")))</f>
        <v/>
      </c>
      <c r="O4" s="335" t="str">
        <f>IF(Umse!$C$24=0,"",IF(OR($A$1="2.1.",$A$1="2.2.",$A$1="2.5.",$A$1="2.6.",$A$1="2.9.",$A$1="2.10."),'V zwTab'!F5,IF(OR($A$1="2.3.",$A$1="2.4.",$A$1="2.7.",$A$1="2.8.",$A$1="2.11.",$A$1="2.12."),'V zwTab'!O5,"")))</f>
        <v/>
      </c>
      <c r="P4" s="335" t="str">
        <f>IF(Umse!$C$24=0,"",IF(OR($A$1="2.1.",$A$1="2.2.",$A$1="2.5.",$A$1="2.6.",$A$1="2.9.",$A$1="2.10."),'V zwTab'!G5,IF(OR($A$1="2.3.",$A$1="2.4.",$A$1="2.7.",$A$1="2.8.",$A$1="2.11.",$A$1="2.12."),'V zwTab'!P5,"")))</f>
        <v/>
      </c>
      <c r="Q4" s="335" t="str">
        <f>IF(Umse!$C$24=0,"",IF(OR($A$1="2.1.",$A$1="2.2.",$A$1="2.5.",$A$1="2.6.",$A$1="2.9.",$A$1="2.10."),'V zwTab'!H5,IF(OR($A$1="2.3.",$A$1="2.4.",$A$1="2.7.",$A$1="2.8.",$A$1="2.11.",$A$1="2.12."),'V zwTab'!Q5,"")))</f>
        <v/>
      </c>
      <c r="R4" s="335" t="str">
        <f>IF(Umse!$C$24=0,"",IF(OR($A$1="2.1.",$A$1="2.2.",$A$1="2.5.",$A$1="2.6.",$A$1="2.9.",$A$1="2.10."),'V zwTab'!I5,IF(OR($A$1="2.3.",$A$1="2.4.",$A$1="2.7.",$A$1="2.8.",$A$1="2.11.",$A$1="2.12."),'V zwTab'!R5,"")))</f>
        <v/>
      </c>
      <c r="T4" s="323" t="s">
        <v>274</v>
      </c>
      <c r="U4" s="367">
        <v>17</v>
      </c>
      <c r="V4" s="370" t="str">
        <f t="shared" ref="V4:V23" si="9">IF(OR($A$1="2.1.",$A$1="2.2.",$A$1="2.5.",$A$1="2.6.",$A$1="2.9.",$A$1="2.10."),AA4,"")</f>
        <v/>
      </c>
      <c r="W4" s="517" t="str">
        <f t="shared" ref="W4:W23" si="10">IF(OR($A$1="2.1.",$A$1="2.2.",$A$1="2.5.",$A$1="2.6.",$A$1="2.9.",$A$1="2.10."),Y4,"")</f>
        <v/>
      </c>
      <c r="X4" s="515">
        <v>15</v>
      </c>
      <c r="Y4" s="431">
        <v>15</v>
      </c>
      <c r="Z4" s="515" t="s">
        <v>6</v>
      </c>
      <c r="AA4" s="431" t="s">
        <v>6</v>
      </c>
    </row>
    <row r="5" spans="1:27" ht="11.25" customHeight="1">
      <c r="A5" s="337">
        <f>Umse!C24</f>
        <v>169.57</v>
      </c>
      <c r="B5" s="332" t="str">
        <f t="shared" si="1"/>
        <v/>
      </c>
      <c r="C5" s="367" t="str">
        <f t="shared" si="2"/>
        <v/>
      </c>
      <c r="D5" s="361" t="str">
        <f t="shared" si="3"/>
        <v/>
      </c>
      <c r="E5" s="361" t="str">
        <f t="shared" si="4"/>
        <v/>
      </c>
      <c r="F5" s="361" t="str">
        <f t="shared" si="5"/>
        <v/>
      </c>
      <c r="G5" s="361" t="str">
        <f t="shared" si="6"/>
        <v/>
      </c>
      <c r="H5" s="361" t="str">
        <f t="shared" si="7"/>
        <v/>
      </c>
      <c r="I5" s="361" t="str">
        <f t="shared" si="8"/>
        <v/>
      </c>
      <c r="J5" s="333"/>
      <c r="K5" s="331" t="str">
        <f>IF(Umse!$C$24=0,"",IF(OR($A$1="2.3.",$A$1="2.4.",$A$1="2.7.",$A$1="2.8.",$A$1="2.11.",$A$1="2.12."),T5,V5))</f>
        <v/>
      </c>
      <c r="L5" s="363" t="str">
        <f>IF(Umse!$C$24=0,"",IF(OR($A$1="2.3.",$A$1="2.4.",$A$1="2.7.",$A$1="2.8.",$A$1="2.11.",$A$1="2.12."),U5,W5))</f>
        <v/>
      </c>
      <c r="M5" s="335" t="str">
        <f>IF(Umse!$C$24=0,"",IF(OR($A$1="2.1.",$A$1="2.2.",$A$1="2.5.",$A$1="2.6.",$A$1="2.9.",$A$1="2.10."),'V zwTab'!D6,IF(OR($A$1="2.3.",$A$1="2.4.",$A$1="2.7.",$A$1="2.8.",$A$1="2.11.",$A$1="2.12."),'V zwTab'!M6,"")))</f>
        <v/>
      </c>
      <c r="N5" s="335" t="str">
        <f>IF(Umse!$C$24=0,"",IF(OR($A$1="2.1.",$A$1="2.2.",$A$1="2.5.",$A$1="2.6.",$A$1="2.9.",$A$1="2.10."),'V zwTab'!E6,IF(OR($A$1="2.3.",$A$1="2.4.",$A$1="2.7.",$A$1="2.8.",$A$1="2.11.",$A$1="2.12."),'V zwTab'!N6,"")))</f>
        <v/>
      </c>
      <c r="O5" s="335" t="str">
        <f>IF(Umse!$C$24=0,"",IF(OR($A$1="2.1.",$A$1="2.2.",$A$1="2.5.",$A$1="2.6.",$A$1="2.9.",$A$1="2.10."),'V zwTab'!F6,IF(OR($A$1="2.3.",$A$1="2.4.",$A$1="2.7.",$A$1="2.8.",$A$1="2.11.",$A$1="2.12."),'V zwTab'!O6,"")))</f>
        <v/>
      </c>
      <c r="P5" s="335" t="str">
        <f>IF(Umse!$C$24=0,"",IF(OR($A$1="2.1.",$A$1="2.2.",$A$1="2.5.",$A$1="2.6.",$A$1="2.9.",$A$1="2.10."),'V zwTab'!G6,IF(OR($A$1="2.3.",$A$1="2.4.",$A$1="2.7.",$A$1="2.8.",$A$1="2.11.",$A$1="2.12."),'V zwTab'!P6,"")))</f>
        <v/>
      </c>
      <c r="Q5" s="335" t="str">
        <f>IF(Umse!$C$24=0,"",IF(OR($A$1="2.1.",$A$1="2.2.",$A$1="2.5.",$A$1="2.6.",$A$1="2.9.",$A$1="2.10."),'V zwTab'!H6,IF(OR($A$1="2.3.",$A$1="2.4.",$A$1="2.7.",$A$1="2.8.",$A$1="2.11.",$A$1="2.12."),'V zwTab'!Q6,"")))</f>
        <v/>
      </c>
      <c r="R5" s="335" t="str">
        <f>IF(Umse!$C$24=0,"",IF(OR($A$1="2.1.",$A$1="2.2.",$A$1="2.5.",$A$1="2.6.",$A$1="2.9.",$A$1="2.10."),'V zwTab'!I6,IF(OR($A$1="2.3.",$A$1="2.4.",$A$1="2.7.",$A$1="2.8.",$A$1="2.11.",$A$1="2.12."),'V zwTab'!R6,"")))</f>
        <v/>
      </c>
      <c r="T5" s="323" t="s">
        <v>274</v>
      </c>
      <c r="U5" s="367" t="s">
        <v>275</v>
      </c>
      <c r="V5" s="370" t="str">
        <f t="shared" si="9"/>
        <v/>
      </c>
      <c r="W5" s="517" t="str">
        <f t="shared" si="10"/>
        <v/>
      </c>
      <c r="X5" s="515">
        <v>14</v>
      </c>
      <c r="Y5" s="431">
        <v>14</v>
      </c>
      <c r="Z5" s="515" t="s">
        <v>6</v>
      </c>
      <c r="AA5" s="431" t="s">
        <v>6</v>
      </c>
    </row>
    <row r="6" spans="1:27" ht="11.25" customHeight="1">
      <c r="A6" s="485" t="str">
        <f>IF(OR($A$1="2.3.",$A$1="2.4.",$A$1="2.7.",$A$1="2.8.",$A$1="2.11.",$A$1="2.12."),"SuE","")</f>
        <v/>
      </c>
      <c r="B6" s="332" t="str">
        <f t="shared" si="1"/>
        <v/>
      </c>
      <c r="C6" s="367" t="str">
        <f t="shared" si="2"/>
        <v/>
      </c>
      <c r="D6" s="361" t="str">
        <f t="shared" si="3"/>
        <v/>
      </c>
      <c r="E6" s="361" t="str">
        <f t="shared" si="4"/>
        <v/>
      </c>
      <c r="F6" s="361" t="str">
        <f t="shared" si="5"/>
        <v/>
      </c>
      <c r="G6" s="361" t="str">
        <f t="shared" si="6"/>
        <v/>
      </c>
      <c r="H6" s="361" t="str">
        <f t="shared" si="7"/>
        <v/>
      </c>
      <c r="I6" s="361" t="str">
        <f t="shared" si="8"/>
        <v/>
      </c>
      <c r="J6" s="333"/>
      <c r="K6" s="331" t="str">
        <f>IF(Umse!$C$24=0,"",IF(OR($A$1="2.3.",$A$1="2.4.",$A$1="2.7.",$A$1="2.8.",$A$1="2.11.",$A$1="2.12."),T6,V6))</f>
        <v/>
      </c>
      <c r="L6" s="363" t="str">
        <f>IF(Umse!$C$24=0,"",IF(OR($A$1="2.3.",$A$1="2.4.",$A$1="2.7.",$A$1="2.8.",$A$1="2.11.",$A$1="2.12."),U6,W6))</f>
        <v/>
      </c>
      <c r="M6" s="335" t="str">
        <f>IF(Umse!$C$24=0,"",IF(OR($A$1="2.1.",$A$1="2.2.",$A$1="2.5.",$A$1="2.6.",$A$1="2.9.",$A$1="2.10."),'V zwTab'!D7,IF(OR($A$1="2.3.",$A$1="2.4.",$A$1="2.7.",$A$1="2.8.",$A$1="2.11.",$A$1="2.12."),'V zwTab'!M7,"")))</f>
        <v/>
      </c>
      <c r="N6" s="335" t="str">
        <f>IF(Umse!$C$24=0,"",IF(OR($A$1="2.1.",$A$1="2.2.",$A$1="2.5.",$A$1="2.6.",$A$1="2.9.",$A$1="2.10."),'V zwTab'!E7,IF(OR($A$1="2.3.",$A$1="2.4.",$A$1="2.7.",$A$1="2.8.",$A$1="2.11.",$A$1="2.12."),'V zwTab'!N7,"")))</f>
        <v/>
      </c>
      <c r="O6" s="335" t="str">
        <f>IF(Umse!$C$24=0,"",IF(OR($A$1="2.1.",$A$1="2.2.",$A$1="2.5.",$A$1="2.6.",$A$1="2.9.",$A$1="2.10."),'V zwTab'!F7,IF(OR($A$1="2.3.",$A$1="2.4.",$A$1="2.7.",$A$1="2.8.",$A$1="2.11.",$A$1="2.12."),'V zwTab'!O7,"")))</f>
        <v/>
      </c>
      <c r="P6" s="335" t="str">
        <f>IF(Umse!$C$24=0,"",IF(OR($A$1="2.1.",$A$1="2.2.",$A$1="2.5.",$A$1="2.6.",$A$1="2.9.",$A$1="2.10."),'V zwTab'!G7,IF(OR($A$1="2.3.",$A$1="2.4.",$A$1="2.7.",$A$1="2.8.",$A$1="2.11.",$A$1="2.12."),'V zwTab'!P7,"")))</f>
        <v/>
      </c>
      <c r="Q6" s="335" t="str">
        <f>IF(Umse!$C$24=0,"",IF(OR($A$1="2.1.",$A$1="2.2.",$A$1="2.5.",$A$1="2.6.",$A$1="2.9.",$A$1="2.10."),'V zwTab'!H7,IF(OR($A$1="2.3.",$A$1="2.4.",$A$1="2.7.",$A$1="2.8.",$A$1="2.11.",$A$1="2.12."),'V zwTab'!Q7,"")))</f>
        <v/>
      </c>
      <c r="R6" s="335" t="str">
        <f>IF(Umse!$C$24=0,"",IF(OR($A$1="2.1.",$A$1="2.2.",$A$1="2.5.",$A$1="2.6.",$A$1="2.9.",$A$1="2.10."),'V zwTab'!I7,IF(OR($A$1="2.3.",$A$1="2.4.",$A$1="2.7.",$A$1="2.8.",$A$1="2.11.",$A$1="2.12."),'V zwTab'!R7,"")))</f>
        <v/>
      </c>
      <c r="T6" s="323" t="s">
        <v>274</v>
      </c>
      <c r="U6" s="367">
        <v>16</v>
      </c>
      <c r="V6" s="370" t="str">
        <f t="shared" si="9"/>
        <v/>
      </c>
      <c r="W6" s="517" t="str">
        <f t="shared" si="10"/>
        <v/>
      </c>
      <c r="X6" s="515">
        <v>13</v>
      </c>
      <c r="Y6" s="431">
        <v>13</v>
      </c>
      <c r="Z6" s="515" t="s">
        <v>6</v>
      </c>
      <c r="AA6" s="431" t="s">
        <v>6</v>
      </c>
    </row>
    <row r="7" spans="1:27" ht="11.25" customHeight="1">
      <c r="A7" s="338">
        <f>Kalk!D5</f>
        <v>1</v>
      </c>
      <c r="B7" s="332" t="str">
        <f t="shared" si="1"/>
        <v/>
      </c>
      <c r="C7" s="367" t="str">
        <f t="shared" si="2"/>
        <v/>
      </c>
      <c r="D7" s="361" t="str">
        <f t="shared" si="3"/>
        <v/>
      </c>
      <c r="E7" s="361" t="str">
        <f t="shared" si="4"/>
        <v/>
      </c>
      <c r="F7" s="361" t="str">
        <f t="shared" si="5"/>
        <v/>
      </c>
      <c r="G7" s="361" t="str">
        <f t="shared" si="6"/>
        <v/>
      </c>
      <c r="H7" s="361" t="str">
        <f t="shared" si="7"/>
        <v/>
      </c>
      <c r="I7" s="361" t="str">
        <f t="shared" si="8"/>
        <v/>
      </c>
      <c r="J7" s="333"/>
      <c r="K7" s="331" t="str">
        <f>IF(Umse!$C$24=0,"",IF(OR($A$1="2.3.",$A$1="2.4.",$A$1="2.7.",$A$1="2.8.",$A$1="2.11.",$A$1="2.12."),T7,V7))</f>
        <v/>
      </c>
      <c r="L7" s="363" t="str">
        <f>IF(Umse!$C$24=0,"",IF(OR($A$1="2.3.",$A$1="2.4.",$A$1="2.7.",$A$1="2.8.",$A$1="2.11.",$A$1="2.12."),U7,W7))</f>
        <v/>
      </c>
      <c r="M7" s="335" t="str">
        <f>IF(Umse!$C$24=0,"",IF(OR($A$1="2.1.",$A$1="2.2.",$A$1="2.5.",$A$1="2.6.",$A$1="2.9.",$A$1="2.10."),'V zwTab'!D8,IF(OR($A$1="2.3.",$A$1="2.4.",$A$1="2.7.",$A$1="2.8.",$A$1="2.11.",$A$1="2.12."),'V zwTab'!M8,"")))</f>
        <v/>
      </c>
      <c r="N7" s="335" t="str">
        <f>IF(Umse!$C$24=0,"",IF(OR($A$1="2.1.",$A$1="2.2.",$A$1="2.5.",$A$1="2.6.",$A$1="2.9.",$A$1="2.10."),'V zwTab'!E8,IF(OR($A$1="2.3.",$A$1="2.4.",$A$1="2.7.",$A$1="2.8.",$A$1="2.11.",$A$1="2.12."),'V zwTab'!N8,"")))</f>
        <v/>
      </c>
      <c r="O7" s="335" t="str">
        <f>IF(Umse!$C$24=0,"",IF(OR($A$1="2.1.",$A$1="2.2.",$A$1="2.5.",$A$1="2.6.",$A$1="2.9.",$A$1="2.10."),'V zwTab'!F8,IF(OR($A$1="2.3.",$A$1="2.4.",$A$1="2.7.",$A$1="2.8.",$A$1="2.11.",$A$1="2.12."),'V zwTab'!O8,"")))</f>
        <v/>
      </c>
      <c r="P7" s="335" t="str">
        <f>IF(Umse!$C$24=0,"",IF(OR($A$1="2.1.",$A$1="2.2.",$A$1="2.5.",$A$1="2.6.",$A$1="2.9.",$A$1="2.10."),'V zwTab'!G8,IF(OR($A$1="2.3.",$A$1="2.4.",$A$1="2.7.",$A$1="2.8.",$A$1="2.11.",$A$1="2.12."),'V zwTab'!P8,"")))</f>
        <v/>
      </c>
      <c r="Q7" s="335" t="str">
        <f>IF(Umse!$C$24=0,"",IF(OR($A$1="2.1.",$A$1="2.2.",$A$1="2.5.",$A$1="2.6.",$A$1="2.9.",$A$1="2.10."),'V zwTab'!H8,IF(OR($A$1="2.3.",$A$1="2.4.",$A$1="2.7.",$A$1="2.8.",$A$1="2.11.",$A$1="2.12."),'V zwTab'!Q8,"")))</f>
        <v/>
      </c>
      <c r="R7" s="335" t="str">
        <f>IF(Umse!$C$24=0,"",IF(OR($A$1="2.1.",$A$1="2.2.",$A$1="2.5.",$A$1="2.6.",$A$1="2.9.",$A$1="2.10."),'V zwTab'!I8,IF(OR($A$1="2.3.",$A$1="2.4.",$A$1="2.7.",$A$1="2.8.",$A$1="2.11.",$A$1="2.12."),'V zwTab'!R8,"")))</f>
        <v/>
      </c>
      <c r="T7" s="323" t="s">
        <v>274</v>
      </c>
      <c r="U7" s="367">
        <v>15</v>
      </c>
      <c r="V7" s="370" t="str">
        <f t="shared" si="9"/>
        <v/>
      </c>
      <c r="W7" s="517" t="str">
        <f t="shared" si="10"/>
        <v/>
      </c>
      <c r="X7" s="515">
        <v>12</v>
      </c>
      <c r="Y7" s="431">
        <v>12</v>
      </c>
      <c r="Z7" s="515" t="s">
        <v>6</v>
      </c>
      <c r="AA7" s="431" t="s">
        <v>6</v>
      </c>
    </row>
    <row r="8" spans="1:27" ht="11.25" customHeight="1">
      <c r="A8" s="338"/>
      <c r="B8" s="332" t="str">
        <f t="shared" si="1"/>
        <v/>
      </c>
      <c r="C8" s="367" t="str">
        <f t="shared" si="2"/>
        <v/>
      </c>
      <c r="D8" s="361" t="str">
        <f t="shared" si="3"/>
        <v/>
      </c>
      <c r="E8" s="361" t="str">
        <f t="shared" si="4"/>
        <v/>
      </c>
      <c r="F8" s="361" t="str">
        <f t="shared" si="5"/>
        <v/>
      </c>
      <c r="G8" s="361" t="str">
        <f t="shared" si="6"/>
        <v/>
      </c>
      <c r="H8" s="361" t="str">
        <f t="shared" si="7"/>
        <v/>
      </c>
      <c r="I8" s="361" t="str">
        <f t="shared" si="8"/>
        <v/>
      </c>
      <c r="J8" s="333"/>
      <c r="K8" s="331" t="str">
        <f>IF(Umse!$C$24=0,"",IF(OR($A$1="2.3.",$A$1="2.4.",$A$1="2.7.",$A$1="2.8.",$A$1="2.11.",$A$1="2.12."),T8,V8))</f>
        <v/>
      </c>
      <c r="L8" s="363" t="str">
        <f>IF(Umse!$C$24=0,"",IF(OR($A$1="2.3.",$A$1="2.4.",$A$1="2.7.",$A$1="2.8.",$A$1="2.11.",$A$1="2.12."),U8,W8))</f>
        <v/>
      </c>
      <c r="M8" s="335" t="str">
        <f>IF(Umse!$C$24=0,"",IF(OR($A$1="2.1.",$A$1="2.2.",$A$1="2.5.",$A$1="2.6.",$A$1="2.9.",$A$1="2.10."),'V zwTab'!D9,IF(OR($A$1="2.3.",$A$1="2.4.",$A$1="2.7.",$A$1="2.8.",$A$1="2.11.",$A$1="2.12."),'V zwTab'!M9,"")))</f>
        <v/>
      </c>
      <c r="N8" s="335" t="str">
        <f>IF(Umse!$C$24=0,"",IF(OR($A$1="2.1.",$A$1="2.2.",$A$1="2.5.",$A$1="2.6.",$A$1="2.9.",$A$1="2.10."),'V zwTab'!E9,IF(OR($A$1="2.3.",$A$1="2.4.",$A$1="2.7.",$A$1="2.8.",$A$1="2.11.",$A$1="2.12."),'V zwTab'!N9,"")))</f>
        <v/>
      </c>
      <c r="O8" s="335" t="str">
        <f>IF(Umse!$C$24=0,"",IF(OR($A$1="2.1.",$A$1="2.2.",$A$1="2.5.",$A$1="2.6.",$A$1="2.9.",$A$1="2.10."),'V zwTab'!F9,IF(OR($A$1="2.3.",$A$1="2.4.",$A$1="2.7.",$A$1="2.8.",$A$1="2.11.",$A$1="2.12."),'V zwTab'!O9,"")))</f>
        <v/>
      </c>
      <c r="P8" s="335" t="str">
        <f>IF(Umse!$C$24=0,"",IF(OR($A$1="2.1.",$A$1="2.2.",$A$1="2.5.",$A$1="2.6.",$A$1="2.9.",$A$1="2.10."),'V zwTab'!G9,IF(OR($A$1="2.3.",$A$1="2.4.",$A$1="2.7.",$A$1="2.8.",$A$1="2.11.",$A$1="2.12."),'V zwTab'!P9,"")))</f>
        <v/>
      </c>
      <c r="Q8" s="335" t="str">
        <f>IF(Umse!$C$24=0,"",IF(OR($A$1="2.1.",$A$1="2.2.",$A$1="2.5.",$A$1="2.6.",$A$1="2.9.",$A$1="2.10."),'V zwTab'!H9,IF(OR($A$1="2.3.",$A$1="2.4.",$A$1="2.7.",$A$1="2.8.",$A$1="2.11.",$A$1="2.12."),'V zwTab'!Q9,"")))</f>
        <v/>
      </c>
      <c r="R8" s="335" t="str">
        <f>IF(Umse!$C$24=0,"",IF(OR($A$1="2.1.",$A$1="2.2.",$A$1="2.5.",$A$1="2.6.",$A$1="2.9.",$A$1="2.10."),'V zwTab'!I9,IF(OR($A$1="2.3.",$A$1="2.4.",$A$1="2.7.",$A$1="2.8.",$A$1="2.11.",$A$1="2.12."),'V zwTab'!R9,"")))</f>
        <v/>
      </c>
      <c r="S8" s="358"/>
      <c r="T8" s="323" t="s">
        <v>274</v>
      </c>
      <c r="U8" s="367">
        <v>14</v>
      </c>
      <c r="V8" s="370" t="str">
        <f t="shared" si="9"/>
        <v/>
      </c>
      <c r="W8" s="517" t="str">
        <f t="shared" si="10"/>
        <v/>
      </c>
      <c r="X8" s="515">
        <v>11</v>
      </c>
      <c r="Y8" s="431">
        <v>11</v>
      </c>
      <c r="Z8" s="515" t="s">
        <v>6</v>
      </c>
      <c r="AA8" s="431" t="s">
        <v>6</v>
      </c>
    </row>
    <row r="9" spans="1:27" ht="11.25" customHeight="1">
      <c r="B9" s="332" t="str">
        <f t="shared" si="1"/>
        <v/>
      </c>
      <c r="C9" s="367" t="str">
        <f t="shared" si="2"/>
        <v/>
      </c>
      <c r="D9" s="361" t="str">
        <f t="shared" si="3"/>
        <v/>
      </c>
      <c r="E9" s="361" t="str">
        <f t="shared" si="4"/>
        <v/>
      </c>
      <c r="F9" s="361" t="str">
        <f t="shared" si="5"/>
        <v/>
      </c>
      <c r="G9" s="361" t="str">
        <f t="shared" si="6"/>
        <v/>
      </c>
      <c r="H9" s="361" t="str">
        <f t="shared" si="7"/>
        <v/>
      </c>
      <c r="I9" s="361" t="str">
        <f t="shared" si="8"/>
        <v/>
      </c>
      <c r="J9" s="333"/>
      <c r="K9" s="331" t="str">
        <f>IF(Umse!$C$24=0,"",IF(OR($A$1="2.3.",$A$1="2.4.",$A$1="2.7.",$A$1="2.8.",$A$1="2.11.",$A$1="2.12."),T9,V9))</f>
        <v/>
      </c>
      <c r="L9" s="363" t="str">
        <f>IF(Umse!$C$24=0,"",IF(OR($A$1="2.3.",$A$1="2.4.",$A$1="2.7.",$A$1="2.8.",$A$1="2.11.",$A$1="2.12."),U9,W9))</f>
        <v/>
      </c>
      <c r="M9" s="335" t="str">
        <f>IF(Umse!$C$24=0,"",IF(OR($A$1="2.1.",$A$1="2.2.",$A$1="2.5.",$A$1="2.6.",$A$1="2.9.",$A$1="2.10."),'V zwTab'!D10,IF(OR($A$1="2.3.",$A$1="2.4.",$A$1="2.7.",$A$1="2.8.",$A$1="2.11.",$A$1="2.12."),'V zwTab'!M10,"")))</f>
        <v/>
      </c>
      <c r="N9" s="335" t="str">
        <f>IF(Umse!$C$24=0,"",IF(OR($A$1="2.1.",$A$1="2.2.",$A$1="2.5.",$A$1="2.6.",$A$1="2.9.",$A$1="2.10."),'V zwTab'!E10,IF(OR($A$1="2.3.",$A$1="2.4.",$A$1="2.7.",$A$1="2.8.",$A$1="2.11.",$A$1="2.12."),'V zwTab'!N10,"")))</f>
        <v/>
      </c>
      <c r="O9" s="335" t="str">
        <f>IF(Umse!$C$24=0,"",IF(OR($A$1="2.1.",$A$1="2.2.",$A$1="2.5.",$A$1="2.6.",$A$1="2.9.",$A$1="2.10."),'V zwTab'!F10,IF(OR($A$1="2.3.",$A$1="2.4.",$A$1="2.7.",$A$1="2.8.",$A$1="2.11.",$A$1="2.12."),'V zwTab'!O10,"")))</f>
        <v/>
      </c>
      <c r="P9" s="335" t="str">
        <f>IF(Umse!$C$24=0,"",IF(OR($A$1="2.1.",$A$1="2.2.",$A$1="2.5.",$A$1="2.6.",$A$1="2.9.",$A$1="2.10."),'V zwTab'!G10,IF(OR($A$1="2.3.",$A$1="2.4.",$A$1="2.7.",$A$1="2.8.",$A$1="2.11.",$A$1="2.12."),'V zwTab'!P10,"")))</f>
        <v/>
      </c>
      <c r="Q9" s="335" t="str">
        <f>IF(Umse!$C$24=0,"",IF(OR($A$1="2.1.",$A$1="2.2.",$A$1="2.5.",$A$1="2.6.",$A$1="2.9.",$A$1="2.10."),'V zwTab'!H10,IF(OR($A$1="2.3.",$A$1="2.4.",$A$1="2.7.",$A$1="2.8.",$A$1="2.11.",$A$1="2.12."),'V zwTab'!Q10,"")))</f>
        <v/>
      </c>
      <c r="R9" s="335" t="str">
        <f>IF(Umse!$C$24=0,"",IF(OR($A$1="2.1.",$A$1="2.2.",$A$1="2.5.",$A$1="2.6.",$A$1="2.9.",$A$1="2.10."),'V zwTab'!I10,IF(OR($A$1="2.3.",$A$1="2.4.",$A$1="2.7.",$A$1="2.8.",$A$1="2.11.",$A$1="2.12."),'V zwTab'!R10,"")))</f>
        <v/>
      </c>
      <c r="S9" s="358"/>
      <c r="T9" s="323" t="s">
        <v>274</v>
      </c>
      <c r="U9" s="367" t="s">
        <v>16</v>
      </c>
      <c r="V9" s="370" t="str">
        <f t="shared" si="9"/>
        <v/>
      </c>
      <c r="W9" s="517" t="str">
        <f t="shared" si="10"/>
        <v/>
      </c>
      <c r="X9" s="515">
        <v>10</v>
      </c>
      <c r="Y9" s="431">
        <v>10</v>
      </c>
      <c r="Z9" s="515" t="s">
        <v>6</v>
      </c>
      <c r="AA9" s="431" t="s">
        <v>6</v>
      </c>
    </row>
    <row r="10" spans="1:27" ht="11.25" customHeight="1">
      <c r="B10" s="332" t="str">
        <f t="shared" si="1"/>
        <v/>
      </c>
      <c r="C10" s="367" t="str">
        <f t="shared" si="2"/>
        <v/>
      </c>
      <c r="D10" s="361" t="str">
        <f t="shared" si="3"/>
        <v/>
      </c>
      <c r="E10" s="361" t="str">
        <f t="shared" si="4"/>
        <v/>
      </c>
      <c r="F10" s="361" t="str">
        <f t="shared" si="5"/>
        <v/>
      </c>
      <c r="G10" s="361" t="str">
        <f t="shared" si="6"/>
        <v/>
      </c>
      <c r="H10" s="361" t="str">
        <f t="shared" si="7"/>
        <v/>
      </c>
      <c r="I10" s="361" t="str">
        <f t="shared" si="8"/>
        <v/>
      </c>
      <c r="J10" s="333"/>
      <c r="K10" s="331" t="str">
        <f>IF(Umse!$C$24=0,"",IF(OR($A$1="2.3.",$A$1="2.4.",$A$1="2.7.",$A$1="2.8.",$A$1="2.11.",$A$1="2.12."),T10,V10))</f>
        <v/>
      </c>
      <c r="L10" s="363" t="str">
        <f>IF(Umse!$C$24=0,"",IF(OR($A$1="2.3.",$A$1="2.4.",$A$1="2.7.",$A$1="2.8.",$A$1="2.11.",$A$1="2.12."),U10,W10))</f>
        <v/>
      </c>
      <c r="M10" s="335" t="str">
        <f>IF(Umse!$C$24=0,"",IF(OR($A$1="2.1.",$A$1="2.2.",$A$1="2.5.",$A$1="2.6.",$A$1="2.9.",$A$1="2.10."),'V zwTab'!D11,IF(OR($A$1="2.3.",$A$1="2.4.",$A$1="2.7.",$A$1="2.8.",$A$1="2.11.",$A$1="2.12."),'V zwTab'!M11,"")))</f>
        <v/>
      </c>
      <c r="N10" s="335" t="str">
        <f>IF(Umse!$C$24=0,"",IF(OR($A$1="2.1.",$A$1="2.2.",$A$1="2.5.",$A$1="2.6.",$A$1="2.9.",$A$1="2.10."),'V zwTab'!E11,IF(OR($A$1="2.3.",$A$1="2.4.",$A$1="2.7.",$A$1="2.8.",$A$1="2.11.",$A$1="2.12."),'V zwTab'!N11,"")))</f>
        <v/>
      </c>
      <c r="O10" s="335" t="str">
        <f>IF(Umse!$C$24=0,"",IF(OR($A$1="2.1.",$A$1="2.2.",$A$1="2.5.",$A$1="2.6.",$A$1="2.9.",$A$1="2.10."),'V zwTab'!F11,IF(OR($A$1="2.3.",$A$1="2.4.",$A$1="2.7.",$A$1="2.8.",$A$1="2.11.",$A$1="2.12."),'V zwTab'!O11,"")))</f>
        <v/>
      </c>
      <c r="P10" s="335" t="str">
        <f>IF(Umse!$C$24=0,"",IF(OR($A$1="2.1.",$A$1="2.2.",$A$1="2.5.",$A$1="2.6.",$A$1="2.9.",$A$1="2.10."),'V zwTab'!G11,IF(OR($A$1="2.3.",$A$1="2.4.",$A$1="2.7.",$A$1="2.8.",$A$1="2.11.",$A$1="2.12."),'V zwTab'!P11,"")))</f>
        <v/>
      </c>
      <c r="Q10" s="335" t="str">
        <f>IF(Umse!$C$24=0,"",IF(OR($A$1="2.1.",$A$1="2.2.",$A$1="2.5.",$A$1="2.6.",$A$1="2.9.",$A$1="2.10."),'V zwTab'!H11,IF(OR($A$1="2.3.",$A$1="2.4.",$A$1="2.7.",$A$1="2.8.",$A$1="2.11.",$A$1="2.12."),'V zwTab'!Q11,"")))</f>
        <v/>
      </c>
      <c r="R10" s="335" t="str">
        <f>IF(Umse!$C$24=0,"",IF(OR($A$1="2.1.",$A$1="2.2.",$A$1="2.5.",$A$1="2.6.",$A$1="2.9.",$A$1="2.10."),'V zwTab'!I11,IF(OR($A$1="2.3.",$A$1="2.4.",$A$1="2.7.",$A$1="2.8.",$A$1="2.11.",$A$1="2.12."),'V zwTab'!R11,"")))</f>
        <v/>
      </c>
      <c r="S10" s="346"/>
      <c r="T10" s="323" t="s">
        <v>274</v>
      </c>
      <c r="U10" s="367">
        <v>13</v>
      </c>
      <c r="V10" s="370" t="str">
        <f t="shared" si="9"/>
        <v/>
      </c>
      <c r="W10" s="517" t="str">
        <f t="shared" si="10"/>
        <v/>
      </c>
      <c r="X10" s="515">
        <v>9</v>
      </c>
      <c r="Y10" s="431" t="s">
        <v>284</v>
      </c>
      <c r="Z10" s="515" t="s">
        <v>6</v>
      </c>
      <c r="AA10" s="431" t="s">
        <v>6</v>
      </c>
    </row>
    <row r="11" spans="1:27" ht="11.25" customHeight="1">
      <c r="B11" s="332" t="str">
        <f t="shared" si="1"/>
        <v/>
      </c>
      <c r="C11" s="367" t="str">
        <f t="shared" si="2"/>
        <v/>
      </c>
      <c r="D11" s="361" t="str">
        <f t="shared" si="3"/>
        <v/>
      </c>
      <c r="E11" s="361" t="str">
        <f t="shared" si="4"/>
        <v/>
      </c>
      <c r="F11" s="361" t="str">
        <f t="shared" si="5"/>
        <v/>
      </c>
      <c r="G11" s="361" t="str">
        <f t="shared" si="6"/>
        <v/>
      </c>
      <c r="H11" s="361" t="str">
        <f t="shared" si="7"/>
        <v/>
      </c>
      <c r="I11" s="361" t="str">
        <f t="shared" si="8"/>
        <v/>
      </c>
      <c r="J11" s="333"/>
      <c r="K11" s="331" t="str">
        <f>IF(Umse!$C$24=0,"",IF(OR($A$1="2.3.",$A$1="2.4.",$A$1="2.7.",$A$1="2.8.",$A$1="2.11.",$A$1="2.12."),T11,V11))</f>
        <v/>
      </c>
      <c r="L11" s="363" t="str">
        <f>IF(Umse!$C$24=0,"",IF(OR($A$1="2.3.",$A$1="2.4.",$A$1="2.7.",$A$1="2.8.",$A$1="2.11.",$A$1="2.12."),U11,W11))</f>
        <v/>
      </c>
      <c r="M11" s="335" t="str">
        <f>IF(Umse!$C$24=0,"",IF(OR($A$1="2.1.",$A$1="2.2.",$A$1="2.5.",$A$1="2.6.",$A$1="2.9.",$A$1="2.10."),'V zwTab'!D12,IF(OR($A$1="2.3.",$A$1="2.4.",$A$1="2.7.",$A$1="2.8.",$A$1="2.11.",$A$1="2.12."),'V zwTab'!M12,"")))</f>
        <v/>
      </c>
      <c r="N11" s="335" t="str">
        <f>IF(Umse!$C$24=0,"",IF(OR($A$1="2.1.",$A$1="2.2.",$A$1="2.5.",$A$1="2.6.",$A$1="2.9.",$A$1="2.10."),'V zwTab'!E12,IF(OR($A$1="2.3.",$A$1="2.4.",$A$1="2.7.",$A$1="2.8.",$A$1="2.11.",$A$1="2.12."),'V zwTab'!N12,"")))</f>
        <v/>
      </c>
      <c r="O11" s="335" t="str">
        <f>IF(Umse!$C$24=0,"",IF(OR($A$1="2.1.",$A$1="2.2.",$A$1="2.5.",$A$1="2.6.",$A$1="2.9.",$A$1="2.10."),'V zwTab'!F12,IF(OR($A$1="2.3.",$A$1="2.4.",$A$1="2.7.",$A$1="2.8.",$A$1="2.11.",$A$1="2.12."),'V zwTab'!O12,"")))</f>
        <v/>
      </c>
      <c r="P11" s="335" t="str">
        <f>IF(Umse!$C$24=0,"",IF(OR($A$1="2.1.",$A$1="2.2.",$A$1="2.5.",$A$1="2.6.",$A$1="2.9.",$A$1="2.10."),'V zwTab'!G12,IF(OR($A$1="2.3.",$A$1="2.4.",$A$1="2.7.",$A$1="2.8.",$A$1="2.11.",$A$1="2.12."),'V zwTab'!P12,"")))</f>
        <v/>
      </c>
      <c r="Q11" s="335" t="str">
        <f>IF(Umse!$C$24=0,"",IF(OR($A$1="2.1.",$A$1="2.2.",$A$1="2.5.",$A$1="2.6.",$A$1="2.9.",$A$1="2.10."),'V zwTab'!H12,IF(OR($A$1="2.3.",$A$1="2.4.",$A$1="2.7.",$A$1="2.8.",$A$1="2.11.",$A$1="2.12."),'V zwTab'!Q12,"")))</f>
        <v/>
      </c>
      <c r="R11" s="335" t="str">
        <f>IF(Umse!$C$24=0,"",IF(OR($A$1="2.1.",$A$1="2.2.",$A$1="2.5.",$A$1="2.6.",$A$1="2.9.",$A$1="2.10."),'V zwTab'!I12,IF(OR($A$1="2.3.",$A$1="2.4.",$A$1="2.7.",$A$1="2.8.",$A$1="2.11.",$A$1="2.12."),'V zwTab'!R12,"")))</f>
        <v/>
      </c>
      <c r="S11" s="359"/>
      <c r="T11" s="323" t="s">
        <v>274</v>
      </c>
      <c r="U11" s="367" t="s">
        <v>332</v>
      </c>
      <c r="V11" s="370" t="str">
        <f t="shared" si="9"/>
        <v/>
      </c>
      <c r="W11" s="517" t="str">
        <f t="shared" si="10"/>
        <v/>
      </c>
      <c r="X11" s="515">
        <v>8</v>
      </c>
      <c r="Y11" s="431" t="s">
        <v>251</v>
      </c>
      <c r="Z11" s="515" t="s">
        <v>6</v>
      </c>
      <c r="AA11" s="431" t="s">
        <v>6</v>
      </c>
    </row>
    <row r="12" spans="1:27" ht="11.25" customHeight="1">
      <c r="B12" s="332" t="str">
        <f t="shared" si="1"/>
        <v/>
      </c>
      <c r="C12" s="367" t="str">
        <f t="shared" si="2"/>
        <v/>
      </c>
      <c r="D12" s="361" t="str">
        <f t="shared" si="3"/>
        <v/>
      </c>
      <c r="E12" s="361" t="str">
        <f t="shared" si="4"/>
        <v/>
      </c>
      <c r="F12" s="361" t="str">
        <f t="shared" si="5"/>
        <v/>
      </c>
      <c r="G12" s="361" t="str">
        <f t="shared" si="6"/>
        <v/>
      </c>
      <c r="H12" s="361" t="str">
        <f t="shared" si="7"/>
        <v/>
      </c>
      <c r="I12" s="361" t="str">
        <f t="shared" si="8"/>
        <v/>
      </c>
      <c r="J12" s="333"/>
      <c r="K12" s="331" t="str">
        <f>IF(Umse!$C$24=0,"",IF(OR($A$1="2.3.",$A$1="2.4.",$A$1="2.7.",$A$1="2.8.",$A$1="2.11.",$A$1="2.12."),T12,V12))</f>
        <v/>
      </c>
      <c r="L12" s="363" t="str">
        <f>IF(Umse!$C$24=0,"",IF(OR($A$1="2.3.",$A$1="2.4.",$A$1="2.7.",$A$1="2.8.",$A$1="2.11.",$A$1="2.12."),U12,W12))</f>
        <v/>
      </c>
      <c r="M12" s="335" t="str">
        <f>IF(Umse!$C$24=0,"",IF(OR($A$1="2.1.",$A$1="2.2.",$A$1="2.5.",$A$1="2.6.",$A$1="2.9.",$A$1="2.10."),'V zwTab'!D13,IF(OR($A$1="2.3.",$A$1="2.4.",$A$1="2.7.",$A$1="2.8.",$A$1="2.11.",$A$1="2.12."),'V zwTab'!M13,"")))</f>
        <v/>
      </c>
      <c r="N12" s="335" t="str">
        <f>IF(Umse!$C$24=0,"",IF(OR($A$1="2.1.",$A$1="2.2.",$A$1="2.5.",$A$1="2.6.",$A$1="2.9.",$A$1="2.10."),'V zwTab'!E13,IF(OR($A$1="2.3.",$A$1="2.4.",$A$1="2.7.",$A$1="2.8.",$A$1="2.11.",$A$1="2.12."),'V zwTab'!N13,"")))</f>
        <v/>
      </c>
      <c r="O12" s="335" t="str">
        <f>IF(Umse!$C$24=0,"",IF(OR($A$1="2.1.",$A$1="2.2.",$A$1="2.5.",$A$1="2.6.",$A$1="2.9.",$A$1="2.10."),'V zwTab'!F13,IF(OR($A$1="2.3.",$A$1="2.4.",$A$1="2.7.",$A$1="2.8.",$A$1="2.11.",$A$1="2.12."),'V zwTab'!O13,"")))</f>
        <v/>
      </c>
      <c r="P12" s="335" t="str">
        <f>IF(Umse!$C$24=0,"",IF(OR($A$1="2.1.",$A$1="2.2.",$A$1="2.5.",$A$1="2.6.",$A$1="2.9.",$A$1="2.10."),'V zwTab'!G13,IF(OR($A$1="2.3.",$A$1="2.4.",$A$1="2.7.",$A$1="2.8.",$A$1="2.11.",$A$1="2.12."),'V zwTab'!P13,"")))</f>
        <v/>
      </c>
      <c r="Q12" s="335" t="str">
        <f>IF(Umse!$C$24=0,"",IF(OR($A$1="2.1.",$A$1="2.2.",$A$1="2.5.",$A$1="2.6.",$A$1="2.9.",$A$1="2.10."),'V zwTab'!H13,IF(OR($A$1="2.3.",$A$1="2.4.",$A$1="2.7.",$A$1="2.8.",$A$1="2.11.",$A$1="2.12."),'V zwTab'!Q13,"")))</f>
        <v/>
      </c>
      <c r="R12" s="335" t="str">
        <f>IF(Umse!$C$24=0,"",IF(OR($A$1="2.1.",$A$1="2.2.",$A$1="2.5.",$A$1="2.6.",$A$1="2.9.",$A$1="2.10."),'V zwTab'!I13,IF(OR($A$1="2.3.",$A$1="2.4.",$A$1="2.7.",$A$1="2.8.",$A$1="2.11.",$A$1="2.12."),'V zwTab'!R13,"")))</f>
        <v/>
      </c>
      <c r="S12" s="359"/>
      <c r="T12" s="323" t="s">
        <v>274</v>
      </c>
      <c r="U12" s="367">
        <v>12</v>
      </c>
      <c r="V12" s="370" t="str">
        <f t="shared" si="9"/>
        <v/>
      </c>
      <c r="W12" s="517" t="str">
        <f t="shared" si="10"/>
        <v/>
      </c>
      <c r="X12" s="515">
        <v>7</v>
      </c>
      <c r="Y12" s="431" t="s">
        <v>252</v>
      </c>
      <c r="Z12" s="515" t="s">
        <v>6</v>
      </c>
      <c r="AA12" s="431" t="s">
        <v>6</v>
      </c>
    </row>
    <row r="13" spans="1:27" ht="11.25" customHeight="1">
      <c r="B13" s="332" t="str">
        <f t="shared" si="1"/>
        <v/>
      </c>
      <c r="C13" s="367" t="str">
        <f t="shared" si="2"/>
        <v/>
      </c>
      <c r="D13" s="361" t="str">
        <f t="shared" si="3"/>
        <v/>
      </c>
      <c r="E13" s="361" t="str">
        <f t="shared" si="4"/>
        <v/>
      </c>
      <c r="F13" s="361" t="str">
        <f t="shared" si="5"/>
        <v/>
      </c>
      <c r="G13" s="361" t="str">
        <f t="shared" si="6"/>
        <v/>
      </c>
      <c r="H13" s="361" t="str">
        <f t="shared" si="7"/>
        <v/>
      </c>
      <c r="I13" s="361" t="str">
        <f t="shared" si="8"/>
        <v/>
      </c>
      <c r="J13" s="333"/>
      <c r="K13" s="331" t="str">
        <f>IF(Umse!$C$24=0,"",IF(OR($A$1="2.3.",$A$1="2.4.",$A$1="2.7.",$A$1="2.8.",$A$1="2.11.",$A$1="2.12."),T13,V13))</f>
        <v/>
      </c>
      <c r="L13" s="363" t="str">
        <f>IF(Umse!$C$24=0,"",IF(OR($A$1="2.3.",$A$1="2.4.",$A$1="2.7.",$A$1="2.8.",$A$1="2.11.",$A$1="2.12."),U13,W13))</f>
        <v/>
      </c>
      <c r="M13" s="335" t="str">
        <f>IF(Umse!$C$24=0,"",IF(OR($A$1="2.1.",$A$1="2.2.",$A$1="2.5.",$A$1="2.6.",$A$1="2.9.",$A$1="2.10."),'V zwTab'!D14,IF(OR($A$1="2.3.",$A$1="2.4.",$A$1="2.7.",$A$1="2.8.",$A$1="2.11.",$A$1="2.12."),'V zwTab'!M14,"")))</f>
        <v/>
      </c>
      <c r="N13" s="335" t="str">
        <f>IF(Umse!$C$24=0,"",IF(OR($A$1="2.1.",$A$1="2.2.",$A$1="2.5.",$A$1="2.6.",$A$1="2.9.",$A$1="2.10."),'V zwTab'!E14,IF(OR($A$1="2.3.",$A$1="2.4.",$A$1="2.7.",$A$1="2.8.",$A$1="2.11.",$A$1="2.12."),'V zwTab'!N14,"")))</f>
        <v/>
      </c>
      <c r="O13" s="335" t="str">
        <f>IF(Umse!$C$24=0,"",IF(OR($A$1="2.1.",$A$1="2.2.",$A$1="2.5.",$A$1="2.6.",$A$1="2.9.",$A$1="2.10."),'V zwTab'!F14,IF(OR($A$1="2.3.",$A$1="2.4.",$A$1="2.7.",$A$1="2.8.",$A$1="2.11.",$A$1="2.12."),'V zwTab'!O14,"")))</f>
        <v/>
      </c>
      <c r="P13" s="335" t="str">
        <f>IF(Umse!$C$24=0,"",IF(OR($A$1="2.1.",$A$1="2.2.",$A$1="2.5.",$A$1="2.6.",$A$1="2.9.",$A$1="2.10."),'V zwTab'!G14,IF(OR($A$1="2.3.",$A$1="2.4.",$A$1="2.7.",$A$1="2.8.",$A$1="2.11.",$A$1="2.12."),'V zwTab'!P14,"")))</f>
        <v/>
      </c>
      <c r="Q13" s="335" t="str">
        <f>IF(Umse!$C$24=0,"",IF(OR($A$1="2.1.",$A$1="2.2.",$A$1="2.5.",$A$1="2.6.",$A$1="2.9.",$A$1="2.10."),'V zwTab'!H14,IF(OR($A$1="2.3.",$A$1="2.4.",$A$1="2.7.",$A$1="2.8.",$A$1="2.11.",$A$1="2.12."),'V zwTab'!Q14,"")))</f>
        <v/>
      </c>
      <c r="R13" s="335" t="str">
        <f>IF(Umse!$C$24=0,"",IF(OR($A$1="2.1.",$A$1="2.2.",$A$1="2.5.",$A$1="2.6.",$A$1="2.9.",$A$1="2.10."),'V zwTab'!I14,IF(OR($A$1="2.3.",$A$1="2.4.",$A$1="2.7.",$A$1="2.8.",$A$1="2.11.",$A$1="2.12."),'V zwTab'!R14,"")))</f>
        <v/>
      </c>
      <c r="S13" s="359"/>
      <c r="T13" s="323" t="s">
        <v>274</v>
      </c>
      <c r="U13" s="367" t="s">
        <v>333</v>
      </c>
      <c r="V13" s="370" t="str">
        <f t="shared" si="9"/>
        <v/>
      </c>
      <c r="W13" s="517" t="str">
        <f t="shared" si="10"/>
        <v/>
      </c>
      <c r="X13" s="515">
        <v>6</v>
      </c>
      <c r="Y13" s="431">
        <v>8</v>
      </c>
      <c r="Z13" s="515" t="s">
        <v>6</v>
      </c>
      <c r="AA13" s="431" t="s">
        <v>6</v>
      </c>
    </row>
    <row r="14" spans="1:27" ht="11.25" customHeight="1">
      <c r="B14" s="332" t="str">
        <f t="shared" si="1"/>
        <v/>
      </c>
      <c r="C14" s="367" t="str">
        <f t="shared" si="2"/>
        <v/>
      </c>
      <c r="D14" s="361" t="str">
        <f t="shared" si="3"/>
        <v/>
      </c>
      <c r="E14" s="361" t="str">
        <f t="shared" si="4"/>
        <v/>
      </c>
      <c r="F14" s="361" t="str">
        <f t="shared" si="5"/>
        <v/>
      </c>
      <c r="G14" s="361" t="str">
        <f t="shared" si="6"/>
        <v/>
      </c>
      <c r="H14" s="361" t="str">
        <f t="shared" si="7"/>
        <v/>
      </c>
      <c r="I14" s="361" t="str">
        <f t="shared" si="8"/>
        <v/>
      </c>
      <c r="J14" s="333"/>
      <c r="K14" s="331" t="str">
        <f>IF(Umse!$C$24=0,"",IF(OR($A$1="2.3.",$A$1="2.4.",$A$1="2.7.",$A$1="2.8.",$A$1="2.11.",$A$1="2.12."),T14,V14))</f>
        <v/>
      </c>
      <c r="L14" s="363" t="str">
        <f>IF(Umse!$C$24=0,"",IF(OR($A$1="2.3.",$A$1="2.4.",$A$1="2.7.",$A$1="2.8.",$A$1="2.11.",$A$1="2.12."),U14,W14))</f>
        <v/>
      </c>
      <c r="M14" s="335" t="str">
        <f>IF(Umse!$C$24=0,"",IF(OR($A$1="2.1.",$A$1="2.2.",$A$1="2.5.",$A$1="2.6.",$A$1="2.9.",$A$1="2.10."),'V zwTab'!D15,IF(OR($A$1="2.3.",$A$1="2.4.",$A$1="2.7.",$A$1="2.8.",$A$1="2.11.",$A$1="2.12."),'V zwTab'!M15,"")))</f>
        <v/>
      </c>
      <c r="N14" s="335" t="str">
        <f>IF(Umse!$C$24=0,"",IF(OR($A$1="2.1.",$A$1="2.2.",$A$1="2.5.",$A$1="2.6.",$A$1="2.9.",$A$1="2.10."),'V zwTab'!E15,IF(OR($A$1="2.3.",$A$1="2.4.",$A$1="2.7.",$A$1="2.8.",$A$1="2.11.",$A$1="2.12."),'V zwTab'!N15,"")))</f>
        <v/>
      </c>
      <c r="O14" s="335" t="str">
        <f>IF(Umse!$C$24=0,"",IF(OR($A$1="2.1.",$A$1="2.2.",$A$1="2.5.",$A$1="2.6.",$A$1="2.9.",$A$1="2.10."),'V zwTab'!F15,IF(OR($A$1="2.3.",$A$1="2.4.",$A$1="2.7.",$A$1="2.8.",$A$1="2.11.",$A$1="2.12."),'V zwTab'!O15,"")))</f>
        <v/>
      </c>
      <c r="P14" s="335" t="str">
        <f>IF(Umse!$C$24=0,"",IF(OR($A$1="2.1.",$A$1="2.2.",$A$1="2.5.",$A$1="2.6.",$A$1="2.9.",$A$1="2.10."),'V zwTab'!G15,IF(OR($A$1="2.3.",$A$1="2.4.",$A$1="2.7.",$A$1="2.8.",$A$1="2.11.",$A$1="2.12."),'V zwTab'!P15,"")))</f>
        <v/>
      </c>
      <c r="Q14" s="335" t="str">
        <f>IF(Umse!$C$24=0,"",IF(OR($A$1="2.1.",$A$1="2.2.",$A$1="2.5.",$A$1="2.6.",$A$1="2.9.",$A$1="2.10."),'V zwTab'!H15,IF(OR($A$1="2.3.",$A$1="2.4.",$A$1="2.7.",$A$1="2.8.",$A$1="2.11.",$A$1="2.12."),'V zwTab'!Q15,"")))</f>
        <v/>
      </c>
      <c r="R14" s="335" t="str">
        <f>IF(Umse!$C$24=0,"",IF(OR($A$1="2.1.",$A$1="2.2.",$A$1="2.5.",$A$1="2.6.",$A$1="2.9.",$A$1="2.10."),'V zwTab'!I15,IF(OR($A$1="2.3.",$A$1="2.4.",$A$1="2.7.",$A$1="2.8.",$A$1="2.11.",$A$1="2.12."),'V zwTab'!R15,"")))</f>
        <v/>
      </c>
      <c r="S14" s="359"/>
      <c r="T14" s="323" t="s">
        <v>274</v>
      </c>
      <c r="U14" s="367" t="s">
        <v>280</v>
      </c>
      <c r="V14" s="370" t="str">
        <f t="shared" si="9"/>
        <v/>
      </c>
      <c r="W14" s="517" t="str">
        <f t="shared" si="10"/>
        <v/>
      </c>
      <c r="X14" s="515">
        <v>5</v>
      </c>
      <c r="Y14" s="431">
        <v>7</v>
      </c>
      <c r="Z14" s="515" t="s">
        <v>6</v>
      </c>
      <c r="AA14" s="431" t="s">
        <v>6</v>
      </c>
    </row>
    <row r="15" spans="1:27" ht="11.25" customHeight="1">
      <c r="B15" s="332" t="str">
        <f t="shared" si="1"/>
        <v/>
      </c>
      <c r="C15" s="367" t="str">
        <f t="shared" si="2"/>
        <v/>
      </c>
      <c r="D15" s="361" t="str">
        <f t="shared" si="3"/>
        <v/>
      </c>
      <c r="E15" s="361" t="str">
        <f t="shared" si="4"/>
        <v/>
      </c>
      <c r="F15" s="361" t="str">
        <f t="shared" si="5"/>
        <v/>
      </c>
      <c r="G15" s="361" t="str">
        <f t="shared" si="6"/>
        <v/>
      </c>
      <c r="H15" s="361" t="str">
        <f t="shared" si="7"/>
        <v/>
      </c>
      <c r="I15" s="361" t="str">
        <f t="shared" si="8"/>
        <v/>
      </c>
      <c r="J15" s="333"/>
      <c r="K15" s="331" t="str">
        <f>IF(Umse!$C$24=0,"",IF(OR($A$1="2.3.",$A$1="2.4.",$A$1="2.7.",$A$1="2.8.",$A$1="2.11.",$A$1="2.12."),T15,V15))</f>
        <v/>
      </c>
      <c r="L15" s="363" t="str">
        <f>IF(Umse!$C$24=0,"",IF(OR($A$1="2.3.",$A$1="2.4.",$A$1="2.7.",$A$1="2.8.",$A$1="2.11.",$A$1="2.12."),U15,W15))</f>
        <v/>
      </c>
      <c r="M15" s="335" t="str">
        <f>IF(Umse!$C$24=0,"",IF(OR($A$1="2.1.",$A$1="2.2.",$A$1="2.5.",$A$1="2.6.",$A$1="2.9.",$A$1="2.10."),'V zwTab'!D16,IF(OR($A$1="2.3.",$A$1="2.4.",$A$1="2.7.",$A$1="2.8.",$A$1="2.11.",$A$1="2.12."),'V zwTab'!M16,"")))</f>
        <v/>
      </c>
      <c r="N15" s="335" t="str">
        <f>IF(Umse!$C$24=0,"",IF(OR($A$1="2.1.",$A$1="2.2.",$A$1="2.5.",$A$1="2.6.",$A$1="2.9.",$A$1="2.10."),'V zwTab'!E16,IF(OR($A$1="2.3.",$A$1="2.4.",$A$1="2.7.",$A$1="2.8.",$A$1="2.11.",$A$1="2.12."),'V zwTab'!N16,"")))</f>
        <v/>
      </c>
      <c r="O15" s="335" t="str">
        <f>IF(Umse!$C$24=0,"",IF(OR($A$1="2.1.",$A$1="2.2.",$A$1="2.5.",$A$1="2.6.",$A$1="2.9.",$A$1="2.10."),'V zwTab'!F16,IF(OR($A$1="2.3.",$A$1="2.4.",$A$1="2.7.",$A$1="2.8.",$A$1="2.11.",$A$1="2.12."),'V zwTab'!O16,"")))</f>
        <v/>
      </c>
      <c r="P15" s="335" t="str">
        <f>IF(Umse!$C$24=0,"",IF(OR($A$1="2.1.",$A$1="2.2.",$A$1="2.5.",$A$1="2.6.",$A$1="2.9.",$A$1="2.10."),'V zwTab'!G16,IF(OR($A$1="2.3.",$A$1="2.4.",$A$1="2.7.",$A$1="2.8.",$A$1="2.11.",$A$1="2.12."),'V zwTab'!P16,"")))</f>
        <v/>
      </c>
      <c r="Q15" s="335" t="str">
        <f>IF(Umse!$C$24=0,"",IF(OR($A$1="2.1.",$A$1="2.2.",$A$1="2.5.",$A$1="2.6.",$A$1="2.9.",$A$1="2.10."),'V zwTab'!H16,IF(OR($A$1="2.3.",$A$1="2.4.",$A$1="2.7.",$A$1="2.8.",$A$1="2.11.",$A$1="2.12."),'V zwTab'!Q16,"")))</f>
        <v/>
      </c>
      <c r="R15" s="335" t="str">
        <f>IF(Umse!$C$24=0,"",IF(OR($A$1="2.1.",$A$1="2.2.",$A$1="2.5.",$A$1="2.6.",$A$1="2.9.",$A$1="2.10."),'V zwTab'!I16,IF(OR($A$1="2.3.",$A$1="2.4.",$A$1="2.7.",$A$1="2.8.",$A$1="2.11.",$A$1="2.12."),'V zwTab'!R16,"")))</f>
        <v/>
      </c>
      <c r="S15" s="359"/>
      <c r="T15" s="323" t="s">
        <v>274</v>
      </c>
      <c r="U15" s="367" t="s">
        <v>281</v>
      </c>
      <c r="V15" s="370" t="str">
        <f t="shared" si="9"/>
        <v/>
      </c>
      <c r="W15" s="517" t="str">
        <f t="shared" si="10"/>
        <v/>
      </c>
      <c r="X15" s="515">
        <v>4</v>
      </c>
      <c r="Y15" s="431">
        <v>6</v>
      </c>
      <c r="Z15" s="515" t="s">
        <v>6</v>
      </c>
      <c r="AA15" s="431" t="s">
        <v>6</v>
      </c>
    </row>
    <row r="16" spans="1:27" ht="11.25" customHeight="1">
      <c r="B16" s="332" t="str">
        <f t="shared" si="1"/>
        <v/>
      </c>
      <c r="C16" s="367" t="str">
        <f t="shared" si="2"/>
        <v/>
      </c>
      <c r="D16" s="361" t="str">
        <f t="shared" si="3"/>
        <v/>
      </c>
      <c r="E16" s="361" t="str">
        <f t="shared" si="4"/>
        <v/>
      </c>
      <c r="F16" s="361" t="str">
        <f t="shared" si="5"/>
        <v/>
      </c>
      <c r="G16" s="361" t="str">
        <f t="shared" si="6"/>
        <v/>
      </c>
      <c r="H16" s="361" t="str">
        <f t="shared" si="7"/>
        <v/>
      </c>
      <c r="I16" s="361" t="str">
        <f t="shared" si="8"/>
        <v/>
      </c>
      <c r="J16" s="333"/>
      <c r="K16" s="331" t="str">
        <f>IF(Umse!$C$24=0,"",IF(OR($A$1="2.3.",$A$1="2.4.",$A$1="2.7.",$A$1="2.8.",$A$1="2.11.",$A$1="2.12."),T16,V16))</f>
        <v/>
      </c>
      <c r="L16" s="363" t="str">
        <f>IF(Umse!$C$24=0,"",IF(OR($A$1="2.3.",$A$1="2.4.",$A$1="2.7.",$A$1="2.8.",$A$1="2.11.",$A$1="2.12."),U16,W16))</f>
        <v/>
      </c>
      <c r="M16" s="335" t="str">
        <f>IF(Umse!$C$24=0,"",IF(OR($A$1="2.1.",$A$1="2.2.",$A$1="2.5.",$A$1="2.6.",$A$1="2.9.",$A$1="2.10."),'V zwTab'!D17,IF(OR($A$1="2.3.",$A$1="2.4.",$A$1="2.7.",$A$1="2.8.",$A$1="2.11.",$A$1="2.12."),'V zwTab'!M17,"")))</f>
        <v/>
      </c>
      <c r="N16" s="335" t="str">
        <f>IF(Umse!$C$24=0,"",IF(OR($A$1="2.1.",$A$1="2.2.",$A$1="2.5.",$A$1="2.6.",$A$1="2.9.",$A$1="2.10."),'V zwTab'!E17,IF(OR($A$1="2.3.",$A$1="2.4.",$A$1="2.7.",$A$1="2.8.",$A$1="2.11.",$A$1="2.12."),'V zwTab'!N17,"")))</f>
        <v/>
      </c>
      <c r="O16" s="335" t="str">
        <f>IF(Umse!$C$24=0,"",IF(OR($A$1="2.1.",$A$1="2.2.",$A$1="2.5.",$A$1="2.6.",$A$1="2.9.",$A$1="2.10."),'V zwTab'!F17,IF(OR($A$1="2.3.",$A$1="2.4.",$A$1="2.7.",$A$1="2.8.",$A$1="2.11.",$A$1="2.12."),'V zwTab'!O17,"")))</f>
        <v/>
      </c>
      <c r="P16" s="335" t="str">
        <f>IF(Umse!$C$24=0,"",IF(OR($A$1="2.1.",$A$1="2.2.",$A$1="2.5.",$A$1="2.6.",$A$1="2.9.",$A$1="2.10."),'V zwTab'!G17,IF(OR($A$1="2.3.",$A$1="2.4.",$A$1="2.7.",$A$1="2.8.",$A$1="2.11.",$A$1="2.12."),'V zwTab'!P17,"")))</f>
        <v/>
      </c>
      <c r="Q16" s="335" t="str">
        <f>IF(Umse!$C$24=0,"",IF(OR($A$1="2.1.",$A$1="2.2.",$A$1="2.5.",$A$1="2.6.",$A$1="2.9.",$A$1="2.10."),'V zwTab'!H17,IF(OR($A$1="2.3.",$A$1="2.4.",$A$1="2.7.",$A$1="2.8.",$A$1="2.11.",$A$1="2.12."),'V zwTab'!Q17,"")))</f>
        <v/>
      </c>
      <c r="R16" s="335" t="str">
        <f>IF(Umse!$C$24=0,"",IF(OR($A$1="2.1.",$A$1="2.2.",$A$1="2.5.",$A$1="2.6.",$A$1="2.9.",$A$1="2.10."),'V zwTab'!I17,IF(OR($A$1="2.3.",$A$1="2.4.",$A$1="2.7.",$A$1="2.8.",$A$1="2.11.",$A$1="2.12."),'V zwTab'!R17,"")))</f>
        <v/>
      </c>
      <c r="S16" s="359"/>
      <c r="T16" s="323" t="s">
        <v>274</v>
      </c>
      <c r="U16" s="367">
        <v>10</v>
      </c>
      <c r="V16" s="370" t="str">
        <f t="shared" si="9"/>
        <v/>
      </c>
      <c r="W16" s="517" t="str">
        <f t="shared" si="10"/>
        <v/>
      </c>
      <c r="X16" s="515">
        <v>3</v>
      </c>
      <c r="Y16" s="431">
        <v>5</v>
      </c>
      <c r="Z16" s="515" t="s">
        <v>6</v>
      </c>
      <c r="AA16" s="431" t="s">
        <v>6</v>
      </c>
    </row>
    <row r="17" spans="2:27" ht="11.25" customHeight="1">
      <c r="B17" s="332" t="str">
        <f t="shared" si="1"/>
        <v/>
      </c>
      <c r="C17" s="367" t="str">
        <f t="shared" si="2"/>
        <v/>
      </c>
      <c r="D17" s="361" t="str">
        <f t="shared" si="3"/>
        <v/>
      </c>
      <c r="E17" s="361" t="str">
        <f t="shared" si="4"/>
        <v/>
      </c>
      <c r="F17" s="361" t="str">
        <f t="shared" si="5"/>
        <v/>
      </c>
      <c r="G17" s="361" t="str">
        <f t="shared" si="6"/>
        <v/>
      </c>
      <c r="H17" s="361" t="str">
        <f t="shared" si="7"/>
        <v/>
      </c>
      <c r="I17" s="361" t="str">
        <f t="shared" si="8"/>
        <v/>
      </c>
      <c r="J17" s="333"/>
      <c r="K17" s="331" t="str">
        <f>IF(Umse!$C$24=0,"",IF(OR($A$1="2.3.",$A$1="2.4.",$A$1="2.7.",$A$1="2.8.",$A$1="2.11.",$A$1="2.12."),T17,V17))</f>
        <v/>
      </c>
      <c r="L17" s="363" t="str">
        <f>IF(Umse!$C$24=0,"",IF(OR($A$1="2.3.",$A$1="2.4.",$A$1="2.7.",$A$1="2.8.",$A$1="2.11.",$A$1="2.12."),U17,W17))</f>
        <v/>
      </c>
      <c r="M17" s="335" t="str">
        <f>IF(Umse!$C$24=0,"",IF(OR($A$1="2.1.",$A$1="2.2.",$A$1="2.5.",$A$1="2.6.",$A$1="2.9.",$A$1="2.10."),'V zwTab'!D18,IF(OR($A$1="2.3.",$A$1="2.4.",$A$1="2.7.",$A$1="2.8.",$A$1="2.11.",$A$1="2.12."),'V zwTab'!M18,"")))</f>
        <v/>
      </c>
      <c r="N17" s="335" t="str">
        <f>IF(Umse!$C$24=0,"",IF(OR($A$1="2.1.",$A$1="2.2.",$A$1="2.5.",$A$1="2.6.",$A$1="2.9.",$A$1="2.10."),'V zwTab'!E18,IF(OR($A$1="2.3.",$A$1="2.4.",$A$1="2.7.",$A$1="2.8.",$A$1="2.11.",$A$1="2.12."),'V zwTab'!N18,"")))</f>
        <v/>
      </c>
      <c r="O17" s="335" t="str">
        <f>IF(Umse!$C$24=0,"",IF(OR($A$1="2.1.",$A$1="2.2.",$A$1="2.5.",$A$1="2.6.",$A$1="2.9.",$A$1="2.10."),'V zwTab'!F18,IF(OR($A$1="2.3.",$A$1="2.4.",$A$1="2.7.",$A$1="2.8.",$A$1="2.11.",$A$1="2.12."),'V zwTab'!O18,"")))</f>
        <v/>
      </c>
      <c r="P17" s="335" t="str">
        <f>IF(Umse!$C$24=0,"",IF(OR($A$1="2.1.",$A$1="2.2.",$A$1="2.5.",$A$1="2.6.",$A$1="2.9.",$A$1="2.10."),'V zwTab'!G18,IF(OR($A$1="2.3.",$A$1="2.4.",$A$1="2.7.",$A$1="2.8.",$A$1="2.11.",$A$1="2.12."),'V zwTab'!P18,"")))</f>
        <v/>
      </c>
      <c r="Q17" s="335" t="str">
        <f>IF(Umse!$C$24=0,"",IF(OR($A$1="2.1.",$A$1="2.2.",$A$1="2.5.",$A$1="2.6.",$A$1="2.9.",$A$1="2.10."),'V zwTab'!H18,IF(OR($A$1="2.3.",$A$1="2.4.",$A$1="2.7.",$A$1="2.8.",$A$1="2.11.",$A$1="2.12."),'V zwTab'!Q18,"")))</f>
        <v/>
      </c>
      <c r="R17" s="335" t="str">
        <f>IF(Umse!$C$24=0,"",IF(OR($A$1="2.1.",$A$1="2.2.",$A$1="2.5.",$A$1="2.6.",$A$1="2.9.",$A$1="2.10."),'V zwTab'!I18,IF(OR($A$1="2.3.",$A$1="2.4.",$A$1="2.7.",$A$1="2.8.",$A$1="2.11.",$A$1="2.12."),'V zwTab'!R18,"")))</f>
        <v/>
      </c>
      <c r="S17" s="359"/>
      <c r="T17" s="323" t="s">
        <v>274</v>
      </c>
      <c r="U17" s="367">
        <v>9</v>
      </c>
      <c r="V17" s="370" t="str">
        <f t="shared" si="9"/>
        <v/>
      </c>
      <c r="W17" s="517" t="str">
        <f t="shared" si="10"/>
        <v/>
      </c>
      <c r="X17" s="515" t="s">
        <v>14</v>
      </c>
      <c r="Y17" s="431">
        <v>4</v>
      </c>
      <c r="Z17" s="515" t="s">
        <v>6</v>
      </c>
      <c r="AA17" s="431" t="s">
        <v>6</v>
      </c>
    </row>
    <row r="18" spans="2:27" ht="11.25" customHeight="1">
      <c r="B18" s="332" t="str">
        <f t="shared" si="1"/>
        <v/>
      </c>
      <c r="C18" s="367" t="str">
        <f t="shared" si="2"/>
        <v/>
      </c>
      <c r="D18" s="361" t="str">
        <f t="shared" si="3"/>
        <v/>
      </c>
      <c r="E18" s="361" t="str">
        <f t="shared" si="4"/>
        <v/>
      </c>
      <c r="F18" s="361" t="str">
        <f t="shared" si="5"/>
        <v/>
      </c>
      <c r="G18" s="361" t="str">
        <f t="shared" si="6"/>
        <v/>
      </c>
      <c r="H18" s="361" t="str">
        <f t="shared" si="7"/>
        <v/>
      </c>
      <c r="I18" s="361" t="str">
        <f t="shared" si="8"/>
        <v/>
      </c>
      <c r="J18" s="333"/>
      <c r="K18" s="331" t="str">
        <f>IF(Umse!$C$24=0,"",IF(OR($A$1="2.3.",$A$1="2.4.",$A$1="2.7.",$A$1="2.8.",$A$1="2.11.",$A$1="2.12."),T18,V18))</f>
        <v/>
      </c>
      <c r="L18" s="363" t="str">
        <f>IF(Umse!$C$24=0,"",IF(OR($A$1="2.3.",$A$1="2.4.",$A$1="2.7.",$A$1="2.8.",$A$1="2.11.",$A$1="2.12."),U18,W18))</f>
        <v/>
      </c>
      <c r="M18" s="335" t="str">
        <f>IF(Umse!$C$24=0,"",IF(OR($A$1="2.1.",$A$1="2.2.",$A$1="2.5.",$A$1="2.6.",$A$1="2.9.",$A$1="2.10."),'V zwTab'!D19,IF(OR($A$1="2.3.",$A$1="2.4.",$A$1="2.7.",$A$1="2.8.",$A$1="2.11.",$A$1="2.12."),'V zwTab'!M19,"")))</f>
        <v/>
      </c>
      <c r="N18" s="335" t="str">
        <f>IF(Umse!$C$24=0,"",IF(OR($A$1="2.1.",$A$1="2.2.",$A$1="2.5.",$A$1="2.6.",$A$1="2.9.",$A$1="2.10."),'V zwTab'!E19,IF(OR($A$1="2.3.",$A$1="2.4.",$A$1="2.7.",$A$1="2.8.",$A$1="2.11.",$A$1="2.12."),'V zwTab'!N19,"")))</f>
        <v/>
      </c>
      <c r="O18" s="335" t="str">
        <f>IF(Umse!$C$24=0,"",IF(OR($A$1="2.1.",$A$1="2.2.",$A$1="2.5.",$A$1="2.6.",$A$1="2.9.",$A$1="2.10."),'V zwTab'!F19,IF(OR($A$1="2.3.",$A$1="2.4.",$A$1="2.7.",$A$1="2.8.",$A$1="2.11.",$A$1="2.12."),'V zwTab'!O19,"")))</f>
        <v/>
      </c>
      <c r="P18" s="335" t="str">
        <f>IF(Umse!$C$24=0,"",IF(OR($A$1="2.1.",$A$1="2.2.",$A$1="2.5.",$A$1="2.6.",$A$1="2.9.",$A$1="2.10."),'V zwTab'!G19,IF(OR($A$1="2.3.",$A$1="2.4.",$A$1="2.7.",$A$1="2.8.",$A$1="2.11.",$A$1="2.12."),'V zwTab'!P19,"")))</f>
        <v/>
      </c>
      <c r="Q18" s="335" t="str">
        <f>IF(Umse!$C$24=0,"",IF(OR($A$1="2.1.",$A$1="2.2.",$A$1="2.5.",$A$1="2.6.",$A$1="2.9.",$A$1="2.10."),'V zwTab'!H19,IF(OR($A$1="2.3.",$A$1="2.4.",$A$1="2.7.",$A$1="2.8.",$A$1="2.11.",$A$1="2.12."),'V zwTab'!Q19,"")))</f>
        <v/>
      </c>
      <c r="R18" s="335" t="str">
        <f>IF(Umse!$C$24=0,"",IF(OR($A$1="2.1.",$A$1="2.2.",$A$1="2.5.",$A$1="2.6.",$A$1="2.9.",$A$1="2.10."),'V zwTab'!I19,IF(OR($A$1="2.3.",$A$1="2.4.",$A$1="2.7.",$A$1="2.8.",$A$1="2.11.",$A$1="2.12."),'V zwTab'!R19,"")))</f>
        <v/>
      </c>
      <c r="S18" s="328"/>
      <c r="T18" s="323" t="s">
        <v>274</v>
      </c>
      <c r="U18" s="367" t="s">
        <v>331</v>
      </c>
      <c r="V18" s="370" t="str">
        <f t="shared" si="9"/>
        <v/>
      </c>
      <c r="W18" s="517" t="str">
        <f t="shared" si="10"/>
        <v/>
      </c>
      <c r="X18" s="515">
        <v>2</v>
      </c>
      <c r="Y18" s="431">
        <v>3</v>
      </c>
      <c r="Z18" s="515" t="s">
        <v>6</v>
      </c>
      <c r="AA18" s="431" t="s">
        <v>6</v>
      </c>
    </row>
    <row r="19" spans="2:27" ht="11.25" customHeight="1">
      <c r="B19" s="332" t="str">
        <f t="shared" si="1"/>
        <v/>
      </c>
      <c r="C19" s="367" t="str">
        <f t="shared" si="2"/>
        <v/>
      </c>
      <c r="D19" s="361" t="str">
        <f t="shared" si="3"/>
        <v/>
      </c>
      <c r="E19" s="361" t="str">
        <f t="shared" si="4"/>
        <v/>
      </c>
      <c r="F19" s="361" t="str">
        <f t="shared" si="5"/>
        <v/>
      </c>
      <c r="G19" s="361" t="str">
        <f t="shared" si="6"/>
        <v/>
      </c>
      <c r="H19" s="361" t="str">
        <f t="shared" si="7"/>
        <v/>
      </c>
      <c r="I19" s="361" t="str">
        <f t="shared" si="8"/>
        <v/>
      </c>
      <c r="J19" s="333"/>
      <c r="K19" s="331" t="str">
        <f>IF(Umse!$C$24=0,"",IF(OR($A$1="2.3.",$A$1="2.4.",$A$1="2.7.",$A$1="2.8.",$A$1="2.11.",$A$1="2.12."),T19,V19))</f>
        <v/>
      </c>
      <c r="L19" s="363" t="str">
        <f>IF(Umse!$C$24=0,"",IF(OR($A$1="2.3.",$A$1="2.4.",$A$1="2.7.",$A$1="2.8.",$A$1="2.11.",$A$1="2.12."),U19,W19))</f>
        <v/>
      </c>
      <c r="M19" s="335" t="str">
        <f>IF(Umse!$C$24=0,"",IF(OR($A$1="2.1.",$A$1="2.2.",$A$1="2.5.",$A$1="2.6.",$A$1="2.9.",$A$1="2.10."),'V zwTab'!D20,IF(OR($A$1="2.3.",$A$1="2.4.",$A$1="2.7.",$A$1="2.8.",$A$1="2.11.",$A$1="2.12."),'V zwTab'!M20,"")))</f>
        <v/>
      </c>
      <c r="N19" s="335" t="str">
        <f>IF(Umse!$C$24=0,"",IF(OR($A$1="2.1.",$A$1="2.2.",$A$1="2.5.",$A$1="2.6.",$A$1="2.9.",$A$1="2.10."),'V zwTab'!E20,IF(OR($A$1="2.3.",$A$1="2.4.",$A$1="2.7.",$A$1="2.8.",$A$1="2.11.",$A$1="2.12."),'V zwTab'!N20,"")))</f>
        <v/>
      </c>
      <c r="O19" s="335" t="str">
        <f>IF(Umse!$C$24=0,"",IF(OR($A$1="2.1.",$A$1="2.2.",$A$1="2.5.",$A$1="2.6.",$A$1="2.9.",$A$1="2.10."),'V zwTab'!F20,IF(OR($A$1="2.3.",$A$1="2.4.",$A$1="2.7.",$A$1="2.8.",$A$1="2.11.",$A$1="2.12."),'V zwTab'!O20,"")))</f>
        <v/>
      </c>
      <c r="P19" s="335" t="str">
        <f>IF(Umse!$C$24=0,"",IF(OR($A$1="2.1.",$A$1="2.2.",$A$1="2.5.",$A$1="2.6.",$A$1="2.9.",$A$1="2.10."),'V zwTab'!G20,IF(OR($A$1="2.3.",$A$1="2.4.",$A$1="2.7.",$A$1="2.8.",$A$1="2.11.",$A$1="2.12."),'V zwTab'!P20,"")))</f>
        <v/>
      </c>
      <c r="Q19" s="335" t="str">
        <f>IF(Umse!$C$24=0,"",IF(OR($A$1="2.1.",$A$1="2.2.",$A$1="2.5.",$A$1="2.6.",$A$1="2.9.",$A$1="2.10."),'V zwTab'!H20,IF(OR($A$1="2.3.",$A$1="2.4.",$A$1="2.7.",$A$1="2.8.",$A$1="2.11.",$A$1="2.12."),'V zwTab'!Q20,"")))</f>
        <v/>
      </c>
      <c r="R19" s="335" t="str">
        <f>IF(Umse!$C$24=0,"",IF(OR($A$1="2.1.",$A$1="2.2.",$A$1="2.5.",$A$1="2.6.",$A$1="2.9.",$A$1="2.10."),'V zwTab'!I20,IF(OR($A$1="2.3.",$A$1="2.4.",$A$1="2.7.",$A$1="2.8.",$A$1="2.11.",$A$1="2.12."),'V zwTab'!R20,"")))</f>
        <v/>
      </c>
      <c r="T19" s="323" t="s">
        <v>274</v>
      </c>
      <c r="U19" s="367" t="s">
        <v>285</v>
      </c>
      <c r="V19" s="370" t="str">
        <f t="shared" si="9"/>
        <v/>
      </c>
      <c r="W19" s="517" t="str">
        <f t="shared" si="10"/>
        <v/>
      </c>
      <c r="X19" s="515">
        <v>1</v>
      </c>
      <c r="Y19" s="431" t="s">
        <v>14</v>
      </c>
      <c r="Z19" s="515" t="s">
        <v>6</v>
      </c>
      <c r="AA19" s="431" t="s">
        <v>6</v>
      </c>
    </row>
    <row r="20" spans="2:27" ht="11.25" customHeight="1">
      <c r="B20" s="332" t="str">
        <f t="shared" si="1"/>
        <v/>
      </c>
      <c r="C20" s="367" t="str">
        <f t="shared" si="2"/>
        <v/>
      </c>
      <c r="D20" s="343" t="str">
        <f t="shared" si="3"/>
        <v/>
      </c>
      <c r="E20" s="343" t="str">
        <f t="shared" si="4"/>
        <v/>
      </c>
      <c r="F20" s="343" t="str">
        <f t="shared" si="5"/>
        <v/>
      </c>
      <c r="G20" s="343" t="str">
        <f t="shared" si="6"/>
        <v/>
      </c>
      <c r="H20" s="343" t="str">
        <f t="shared" si="7"/>
        <v/>
      </c>
      <c r="I20" s="343" t="str">
        <f t="shared" si="8"/>
        <v/>
      </c>
      <c r="J20" s="333"/>
      <c r="K20" s="331" t="str">
        <f>IF(Umse!$C$24=0,"",IF(OR($A$1="2.3.",$A$1="2.4.",$A$1="2.7.",$A$1="2.8.",$A$1="2.11.",$A$1="2.12."),T20,V20))</f>
        <v/>
      </c>
      <c r="L20" s="363" t="str">
        <f>IF(Umse!$C$24=0,"",IF(OR($A$1="2.3.",$A$1="2.4.",$A$1="2.7.",$A$1="2.8.",$A$1="2.11.",$A$1="2.12."),U20,W20))</f>
        <v/>
      </c>
      <c r="M20" s="335" t="str">
        <f>IF(Umse!$C$24=0,"",IF(OR($A$1="2.1.",$A$1="2.2.",$A$1="2.5.",$A$1="2.6.",$A$1="2.9.",$A$1="2.10."),'V zwTab'!D21,IF(OR($A$1="2.3.",$A$1="2.4.",$A$1="2.7.",$A$1="2.8.",$A$1="2.11.",$A$1="2.12."),'V zwTab'!M21,"")))</f>
        <v/>
      </c>
      <c r="N20" s="335" t="str">
        <f>IF(Umse!$C$24=0,"",IF(OR($A$1="2.1.",$A$1="2.2.",$A$1="2.5.",$A$1="2.6.",$A$1="2.9.",$A$1="2.10."),'V zwTab'!E21,IF(OR($A$1="2.3.",$A$1="2.4.",$A$1="2.7.",$A$1="2.8.",$A$1="2.11.",$A$1="2.12."),'V zwTab'!N21,"")))</f>
        <v/>
      </c>
      <c r="O20" s="335" t="str">
        <f>IF(Umse!$C$24=0,"",IF(OR($A$1="2.1.",$A$1="2.2.",$A$1="2.5.",$A$1="2.6.",$A$1="2.9.",$A$1="2.10."),'V zwTab'!F21,IF(OR($A$1="2.3.",$A$1="2.4.",$A$1="2.7.",$A$1="2.8.",$A$1="2.11.",$A$1="2.12."),'V zwTab'!O21,"")))</f>
        <v/>
      </c>
      <c r="P20" s="335" t="str">
        <f>IF(Umse!$C$24=0,"",IF(OR($A$1="2.1.",$A$1="2.2.",$A$1="2.5.",$A$1="2.6.",$A$1="2.9.",$A$1="2.10."),'V zwTab'!G21,IF(OR($A$1="2.3.",$A$1="2.4.",$A$1="2.7.",$A$1="2.8.",$A$1="2.11.",$A$1="2.12."),'V zwTab'!P21,"")))</f>
        <v/>
      </c>
      <c r="Q20" s="335" t="str">
        <f>IF(Umse!$C$24=0,"",IF(OR($A$1="2.1.",$A$1="2.2.",$A$1="2.5.",$A$1="2.6.",$A$1="2.9.",$A$1="2.10."),'V zwTab'!H21,IF(OR($A$1="2.3.",$A$1="2.4.",$A$1="2.7.",$A$1="2.8.",$A$1="2.11.",$A$1="2.12."),'V zwTab'!Q21,"")))</f>
        <v/>
      </c>
      <c r="R20" s="335" t="str">
        <f>IF(Umse!$C$24=0,"",IF(OR($A$1="2.1.",$A$1="2.2.",$A$1="2.5.",$A$1="2.6.",$A$1="2.9.",$A$1="2.10."),'V zwTab'!I21,IF(OR($A$1="2.3.",$A$1="2.4.",$A$1="2.7.",$A$1="2.8.",$A$1="2.11.",$A$1="2.12."),'V zwTab'!R21,"")))</f>
        <v/>
      </c>
      <c r="T20" s="323" t="s">
        <v>274</v>
      </c>
      <c r="U20" s="323">
        <v>7</v>
      </c>
      <c r="V20" s="370" t="str">
        <f t="shared" si="9"/>
        <v/>
      </c>
      <c r="W20" s="517" t="str">
        <f t="shared" si="10"/>
        <v/>
      </c>
      <c r="X20" s="515" t="str">
        <f>""</f>
        <v/>
      </c>
      <c r="Y20" s="431">
        <v>2</v>
      </c>
      <c r="Z20" s="515" t="str">
        <f>""</f>
        <v/>
      </c>
      <c r="AA20" s="431" t="s">
        <v>6</v>
      </c>
    </row>
    <row r="21" spans="2:27" ht="11.25" customHeight="1">
      <c r="B21" s="332" t="str">
        <f t="shared" si="1"/>
        <v/>
      </c>
      <c r="C21" s="367" t="str">
        <f t="shared" si="2"/>
        <v/>
      </c>
      <c r="D21" s="343" t="str">
        <f t="shared" si="3"/>
        <v/>
      </c>
      <c r="E21" s="343" t="str">
        <f t="shared" si="4"/>
        <v/>
      </c>
      <c r="F21" s="343" t="str">
        <f t="shared" si="5"/>
        <v/>
      </c>
      <c r="G21" s="343" t="str">
        <f t="shared" si="6"/>
        <v/>
      </c>
      <c r="H21" s="343" t="str">
        <f t="shared" si="7"/>
        <v/>
      </c>
      <c r="I21" s="343" t="str">
        <f t="shared" si="8"/>
        <v/>
      </c>
      <c r="J21" s="333"/>
      <c r="K21" s="331" t="str">
        <f>IF(Umse!$C$24=0,"",IF(OR($A$1="2.3.",$A$1="2.4.",$A$1="2.7.",$A$1="2.8.",$A$1="2.11.",$A$1="2.12."),T21,V21))</f>
        <v/>
      </c>
      <c r="L21" s="363" t="str">
        <f>IF(Umse!$C$24=0,"",IF(OR($A$1="2.3.",$A$1="2.4.",$A$1="2.7.",$A$1="2.8.",$A$1="2.11.",$A$1="2.12."),U21,W21))</f>
        <v/>
      </c>
      <c r="M21" s="335" t="str">
        <f>IF(Umse!$C$24=0,"",IF(OR($A$1="2.1.",$A$1="2.2.",$A$1="2.5.",$A$1="2.6.",$A$1="2.9.",$A$1="2.10."),'V zwTab'!D22,IF(OR($A$1="2.3.",$A$1="2.4.",$A$1="2.7.",$A$1="2.8.",$A$1="2.11.",$A$1="2.12."),'V zwTab'!M22,"")))</f>
        <v/>
      </c>
      <c r="N21" s="335" t="str">
        <f>IF(Umse!$C$24=0,"",IF(OR($A$1="2.1.",$A$1="2.2.",$A$1="2.5.",$A$1="2.6.",$A$1="2.9.",$A$1="2.10."),'V zwTab'!E22,IF(OR($A$1="2.3.",$A$1="2.4.",$A$1="2.7.",$A$1="2.8.",$A$1="2.11.",$A$1="2.12."),'V zwTab'!N22,"")))</f>
        <v/>
      </c>
      <c r="O21" s="335" t="str">
        <f>IF(Umse!$C$24=0,"",IF(OR($A$1="2.1.",$A$1="2.2.",$A$1="2.5.",$A$1="2.6.",$A$1="2.9.",$A$1="2.10."),'V zwTab'!F22,IF(OR($A$1="2.3.",$A$1="2.4.",$A$1="2.7.",$A$1="2.8.",$A$1="2.11.",$A$1="2.12."),'V zwTab'!O22,"")))</f>
        <v/>
      </c>
      <c r="P21" s="335" t="str">
        <f>IF(Umse!$C$24=0,"",IF(OR($A$1="2.1.",$A$1="2.2.",$A$1="2.5.",$A$1="2.6.",$A$1="2.9.",$A$1="2.10."),'V zwTab'!G22,IF(OR($A$1="2.3.",$A$1="2.4.",$A$1="2.7.",$A$1="2.8.",$A$1="2.11.",$A$1="2.12."),'V zwTab'!P22,"")))</f>
        <v/>
      </c>
      <c r="Q21" s="335" t="str">
        <f>IF(Umse!$C$24=0,"",IF(OR($A$1="2.1.",$A$1="2.2.",$A$1="2.5.",$A$1="2.6.",$A$1="2.9.",$A$1="2.10."),'V zwTab'!H22,IF(OR($A$1="2.3.",$A$1="2.4.",$A$1="2.7.",$A$1="2.8.",$A$1="2.11.",$A$1="2.12."),'V zwTab'!Q22,"")))</f>
        <v/>
      </c>
      <c r="R21" s="335" t="str">
        <f>IF(Umse!$C$24=0,"",IF(OR($A$1="2.1.",$A$1="2.2.",$A$1="2.5.",$A$1="2.6.",$A$1="2.9.",$A$1="2.10."),'V zwTab'!I22,IF(OR($A$1="2.3.",$A$1="2.4.",$A$1="2.7.",$A$1="2.8.",$A$1="2.11.",$A$1="2.12."),'V zwTab'!R22,"")))</f>
        <v/>
      </c>
      <c r="T21" s="323" t="s">
        <v>274</v>
      </c>
      <c r="U21" s="323">
        <v>4</v>
      </c>
      <c r="V21" s="370" t="str">
        <f t="shared" si="9"/>
        <v/>
      </c>
      <c r="W21" s="517" t="str">
        <f t="shared" si="10"/>
        <v/>
      </c>
      <c r="X21" s="515" t="str">
        <f>""</f>
        <v/>
      </c>
      <c r="Y21" s="431">
        <v>1</v>
      </c>
      <c r="Z21" s="515" t="str">
        <f>""</f>
        <v/>
      </c>
      <c r="AA21" s="431" t="s">
        <v>6</v>
      </c>
    </row>
    <row r="22" spans="2:27" ht="11.25" customHeight="1">
      <c r="B22" s="332" t="str">
        <f t="shared" si="1"/>
        <v/>
      </c>
      <c r="C22" s="367" t="str">
        <f t="shared" si="2"/>
        <v/>
      </c>
      <c r="D22" s="343" t="str">
        <f>IF(M22=0,0,IF(M22="-","-",IF(M22="","",FIXED(ROUND(M22/$A$5,2),2))))</f>
        <v/>
      </c>
      <c r="E22" s="343" t="str">
        <f t="shared" si="4"/>
        <v/>
      </c>
      <c r="F22" s="343" t="str">
        <f t="shared" si="5"/>
        <v/>
      </c>
      <c r="G22" s="343" t="str">
        <f t="shared" si="6"/>
        <v/>
      </c>
      <c r="H22" s="343" t="str">
        <f t="shared" si="7"/>
        <v/>
      </c>
      <c r="I22" s="343" t="str">
        <f t="shared" si="8"/>
        <v/>
      </c>
      <c r="J22" s="333"/>
      <c r="K22" s="331" t="str">
        <f>IF(Umse!$C$24=0,"",IF(OR($A$1="2.3.",$A$1="2.4.",$A$1="2.7.",$A$1="2.8.",$A$1="2.11.",$A$1="2.12."),T22,V22))</f>
        <v/>
      </c>
      <c r="L22" s="363" t="str">
        <f>IF(Umse!$C$24=0,"",IF(OR($A$1="2.3.",$A$1="2.4.",$A$1="2.7.",$A$1="2.8.",$A$1="2.11.",$A$1="2.12."),U22,W22))</f>
        <v/>
      </c>
      <c r="M22" s="335" t="str">
        <f>IF(Umse!$C$24=0,"",IF(OR($A$1="2.1.",$A$1="2.2.",$A$1="2.5.",$A$1="2.6.",$A$1="2.9.",$A$1="2.10."),'V zwTab'!D23,IF(OR($A$1="2.3.",$A$1="2.4.",$A$1="2.7.",$A$1="2.8.",$A$1="2.11.",$A$1="2.12."),'V zwTab'!M23,"")))</f>
        <v/>
      </c>
      <c r="N22" s="335" t="str">
        <f>IF(Umse!$C$24=0,"",IF(OR($A$1="2.1.",$A$1="2.2.",$A$1="2.5.",$A$1="2.6.",$A$1="2.9.",$A$1="2.10."),'V zwTab'!E23,IF(OR($A$1="2.3.",$A$1="2.4.",$A$1="2.7.",$A$1="2.8.",$A$1="2.11.",$A$1="2.12."),'V zwTab'!N23,"")))</f>
        <v/>
      </c>
      <c r="O22" s="335" t="str">
        <f>IF(Umse!$C$24=0,"",IF(OR($A$1="2.1.",$A$1="2.2.",$A$1="2.5.",$A$1="2.6.",$A$1="2.9.",$A$1="2.10."),'V zwTab'!F23,IF(OR($A$1="2.3.",$A$1="2.4.",$A$1="2.7.",$A$1="2.8.",$A$1="2.11.",$A$1="2.12."),'V zwTab'!O23,"")))</f>
        <v/>
      </c>
      <c r="P22" s="335" t="str">
        <f>IF(Umse!$C$24=0,"",IF(OR($A$1="2.1.",$A$1="2.2.",$A$1="2.5.",$A$1="2.6.",$A$1="2.9.",$A$1="2.10."),'V zwTab'!G23,IF(OR($A$1="2.3.",$A$1="2.4.",$A$1="2.7.",$A$1="2.8.",$A$1="2.11.",$A$1="2.12."),'V zwTab'!P23,"")))</f>
        <v/>
      </c>
      <c r="Q22" s="335" t="str">
        <f>IF(Umse!$C$24=0,"",IF(OR($A$1="2.1.",$A$1="2.2.",$A$1="2.5.",$A$1="2.6.",$A$1="2.9.",$A$1="2.10."),'V zwTab'!H23,IF(OR($A$1="2.3.",$A$1="2.4.",$A$1="2.7.",$A$1="2.8.",$A$1="2.11.",$A$1="2.12."),'V zwTab'!Q23,"")))</f>
        <v/>
      </c>
      <c r="R22" s="335" t="str">
        <f>IF(Umse!$C$24=0,"",IF(OR($A$1="2.1.",$A$1="2.2.",$A$1="2.5.",$A$1="2.6.",$A$1="2.9.",$A$1="2.10."),'V zwTab'!I23,IF(OR($A$1="2.3.",$A$1="2.4.",$A$1="2.7.",$A$1="2.8.",$A$1="2.11.",$A$1="2.12."),'V zwTab'!R23,"")))</f>
        <v/>
      </c>
      <c r="T22" s="323" t="s">
        <v>274</v>
      </c>
      <c r="U22" s="323">
        <v>3</v>
      </c>
      <c r="V22" s="370" t="str">
        <f t="shared" si="9"/>
        <v/>
      </c>
      <c r="W22" s="517" t="str">
        <f t="shared" si="10"/>
        <v/>
      </c>
      <c r="X22" s="515" t="str">
        <f>""</f>
        <v/>
      </c>
      <c r="Y22" s="515" t="str">
        <f>""</f>
        <v/>
      </c>
      <c r="Z22" s="515" t="str">
        <f>""</f>
        <v/>
      </c>
      <c r="AA22" s="515" t="str">
        <f>""</f>
        <v/>
      </c>
    </row>
    <row r="23" spans="2:27" ht="11.25" customHeight="1">
      <c r="B23" s="332" t="str">
        <f t="shared" si="1"/>
        <v/>
      </c>
      <c r="C23" s="367" t="str">
        <f t="shared" si="2"/>
        <v/>
      </c>
      <c r="D23" s="343" t="str">
        <f t="shared" si="3"/>
        <v/>
      </c>
      <c r="E23" s="343" t="str">
        <f t="shared" si="4"/>
        <v/>
      </c>
      <c r="F23" s="343" t="str">
        <f t="shared" si="5"/>
        <v/>
      </c>
      <c r="G23" s="343" t="str">
        <f t="shared" si="6"/>
        <v/>
      </c>
      <c r="H23" s="343" t="str">
        <f t="shared" si="7"/>
        <v/>
      </c>
      <c r="I23" s="343" t="str">
        <f t="shared" si="8"/>
        <v/>
      </c>
      <c r="J23" s="333"/>
      <c r="K23" s="331" t="str">
        <f>IF(Umse!$C$24=0,"",IF(OR($A$1="2.3.",$A$1="2.4.",$A$1="2.7.",$A$1="2.8.",$A$1="2.11.",$A$1="2.12."),T23,V23))</f>
        <v/>
      </c>
      <c r="L23" s="363" t="str">
        <f>IF(Umse!$C$24=0,"",IF(OR($A$1="2.3.",$A$1="2.4.",$A$1="2.7.",$A$1="2.8.",$A$1="2.11.",$A$1="2.12."),U23,W23))</f>
        <v/>
      </c>
      <c r="M23" s="335" t="str">
        <f>IF(Umse!$C$24=0,"",IF(OR($A$1="2.1.",$A$1="2.2.",$A$1="2.5.",$A$1="2.6.",$A$1="2.9.",$A$1="2.10."),'V zwTab'!D24,IF(OR($A$1="2.3.",$A$1="2.4.",$A$1="2.7.",$A$1="2.8.",$A$1="2.11.",$A$1="2.12."),'V zwTab'!M24,"")))</f>
        <v/>
      </c>
      <c r="N23" s="335" t="str">
        <f>IF(Umse!$C$24=0,"",IF(OR($A$1="2.1.",$A$1="2.2.",$A$1="2.5.",$A$1="2.6.",$A$1="2.9.",$A$1="2.10."),'V zwTab'!E24,IF(OR($A$1="2.3.",$A$1="2.4.",$A$1="2.7.",$A$1="2.8.",$A$1="2.11.",$A$1="2.12."),'V zwTab'!N24,"")))</f>
        <v/>
      </c>
      <c r="O23" s="335" t="str">
        <f>IF(Umse!$C$24=0,"",IF(OR($A$1="2.1.",$A$1="2.2.",$A$1="2.5.",$A$1="2.6.",$A$1="2.9.",$A$1="2.10."),'V zwTab'!F24,IF(OR($A$1="2.3.",$A$1="2.4.",$A$1="2.7.",$A$1="2.8.",$A$1="2.11.",$A$1="2.12."),'V zwTab'!O24,"")))</f>
        <v/>
      </c>
      <c r="P23" s="335" t="str">
        <f>IF(Umse!$C$24=0,"",IF(OR($A$1="2.1.",$A$1="2.2.",$A$1="2.5.",$A$1="2.6.",$A$1="2.9.",$A$1="2.10."),'V zwTab'!G24,IF(OR($A$1="2.3.",$A$1="2.4.",$A$1="2.7.",$A$1="2.8.",$A$1="2.11.",$A$1="2.12."),'V zwTab'!P24,"")))</f>
        <v/>
      </c>
      <c r="Q23" s="335" t="str">
        <f>IF(Umse!$C$24=0,"",IF(OR($A$1="2.1.",$A$1="2.2.",$A$1="2.5.",$A$1="2.6.",$A$1="2.9.",$A$1="2.10."),'V zwTab'!H24,IF(OR($A$1="2.3.",$A$1="2.4.",$A$1="2.7.",$A$1="2.8.",$A$1="2.11.",$A$1="2.12."),'V zwTab'!Q24,"")))</f>
        <v/>
      </c>
      <c r="R23" s="335" t="str">
        <f>IF(Umse!$C$24=0,"",IF(OR($A$1="2.1.",$A$1="2.2.",$A$1="2.5.",$A$1="2.6.",$A$1="2.9.",$A$1="2.10."),'V zwTab'!I24,IF(OR($A$1="2.3.",$A$1="2.4.",$A$1="2.7.",$A$1="2.8.",$A$1="2.11.",$A$1="2.12."),'V zwTab'!R24,"")))</f>
        <v/>
      </c>
      <c r="T23" s="323" t="s">
        <v>274</v>
      </c>
      <c r="U23" s="323">
        <v>2</v>
      </c>
      <c r="V23" s="375" t="str">
        <f t="shared" si="9"/>
        <v/>
      </c>
      <c r="W23" s="518" t="str">
        <f t="shared" si="10"/>
        <v/>
      </c>
      <c r="X23" s="515" t="str">
        <f>""</f>
        <v/>
      </c>
      <c r="Y23" s="515" t="str">
        <f>""</f>
        <v/>
      </c>
      <c r="Z23" s="515" t="str">
        <f>""</f>
        <v/>
      </c>
      <c r="AA23" s="515" t="str">
        <f>""</f>
        <v/>
      </c>
    </row>
    <row r="24" spans="2:27" ht="11.25" customHeight="1">
      <c r="J24" s="328" t="str">
        <f>""</f>
        <v/>
      </c>
    </row>
    <row r="25" spans="2:27" ht="11.25" customHeight="1">
      <c r="B25" s="324"/>
      <c r="C25" s="325"/>
      <c r="D25" s="326" t="str">
        <f>IF(A1=0,"","Zeitzuschläge")</f>
        <v>Zeitzuschläge</v>
      </c>
      <c r="E25" s="325"/>
      <c r="F25" s="325"/>
      <c r="G25" s="325"/>
      <c r="H25" s="325"/>
      <c r="I25" s="327"/>
    </row>
    <row r="26" spans="2:27" ht="11.25" customHeight="1">
      <c r="B26" s="677" t="s">
        <v>192</v>
      </c>
      <c r="C26" s="685"/>
      <c r="D26" s="688" t="str">
        <f>IF(OR($A$1="2.3.",$A$1="2.4.",$A$1="2.7.",$A$1="2.8.",$A$1="2.11.",$A$1="2.12."),"Überstunde in EG S 2  -  S 13
Überstunde in EG S 14  -  S 18","Überstunde in EG 1 - 9b
Überstunde in EG 9c - 15")</f>
        <v>Überstunde in EG 1 - 9b
Überstunde in EG 9c - 15</v>
      </c>
      <c r="E26" s="690" t="str">
        <f>IF(AND(A7=2,$A$1="2.3."),"Nachtarbeit ( 21 - 06 Uhr )
Samstagsarbeit ( 13 - 21 Uhr ):
0,64 € Festbetrag bis Aug 2020",IF(AND(A7=2,$A$1="2.7."),"Nachtarbeit ( 21 - 06 Uhr )
Samstagsarbeit ( 13 - 21 Uhr )",IF(AND(A7=2,$A$1="2.11."),"Nachtarbeit ( 21 - 06 Uhr )
Samstagsarbeit ( 13 - 21 Uhr )","Nachtarbeit ( 21 - 06 Uhr )
Samstagsarbeit ( 13 - 21 Uhr )")))</f>
        <v>Nachtarbeit ( 21 - 06 Uhr )
Samstagsarbeit ( 13 - 21 Uhr )</v>
      </c>
      <c r="F26" s="687" t="s">
        <v>21</v>
      </c>
      <c r="G26" s="683" t="s">
        <v>190</v>
      </c>
      <c r="H26" s="683" t="s">
        <v>191</v>
      </c>
      <c r="I26" s="687" t="s">
        <v>393</v>
      </c>
    </row>
    <row r="27" spans="2:27" ht="11.25" customHeight="1">
      <c r="B27" s="686"/>
      <c r="C27" s="686"/>
      <c r="D27" s="689"/>
      <c r="E27" s="691"/>
      <c r="F27" s="679"/>
      <c r="G27" s="679"/>
      <c r="H27" s="679"/>
      <c r="I27" s="679"/>
    </row>
    <row r="28" spans="2:27" ht="11.25" customHeight="1">
      <c r="B28" s="686"/>
      <c r="C28" s="686"/>
      <c r="D28" s="689"/>
      <c r="E28" s="691"/>
      <c r="F28" s="679"/>
      <c r="G28" s="679"/>
      <c r="H28" s="679"/>
      <c r="I28" s="679"/>
    </row>
    <row r="29" spans="2:27" ht="11.25" customHeight="1">
      <c r="B29" s="686"/>
      <c r="C29" s="686"/>
      <c r="D29" s="689"/>
      <c r="E29" s="691"/>
      <c r="F29" s="679"/>
      <c r="G29" s="679"/>
      <c r="H29" s="679"/>
      <c r="I29" s="679"/>
    </row>
    <row r="30" spans="2:27" ht="11.25" customHeight="1">
      <c r="B30" s="686"/>
      <c r="C30" s="686"/>
      <c r="D30" s="689"/>
      <c r="E30" s="691"/>
      <c r="F30" s="679"/>
      <c r="G30" s="679"/>
      <c r="H30" s="679"/>
      <c r="I30" s="679"/>
    </row>
    <row r="31" spans="2:27" ht="11.25" customHeight="1">
      <c r="B31" s="686"/>
      <c r="C31" s="686"/>
      <c r="D31" s="689"/>
      <c r="E31" s="691"/>
      <c r="F31" s="679"/>
      <c r="G31" s="679"/>
      <c r="H31" s="679"/>
      <c r="I31" s="679"/>
    </row>
    <row r="32" spans="2:27" ht="11.25" customHeight="1">
      <c r="B32" s="686"/>
      <c r="C32" s="686"/>
      <c r="D32" s="689"/>
      <c r="E32" s="691"/>
      <c r="F32" s="679"/>
      <c r="G32" s="679"/>
      <c r="H32" s="679"/>
      <c r="I32" s="679"/>
    </row>
    <row r="33" spans="1:18" ht="11.25" customHeight="1">
      <c r="B33" s="686"/>
      <c r="C33" s="686"/>
      <c r="D33" s="689"/>
      <c r="E33" s="691"/>
      <c r="F33" s="679"/>
      <c r="G33" s="679"/>
      <c r="H33" s="679"/>
      <c r="I33" s="679"/>
    </row>
    <row r="34" spans="1:18" ht="11.25" customHeight="1">
      <c r="B34" s="686"/>
      <c r="C34" s="686"/>
      <c r="D34" s="689"/>
      <c r="E34" s="691"/>
      <c r="F34" s="679"/>
      <c r="G34" s="679"/>
      <c r="H34" s="679"/>
      <c r="I34" s="679"/>
    </row>
    <row r="35" spans="1:18" ht="11.25" customHeight="1">
      <c r="B35" s="686"/>
      <c r="C35" s="686"/>
      <c r="D35" s="689"/>
      <c r="E35" s="691"/>
      <c r="F35" s="679"/>
      <c r="G35" s="679"/>
      <c r="H35" s="679"/>
      <c r="I35" s="679"/>
      <c r="K35" s="339"/>
      <c r="L35" s="340"/>
      <c r="M35" s="341" t="str">
        <f>IF(A1=0,"","Überstundenentgelt")</f>
        <v>Überstundenentgelt</v>
      </c>
      <c r="N35" s="340"/>
      <c r="O35" s="340"/>
      <c r="P35" s="340"/>
      <c r="Q35" s="340"/>
      <c r="R35" s="342"/>
    </row>
    <row r="36" spans="1:18" ht="21.75" customHeight="1">
      <c r="A36" s="328" t="s">
        <v>9</v>
      </c>
      <c r="B36" s="367" t="str">
        <f t="shared" ref="B36:B57" si="11">K2</f>
        <v xml:space="preserve">    Entgeltgruppe</v>
      </c>
      <c r="C36" s="331"/>
      <c r="D36" s="349" t="s">
        <v>221</v>
      </c>
      <c r="E36" s="350">
        <v>0.2</v>
      </c>
      <c r="F36" s="350">
        <v>0.25</v>
      </c>
      <c r="G36" s="350">
        <v>0.35</v>
      </c>
      <c r="H36" s="350">
        <v>1.35</v>
      </c>
      <c r="I36" s="350">
        <v>0.35</v>
      </c>
      <c r="K36" s="367" t="str">
        <f t="shared" ref="K36:K57" si="12">K2</f>
        <v xml:space="preserve">    Entgeltgruppe</v>
      </c>
      <c r="L36" s="331"/>
      <c r="M36" s="332" t="s">
        <v>7</v>
      </c>
      <c r="N36" s="332" t="s">
        <v>8</v>
      </c>
      <c r="O36" s="332" t="s">
        <v>9</v>
      </c>
      <c r="P36" s="332" t="s">
        <v>10</v>
      </c>
      <c r="Q36" s="332" t="s">
        <v>11</v>
      </c>
      <c r="R36" s="332" t="s">
        <v>12</v>
      </c>
    </row>
    <row r="37" spans="1:18" ht="11.25" customHeight="1">
      <c r="A37" s="328" t="str">
        <f>IF(O3="-","-",IF(O3="","",FIXED(ROUND(O3/$A$5,2),2)))</f>
        <v/>
      </c>
      <c r="B37" s="332" t="str">
        <f t="shared" si="11"/>
        <v/>
      </c>
      <c r="C37" s="367" t="str">
        <f t="shared" ref="C37:C57" si="13">L3</f>
        <v/>
      </c>
      <c r="D37" s="343" t="str">
        <f>IF(F3="","",ROUND(F3*0.15,2))</f>
        <v/>
      </c>
      <c r="E37" s="343" t="str">
        <f>IF(F3="","",ROUND(F3*$E$36,2))</f>
        <v/>
      </c>
      <c r="F37" s="343" t="str">
        <f>IF(F3="","",ROUND(F3*$F$36,2))</f>
        <v/>
      </c>
      <c r="G37" s="343" t="str">
        <f t="shared" ref="G37:G53" si="14">IF(F3="","",ROUND(F3*$G$36,2))</f>
        <v/>
      </c>
      <c r="H37" s="343" t="str">
        <f t="shared" ref="H37:H53" si="15">IF(F3="","",ROUND(F3*$H$36,2))</f>
        <v/>
      </c>
      <c r="I37" s="343" t="str">
        <f t="shared" ref="I37:I53" si="16">IF(F3="","",ROUND(F3*$I$36,2))</f>
        <v/>
      </c>
      <c r="K37" s="332" t="str">
        <f t="shared" si="12"/>
        <v/>
      </c>
      <c r="L37" s="367" t="str">
        <f t="shared" ref="L37:L57" si="17">L3</f>
        <v/>
      </c>
      <c r="M37" s="344" t="str">
        <f t="shared" ref="M37:M57" si="18">IF(M3="-","-",IF(M3="","",D3+D37))</f>
        <v/>
      </c>
      <c r="N37" s="344" t="str">
        <f t="shared" ref="N37:N57" si="19">IF(N3="-","-",IF(N3="","",E3+D37))</f>
        <v/>
      </c>
      <c r="O37" s="344" t="str">
        <f t="shared" ref="O37:O57" si="20">IF(O3="-","-",IF(O3="","",F3+D37))</f>
        <v/>
      </c>
      <c r="P37" s="344" t="str">
        <f t="shared" ref="P37:P57" si="21">IF(P3="-","-",IF(P3="","",G3+D37))</f>
        <v/>
      </c>
      <c r="Q37" s="351" t="str">
        <f>P37</f>
        <v/>
      </c>
      <c r="R37" s="351" t="str">
        <f>P37</f>
        <v/>
      </c>
    </row>
    <row r="38" spans="1:18" ht="11.25" customHeight="1">
      <c r="A38" s="328" t="str">
        <f t="shared" ref="A38:A57" si="22">IF(O4="-","-",IF(O4="","",FIXED(ROUND(O4/$A$5,2),2)))</f>
        <v/>
      </c>
      <c r="B38" s="332" t="str">
        <f t="shared" si="11"/>
        <v/>
      </c>
      <c r="C38" s="367" t="str">
        <f t="shared" si="13"/>
        <v/>
      </c>
      <c r="D38" s="343" t="str">
        <f>IF(F4="","",ROUND(F4*0.15,2))</f>
        <v/>
      </c>
      <c r="E38" s="343" t="str">
        <f t="shared" ref="E38:E57" si="23">IF(F4="","",ROUND(F4*$E$36,2))</f>
        <v/>
      </c>
      <c r="F38" s="343" t="str">
        <f t="shared" ref="F38:F57" si="24">IF(F4="","",ROUND(F4*$F$36,2))</f>
        <v/>
      </c>
      <c r="G38" s="343" t="str">
        <f t="shared" si="14"/>
        <v/>
      </c>
      <c r="H38" s="343" t="str">
        <f t="shared" si="15"/>
        <v/>
      </c>
      <c r="I38" s="343" t="str">
        <f t="shared" si="16"/>
        <v/>
      </c>
      <c r="K38" s="332" t="str">
        <f t="shared" si="12"/>
        <v/>
      </c>
      <c r="L38" s="367" t="str">
        <f t="shared" si="17"/>
        <v/>
      </c>
      <c r="M38" s="344" t="str">
        <f t="shared" si="18"/>
        <v/>
      </c>
      <c r="N38" s="344" t="str">
        <f t="shared" si="19"/>
        <v/>
      </c>
      <c r="O38" s="344" t="str">
        <f t="shared" si="20"/>
        <v/>
      </c>
      <c r="P38" s="344" t="str">
        <f t="shared" si="21"/>
        <v/>
      </c>
      <c r="Q38" s="351" t="str">
        <f t="shared" ref="Q38:Q53" si="25">P38</f>
        <v/>
      </c>
      <c r="R38" s="351" t="str">
        <f t="shared" ref="R38:R53" si="26">P38</f>
        <v/>
      </c>
    </row>
    <row r="39" spans="1:18" ht="11.25" customHeight="1">
      <c r="A39" s="328" t="str">
        <f t="shared" si="22"/>
        <v/>
      </c>
      <c r="B39" s="332" t="str">
        <f t="shared" si="11"/>
        <v/>
      </c>
      <c r="C39" s="367" t="str">
        <f t="shared" si="13"/>
        <v/>
      </c>
      <c r="D39" s="343" t="str">
        <f>IF(F5="","",ROUND(F5*0.15,2))</f>
        <v/>
      </c>
      <c r="E39" s="343" t="str">
        <f t="shared" si="23"/>
        <v/>
      </c>
      <c r="F39" s="343" t="str">
        <f t="shared" si="24"/>
        <v/>
      </c>
      <c r="G39" s="343" t="str">
        <f t="shared" si="14"/>
        <v/>
      </c>
      <c r="H39" s="343" t="str">
        <f t="shared" si="15"/>
        <v/>
      </c>
      <c r="I39" s="343" t="str">
        <f t="shared" si="16"/>
        <v/>
      </c>
      <c r="K39" s="332" t="str">
        <f t="shared" si="12"/>
        <v/>
      </c>
      <c r="L39" s="367" t="str">
        <f t="shared" si="17"/>
        <v/>
      </c>
      <c r="M39" s="344" t="str">
        <f t="shared" si="18"/>
        <v/>
      </c>
      <c r="N39" s="344" t="str">
        <f t="shared" si="19"/>
        <v/>
      </c>
      <c r="O39" s="344" t="str">
        <f t="shared" si="20"/>
        <v/>
      </c>
      <c r="P39" s="344" t="str">
        <f t="shared" si="21"/>
        <v/>
      </c>
      <c r="Q39" s="351" t="str">
        <f t="shared" si="25"/>
        <v/>
      </c>
      <c r="R39" s="351" t="str">
        <f t="shared" si="26"/>
        <v/>
      </c>
    </row>
    <row r="40" spans="1:18" ht="11.25" customHeight="1">
      <c r="A40" s="328" t="str">
        <f t="shared" si="22"/>
        <v/>
      </c>
      <c r="B40" s="332" t="str">
        <f t="shared" si="11"/>
        <v/>
      </c>
      <c r="C40" s="367" t="str">
        <f t="shared" si="13"/>
        <v/>
      </c>
      <c r="D40" s="343" t="str">
        <f>IF(F6="","",ROUND(F6*0.15,2))</f>
        <v/>
      </c>
      <c r="E40" s="343" t="str">
        <f t="shared" si="23"/>
        <v/>
      </c>
      <c r="F40" s="343" t="str">
        <f t="shared" si="24"/>
        <v/>
      </c>
      <c r="G40" s="343" t="str">
        <f t="shared" si="14"/>
        <v/>
      </c>
      <c r="H40" s="343" t="str">
        <f t="shared" si="15"/>
        <v/>
      </c>
      <c r="I40" s="343" t="str">
        <f t="shared" si="16"/>
        <v/>
      </c>
      <c r="K40" s="332" t="str">
        <f t="shared" si="12"/>
        <v/>
      </c>
      <c r="L40" s="367" t="str">
        <f t="shared" si="17"/>
        <v/>
      </c>
      <c r="M40" s="344" t="str">
        <f t="shared" si="18"/>
        <v/>
      </c>
      <c r="N40" s="344" t="str">
        <f t="shared" si="19"/>
        <v/>
      </c>
      <c r="O40" s="344" t="str">
        <f t="shared" si="20"/>
        <v/>
      </c>
      <c r="P40" s="344" t="str">
        <f t="shared" si="21"/>
        <v/>
      </c>
      <c r="Q40" s="351" t="str">
        <f t="shared" si="25"/>
        <v/>
      </c>
      <c r="R40" s="351" t="str">
        <f t="shared" si="26"/>
        <v/>
      </c>
    </row>
    <row r="41" spans="1:18" ht="11.25" customHeight="1">
      <c r="A41" s="328" t="str">
        <f>IF(O7="-","-",IF(O7="","",FIXED(ROUND(O7/$A$5,2),2)))</f>
        <v/>
      </c>
      <c r="B41" s="332" t="str">
        <f t="shared" si="11"/>
        <v/>
      </c>
      <c r="C41" s="367" t="str">
        <f t="shared" si="13"/>
        <v/>
      </c>
      <c r="D41" s="343" t="str">
        <f>IF(F7="","",ROUND(F7*0.15,2))</f>
        <v/>
      </c>
      <c r="E41" s="343" t="str">
        <f t="shared" si="23"/>
        <v/>
      </c>
      <c r="F41" s="343" t="str">
        <f t="shared" si="24"/>
        <v/>
      </c>
      <c r="G41" s="343" t="str">
        <f t="shared" si="14"/>
        <v/>
      </c>
      <c r="H41" s="343" t="str">
        <f t="shared" si="15"/>
        <v/>
      </c>
      <c r="I41" s="343" t="str">
        <f t="shared" si="16"/>
        <v/>
      </c>
      <c r="K41" s="332" t="str">
        <f t="shared" si="12"/>
        <v/>
      </c>
      <c r="L41" s="367" t="str">
        <f t="shared" si="17"/>
        <v/>
      </c>
      <c r="M41" s="344" t="str">
        <f t="shared" si="18"/>
        <v/>
      </c>
      <c r="N41" s="344" t="str">
        <f t="shared" si="19"/>
        <v/>
      </c>
      <c r="O41" s="344" t="str">
        <f t="shared" si="20"/>
        <v/>
      </c>
      <c r="P41" s="344" t="str">
        <f t="shared" si="21"/>
        <v/>
      </c>
      <c r="Q41" s="351" t="str">
        <f t="shared" si="25"/>
        <v/>
      </c>
      <c r="R41" s="351" t="str">
        <f t="shared" si="26"/>
        <v/>
      </c>
    </row>
    <row r="42" spans="1:18" ht="11.25" customHeight="1">
      <c r="A42" s="328" t="str">
        <f>IF(O8="-","-",IF(O8="","",FIXED(ROUND(O8/$A$5,2),2)))</f>
        <v/>
      </c>
      <c r="B42" s="332" t="str">
        <f t="shared" si="11"/>
        <v/>
      </c>
      <c r="C42" s="367" t="str">
        <f t="shared" si="13"/>
        <v/>
      </c>
      <c r="D42" s="412" t="str">
        <f>IF(F8="","",IF(OR($A$1="2.3.",$A$1="2.4.",$A$1="2.7.",$A$1="2.8.",$A$1="2.11.",$A$1="2.12."),ROUND(F8*0.15,2),ROUND(F8*0.15,2)))</f>
        <v/>
      </c>
      <c r="E42" s="343" t="str">
        <f t="shared" si="23"/>
        <v/>
      </c>
      <c r="F42" s="343" t="str">
        <f t="shared" si="24"/>
        <v/>
      </c>
      <c r="G42" s="343" t="str">
        <f t="shared" si="14"/>
        <v/>
      </c>
      <c r="H42" s="343" t="str">
        <f t="shared" si="15"/>
        <v/>
      </c>
      <c r="I42" s="343" t="str">
        <f t="shared" si="16"/>
        <v/>
      </c>
      <c r="K42" s="332" t="str">
        <f t="shared" si="12"/>
        <v/>
      </c>
      <c r="L42" s="367" t="str">
        <f t="shared" si="17"/>
        <v/>
      </c>
      <c r="M42" s="344" t="str">
        <f t="shared" si="18"/>
        <v/>
      </c>
      <c r="N42" s="344" t="str">
        <f t="shared" si="19"/>
        <v/>
      </c>
      <c r="O42" s="344" t="str">
        <f t="shared" si="20"/>
        <v/>
      </c>
      <c r="P42" s="344" t="str">
        <f t="shared" si="21"/>
        <v/>
      </c>
      <c r="Q42" s="351" t="str">
        <f t="shared" si="25"/>
        <v/>
      </c>
      <c r="R42" s="351" t="str">
        <f t="shared" si="26"/>
        <v/>
      </c>
    </row>
    <row r="43" spans="1:18" ht="11.25" customHeight="1">
      <c r="A43" s="328" t="str">
        <f t="shared" si="22"/>
        <v/>
      </c>
      <c r="B43" s="332" t="str">
        <f t="shared" si="11"/>
        <v/>
      </c>
      <c r="C43" s="367" t="str">
        <f t="shared" si="13"/>
        <v/>
      </c>
      <c r="D43" s="413" t="str">
        <f>IF(F9="","",IF(OR($A$1="2.3.",$A$1="2.4.",$A$1="2.7.",$A$1="2.8.",$A$1="2.11.",$A$1="2.12."),ROUND(F9*0.3,2),ROUND(F9*0.15,2)))</f>
        <v/>
      </c>
      <c r="E43" s="343" t="str">
        <f t="shared" si="23"/>
        <v/>
      </c>
      <c r="F43" s="343" t="str">
        <f t="shared" si="24"/>
        <v/>
      </c>
      <c r="G43" s="343" t="str">
        <f t="shared" si="14"/>
        <v/>
      </c>
      <c r="H43" s="343" t="str">
        <f t="shared" si="15"/>
        <v/>
      </c>
      <c r="I43" s="343" t="str">
        <f t="shared" si="16"/>
        <v/>
      </c>
      <c r="K43" s="332" t="str">
        <f t="shared" si="12"/>
        <v/>
      </c>
      <c r="L43" s="367" t="str">
        <f t="shared" si="17"/>
        <v/>
      </c>
      <c r="M43" s="344" t="str">
        <f t="shared" si="18"/>
        <v/>
      </c>
      <c r="N43" s="344" t="str">
        <f t="shared" si="19"/>
        <v/>
      </c>
      <c r="O43" s="344" t="str">
        <f t="shared" si="20"/>
        <v/>
      </c>
      <c r="P43" s="344" t="str">
        <f t="shared" si="21"/>
        <v/>
      </c>
      <c r="Q43" s="351" t="str">
        <f t="shared" si="25"/>
        <v/>
      </c>
      <c r="R43" s="351" t="str">
        <f t="shared" si="26"/>
        <v/>
      </c>
    </row>
    <row r="44" spans="1:18" ht="11.25" customHeight="1">
      <c r="A44" s="328" t="str">
        <f t="shared" si="22"/>
        <v/>
      </c>
      <c r="B44" s="332" t="str">
        <f t="shared" si="11"/>
        <v/>
      </c>
      <c r="C44" s="367" t="str">
        <f t="shared" si="13"/>
        <v/>
      </c>
      <c r="D44" s="440" t="str">
        <f>IF(F10="","",IF(OR($A$1="2.3.",$A$1="2.4.",$A$1="2.7.",$A$1="2.8.",$A$1="2.11.",$A$1="2.12."),ROUND(F10*0.3,2),ROUND(F10*0.15,2)))</f>
        <v/>
      </c>
      <c r="E44" s="343" t="str">
        <f t="shared" si="23"/>
        <v/>
      </c>
      <c r="F44" s="343" t="str">
        <f t="shared" si="24"/>
        <v/>
      </c>
      <c r="G44" s="343" t="str">
        <f t="shared" si="14"/>
        <v/>
      </c>
      <c r="H44" s="343" t="str">
        <f t="shared" si="15"/>
        <v/>
      </c>
      <c r="I44" s="343" t="str">
        <f t="shared" si="16"/>
        <v/>
      </c>
      <c r="K44" s="332" t="str">
        <f t="shared" si="12"/>
        <v/>
      </c>
      <c r="L44" s="367" t="str">
        <f t="shared" si="17"/>
        <v/>
      </c>
      <c r="M44" s="344" t="str">
        <f t="shared" si="18"/>
        <v/>
      </c>
      <c r="N44" s="344" t="str">
        <f t="shared" si="19"/>
        <v/>
      </c>
      <c r="O44" s="344" t="str">
        <f t="shared" si="20"/>
        <v/>
      </c>
      <c r="P44" s="344" t="str">
        <f t="shared" si="21"/>
        <v/>
      </c>
      <c r="Q44" s="351" t="str">
        <f t="shared" si="25"/>
        <v/>
      </c>
      <c r="R44" s="351" t="str">
        <f t="shared" si="26"/>
        <v/>
      </c>
    </row>
    <row r="45" spans="1:18" ht="11.25" customHeight="1">
      <c r="A45" s="328" t="str">
        <f t="shared" si="22"/>
        <v/>
      </c>
      <c r="B45" s="332" t="str">
        <f t="shared" si="11"/>
        <v/>
      </c>
      <c r="C45" s="367" t="str">
        <f t="shared" si="13"/>
        <v/>
      </c>
      <c r="D45" s="343" t="str">
        <f t="shared" ref="D45:D57" si="27">IF(F11="","",ROUND(F11*0.3,2))</f>
        <v/>
      </c>
      <c r="E45" s="343" t="str">
        <f t="shared" si="23"/>
        <v/>
      </c>
      <c r="F45" s="343" t="str">
        <f t="shared" si="24"/>
        <v/>
      </c>
      <c r="G45" s="343" t="str">
        <f t="shared" si="14"/>
        <v/>
      </c>
      <c r="H45" s="343" t="str">
        <f t="shared" si="15"/>
        <v/>
      </c>
      <c r="I45" s="343" t="str">
        <f t="shared" si="16"/>
        <v/>
      </c>
      <c r="K45" s="332" t="str">
        <f t="shared" si="12"/>
        <v/>
      </c>
      <c r="L45" s="367" t="str">
        <f t="shared" si="17"/>
        <v/>
      </c>
      <c r="M45" s="344" t="str">
        <f t="shared" si="18"/>
        <v/>
      </c>
      <c r="N45" s="344" t="str">
        <f t="shared" si="19"/>
        <v/>
      </c>
      <c r="O45" s="344" t="str">
        <f t="shared" si="20"/>
        <v/>
      </c>
      <c r="P45" s="344" t="str">
        <f t="shared" si="21"/>
        <v/>
      </c>
      <c r="Q45" s="351" t="str">
        <f t="shared" si="25"/>
        <v/>
      </c>
      <c r="R45" s="351" t="str">
        <f t="shared" si="26"/>
        <v/>
      </c>
    </row>
    <row r="46" spans="1:18" ht="11.25" customHeight="1">
      <c r="A46" s="328" t="str">
        <f t="shared" si="22"/>
        <v/>
      </c>
      <c r="B46" s="332" t="str">
        <f t="shared" si="11"/>
        <v/>
      </c>
      <c r="C46" s="367" t="str">
        <f t="shared" si="13"/>
        <v/>
      </c>
      <c r="D46" s="343" t="str">
        <f t="shared" si="27"/>
        <v/>
      </c>
      <c r="E46" s="343" t="str">
        <f t="shared" si="23"/>
        <v/>
      </c>
      <c r="F46" s="343" t="str">
        <f t="shared" si="24"/>
        <v/>
      </c>
      <c r="G46" s="343" t="str">
        <f t="shared" si="14"/>
        <v/>
      </c>
      <c r="H46" s="343" t="str">
        <f t="shared" si="15"/>
        <v/>
      </c>
      <c r="I46" s="343" t="str">
        <f t="shared" si="16"/>
        <v/>
      </c>
      <c r="K46" s="332" t="str">
        <f t="shared" si="12"/>
        <v/>
      </c>
      <c r="L46" s="367" t="str">
        <f t="shared" si="17"/>
        <v/>
      </c>
      <c r="M46" s="344" t="str">
        <f t="shared" si="18"/>
        <v/>
      </c>
      <c r="N46" s="344" t="str">
        <f t="shared" si="19"/>
        <v/>
      </c>
      <c r="O46" s="344" t="str">
        <f t="shared" si="20"/>
        <v/>
      </c>
      <c r="P46" s="344" t="str">
        <f t="shared" si="21"/>
        <v/>
      </c>
      <c r="Q46" s="351" t="str">
        <f t="shared" si="25"/>
        <v/>
      </c>
      <c r="R46" s="351" t="str">
        <f t="shared" si="26"/>
        <v/>
      </c>
    </row>
    <row r="47" spans="1:18" ht="11.25" customHeight="1">
      <c r="A47" s="328" t="str">
        <f t="shared" si="22"/>
        <v/>
      </c>
      <c r="B47" s="332" t="str">
        <f t="shared" si="11"/>
        <v/>
      </c>
      <c r="C47" s="367" t="str">
        <f t="shared" si="13"/>
        <v/>
      </c>
      <c r="D47" s="343" t="str">
        <f t="shared" si="27"/>
        <v/>
      </c>
      <c r="E47" s="343" t="str">
        <f t="shared" si="23"/>
        <v/>
      </c>
      <c r="F47" s="343" t="str">
        <f t="shared" si="24"/>
        <v/>
      </c>
      <c r="G47" s="343" t="str">
        <f t="shared" si="14"/>
        <v/>
      </c>
      <c r="H47" s="343" t="str">
        <f t="shared" si="15"/>
        <v/>
      </c>
      <c r="I47" s="343" t="str">
        <f t="shared" si="16"/>
        <v/>
      </c>
      <c r="K47" s="332" t="str">
        <f t="shared" si="12"/>
        <v/>
      </c>
      <c r="L47" s="367" t="str">
        <f t="shared" si="17"/>
        <v/>
      </c>
      <c r="M47" s="344" t="str">
        <f t="shared" si="18"/>
        <v/>
      </c>
      <c r="N47" s="344" t="str">
        <f t="shared" si="19"/>
        <v/>
      </c>
      <c r="O47" s="344" t="str">
        <f t="shared" si="20"/>
        <v/>
      </c>
      <c r="P47" s="344" t="str">
        <f t="shared" si="21"/>
        <v/>
      </c>
      <c r="Q47" s="351" t="str">
        <f t="shared" si="25"/>
        <v/>
      </c>
      <c r="R47" s="351" t="str">
        <f t="shared" si="26"/>
        <v/>
      </c>
    </row>
    <row r="48" spans="1:18" ht="11.25" customHeight="1">
      <c r="A48" s="328" t="str">
        <f t="shared" si="22"/>
        <v/>
      </c>
      <c r="B48" s="332" t="str">
        <f t="shared" si="11"/>
        <v/>
      </c>
      <c r="C48" s="367" t="str">
        <f t="shared" si="13"/>
        <v/>
      </c>
      <c r="D48" s="343" t="str">
        <f t="shared" si="27"/>
        <v/>
      </c>
      <c r="E48" s="343" t="str">
        <f t="shared" si="23"/>
        <v/>
      </c>
      <c r="F48" s="343" t="str">
        <f t="shared" si="24"/>
        <v/>
      </c>
      <c r="G48" s="343" t="str">
        <f t="shared" si="14"/>
        <v/>
      </c>
      <c r="H48" s="343" t="str">
        <f t="shared" si="15"/>
        <v/>
      </c>
      <c r="I48" s="343" t="str">
        <f t="shared" si="16"/>
        <v/>
      </c>
      <c r="K48" s="332" t="str">
        <f t="shared" si="12"/>
        <v/>
      </c>
      <c r="L48" s="367" t="str">
        <f t="shared" si="17"/>
        <v/>
      </c>
      <c r="M48" s="344" t="str">
        <f t="shared" si="18"/>
        <v/>
      </c>
      <c r="N48" s="344" t="str">
        <f t="shared" si="19"/>
        <v/>
      </c>
      <c r="O48" s="344" t="str">
        <f t="shared" si="20"/>
        <v/>
      </c>
      <c r="P48" s="344" t="str">
        <f t="shared" si="21"/>
        <v/>
      </c>
      <c r="Q48" s="351" t="str">
        <f t="shared" si="25"/>
        <v/>
      </c>
      <c r="R48" s="351" t="str">
        <f t="shared" si="26"/>
        <v/>
      </c>
    </row>
    <row r="49" spans="1:18" ht="11.25" customHeight="1">
      <c r="A49" s="328" t="str">
        <f t="shared" si="22"/>
        <v/>
      </c>
      <c r="B49" s="332" t="str">
        <f t="shared" si="11"/>
        <v/>
      </c>
      <c r="C49" s="367" t="str">
        <f t="shared" si="13"/>
        <v/>
      </c>
      <c r="D49" s="343" t="str">
        <f t="shared" si="27"/>
        <v/>
      </c>
      <c r="E49" s="343" t="str">
        <f t="shared" si="23"/>
        <v/>
      </c>
      <c r="F49" s="343" t="str">
        <f t="shared" si="24"/>
        <v/>
      </c>
      <c r="G49" s="343" t="str">
        <f t="shared" si="14"/>
        <v/>
      </c>
      <c r="H49" s="343" t="str">
        <f t="shared" si="15"/>
        <v/>
      </c>
      <c r="I49" s="343" t="str">
        <f t="shared" si="16"/>
        <v/>
      </c>
      <c r="K49" s="332" t="str">
        <f t="shared" si="12"/>
        <v/>
      </c>
      <c r="L49" s="367" t="str">
        <f t="shared" si="17"/>
        <v/>
      </c>
      <c r="M49" s="344" t="str">
        <f t="shared" si="18"/>
        <v/>
      </c>
      <c r="N49" s="344" t="str">
        <f t="shared" si="19"/>
        <v/>
      </c>
      <c r="O49" s="344" t="str">
        <f t="shared" si="20"/>
        <v/>
      </c>
      <c r="P49" s="344" t="str">
        <f t="shared" si="21"/>
        <v/>
      </c>
      <c r="Q49" s="351" t="str">
        <f t="shared" si="25"/>
        <v/>
      </c>
      <c r="R49" s="351" t="str">
        <f t="shared" si="26"/>
        <v/>
      </c>
    </row>
    <row r="50" spans="1:18" ht="11.25" customHeight="1">
      <c r="A50" s="328" t="str">
        <f t="shared" si="22"/>
        <v/>
      </c>
      <c r="B50" s="332" t="str">
        <f t="shared" si="11"/>
        <v/>
      </c>
      <c r="C50" s="367" t="str">
        <f t="shared" si="13"/>
        <v/>
      </c>
      <c r="D50" s="343" t="str">
        <f t="shared" si="27"/>
        <v/>
      </c>
      <c r="E50" s="343" t="str">
        <f t="shared" si="23"/>
        <v/>
      </c>
      <c r="F50" s="343" t="str">
        <f t="shared" si="24"/>
        <v/>
      </c>
      <c r="G50" s="343" t="str">
        <f t="shared" si="14"/>
        <v/>
      </c>
      <c r="H50" s="343" t="str">
        <f t="shared" si="15"/>
        <v/>
      </c>
      <c r="I50" s="343" t="str">
        <f t="shared" si="16"/>
        <v/>
      </c>
      <c r="K50" s="332" t="str">
        <f t="shared" si="12"/>
        <v/>
      </c>
      <c r="L50" s="367" t="str">
        <f t="shared" si="17"/>
        <v/>
      </c>
      <c r="M50" s="344" t="str">
        <f t="shared" si="18"/>
        <v/>
      </c>
      <c r="N50" s="344" t="str">
        <f t="shared" si="19"/>
        <v/>
      </c>
      <c r="O50" s="344" t="str">
        <f t="shared" si="20"/>
        <v/>
      </c>
      <c r="P50" s="344" t="str">
        <f t="shared" si="21"/>
        <v/>
      </c>
      <c r="Q50" s="351" t="str">
        <f t="shared" si="25"/>
        <v/>
      </c>
      <c r="R50" s="351" t="str">
        <f t="shared" si="26"/>
        <v/>
      </c>
    </row>
    <row r="51" spans="1:18" ht="11.25" customHeight="1">
      <c r="A51" s="328" t="str">
        <f t="shared" si="22"/>
        <v/>
      </c>
      <c r="B51" s="332" t="str">
        <f t="shared" si="11"/>
        <v/>
      </c>
      <c r="C51" s="367" t="str">
        <f t="shared" si="13"/>
        <v/>
      </c>
      <c r="D51" s="343" t="str">
        <f t="shared" si="27"/>
        <v/>
      </c>
      <c r="E51" s="343" t="str">
        <f t="shared" si="23"/>
        <v/>
      </c>
      <c r="F51" s="343" t="str">
        <f t="shared" si="24"/>
        <v/>
      </c>
      <c r="G51" s="343" t="str">
        <f t="shared" si="14"/>
        <v/>
      </c>
      <c r="H51" s="343" t="str">
        <f t="shared" si="15"/>
        <v/>
      </c>
      <c r="I51" s="343" t="str">
        <f t="shared" si="16"/>
        <v/>
      </c>
      <c r="K51" s="332" t="str">
        <f t="shared" si="12"/>
        <v/>
      </c>
      <c r="L51" s="367" t="str">
        <f t="shared" si="17"/>
        <v/>
      </c>
      <c r="M51" s="344" t="str">
        <f t="shared" si="18"/>
        <v/>
      </c>
      <c r="N51" s="344" t="str">
        <f t="shared" si="19"/>
        <v/>
      </c>
      <c r="O51" s="344" t="str">
        <f t="shared" si="20"/>
        <v/>
      </c>
      <c r="P51" s="344" t="str">
        <f t="shared" si="21"/>
        <v/>
      </c>
      <c r="Q51" s="351" t="str">
        <f t="shared" si="25"/>
        <v/>
      </c>
      <c r="R51" s="351" t="str">
        <f t="shared" si="26"/>
        <v/>
      </c>
    </row>
    <row r="52" spans="1:18" ht="11.25" customHeight="1">
      <c r="A52" s="328" t="str">
        <f t="shared" si="22"/>
        <v/>
      </c>
      <c r="B52" s="332" t="str">
        <f t="shared" si="11"/>
        <v/>
      </c>
      <c r="C52" s="367" t="str">
        <f t="shared" si="13"/>
        <v/>
      </c>
      <c r="D52" s="343" t="str">
        <f t="shared" si="27"/>
        <v/>
      </c>
      <c r="E52" s="343" t="str">
        <f t="shared" si="23"/>
        <v/>
      </c>
      <c r="F52" s="343" t="str">
        <f t="shared" si="24"/>
        <v/>
      </c>
      <c r="G52" s="343" t="str">
        <f t="shared" si="14"/>
        <v/>
      </c>
      <c r="H52" s="343" t="str">
        <f t="shared" si="15"/>
        <v/>
      </c>
      <c r="I52" s="343" t="str">
        <f t="shared" si="16"/>
        <v/>
      </c>
      <c r="K52" s="332" t="str">
        <f t="shared" si="12"/>
        <v/>
      </c>
      <c r="L52" s="367" t="str">
        <f t="shared" si="17"/>
        <v/>
      </c>
      <c r="M52" s="344" t="str">
        <f t="shared" si="18"/>
        <v/>
      </c>
      <c r="N52" s="344" t="str">
        <f t="shared" si="19"/>
        <v/>
      </c>
      <c r="O52" s="344" t="str">
        <f t="shared" si="20"/>
        <v/>
      </c>
      <c r="P52" s="344" t="str">
        <f t="shared" si="21"/>
        <v/>
      </c>
      <c r="Q52" s="351" t="str">
        <f t="shared" si="25"/>
        <v/>
      </c>
      <c r="R52" s="351" t="str">
        <f t="shared" si="26"/>
        <v/>
      </c>
    </row>
    <row r="53" spans="1:18" ht="11.25" customHeight="1">
      <c r="A53" s="328" t="str">
        <f t="shared" si="22"/>
        <v/>
      </c>
      <c r="B53" s="332" t="str">
        <f t="shared" si="11"/>
        <v/>
      </c>
      <c r="C53" s="367" t="str">
        <f t="shared" si="13"/>
        <v/>
      </c>
      <c r="D53" s="343" t="str">
        <f t="shared" si="27"/>
        <v/>
      </c>
      <c r="E53" s="343" t="str">
        <f t="shared" si="23"/>
        <v/>
      </c>
      <c r="F53" s="343" t="str">
        <f t="shared" si="24"/>
        <v/>
      </c>
      <c r="G53" s="343" t="str">
        <f t="shared" si="14"/>
        <v/>
      </c>
      <c r="H53" s="343" t="str">
        <f t="shared" si="15"/>
        <v/>
      </c>
      <c r="I53" s="343" t="str">
        <f t="shared" si="16"/>
        <v/>
      </c>
      <c r="K53" s="332" t="str">
        <f t="shared" si="12"/>
        <v/>
      </c>
      <c r="L53" s="367" t="str">
        <f t="shared" si="17"/>
        <v/>
      </c>
      <c r="M53" s="344" t="str">
        <f t="shared" si="18"/>
        <v/>
      </c>
      <c r="N53" s="344" t="str">
        <f t="shared" si="19"/>
        <v/>
      </c>
      <c r="O53" s="344" t="str">
        <f t="shared" si="20"/>
        <v/>
      </c>
      <c r="P53" s="344" t="str">
        <f t="shared" si="21"/>
        <v/>
      </c>
      <c r="Q53" s="351" t="str">
        <f t="shared" si="25"/>
        <v/>
      </c>
      <c r="R53" s="351" t="str">
        <f t="shared" si="26"/>
        <v/>
      </c>
    </row>
    <row r="54" spans="1:18" ht="11.25" customHeight="1">
      <c r="A54" s="328" t="str">
        <f t="shared" si="22"/>
        <v/>
      </c>
      <c r="B54" s="332" t="str">
        <f t="shared" si="11"/>
        <v/>
      </c>
      <c r="C54" s="367" t="str">
        <f t="shared" si="13"/>
        <v/>
      </c>
      <c r="D54" s="343" t="str">
        <f t="shared" si="27"/>
        <v/>
      </c>
      <c r="E54" s="343" t="str">
        <f t="shared" si="23"/>
        <v/>
      </c>
      <c r="F54" s="343" t="str">
        <f t="shared" si="24"/>
        <v/>
      </c>
      <c r="G54" s="343" t="str">
        <f>IF(F20="","",ROUND(F20*$G$36,2))</f>
        <v/>
      </c>
      <c r="H54" s="343" t="str">
        <f>IF(F20="","",ROUND(F20*$H$36,2))</f>
        <v/>
      </c>
      <c r="I54" s="343" t="str">
        <f>IF(F20="","",ROUND(F20*$I$36,2))</f>
        <v/>
      </c>
      <c r="K54" s="332" t="str">
        <f t="shared" si="12"/>
        <v/>
      </c>
      <c r="L54" s="367" t="str">
        <f t="shared" si="17"/>
        <v/>
      </c>
      <c r="M54" s="344" t="str">
        <f t="shared" si="18"/>
        <v/>
      </c>
      <c r="N54" s="344" t="str">
        <f t="shared" si="19"/>
        <v/>
      </c>
      <c r="O54" s="344" t="str">
        <f t="shared" si="20"/>
        <v/>
      </c>
      <c r="P54" s="344" t="str">
        <f t="shared" si="21"/>
        <v/>
      </c>
      <c r="Q54" s="351" t="str">
        <f>P54</f>
        <v/>
      </c>
      <c r="R54" s="351" t="str">
        <f>P54</f>
        <v/>
      </c>
    </row>
    <row r="55" spans="1:18" ht="11.25" customHeight="1">
      <c r="A55" s="328" t="str">
        <f>IF(O21="-","-",IF(O21="","",FIXED(ROUND(O21/$A$5,2),2)))</f>
        <v/>
      </c>
      <c r="B55" s="332" t="str">
        <f t="shared" si="11"/>
        <v/>
      </c>
      <c r="C55" s="367" t="str">
        <f t="shared" si="13"/>
        <v/>
      </c>
      <c r="D55" s="343" t="str">
        <f t="shared" si="27"/>
        <v/>
      </c>
      <c r="E55" s="343" t="str">
        <f t="shared" si="23"/>
        <v/>
      </c>
      <c r="F55" s="343" t="str">
        <f t="shared" si="24"/>
        <v/>
      </c>
      <c r="G55" s="343" t="str">
        <f>IF(F21="","",ROUND(F21*$G$36,2))</f>
        <v/>
      </c>
      <c r="H55" s="343" t="str">
        <f>IF(F21="","",ROUND(F21*$H$36,2))</f>
        <v/>
      </c>
      <c r="I55" s="343" t="str">
        <f>IF(F21="","",ROUND(F21*$I$36,2))</f>
        <v/>
      </c>
      <c r="K55" s="332" t="str">
        <f t="shared" si="12"/>
        <v/>
      </c>
      <c r="L55" s="367" t="str">
        <f t="shared" si="17"/>
        <v/>
      </c>
      <c r="M55" s="344" t="str">
        <f t="shared" si="18"/>
        <v/>
      </c>
      <c r="N55" s="344" t="str">
        <f t="shared" si="19"/>
        <v/>
      </c>
      <c r="O55" s="344" t="str">
        <f t="shared" si="20"/>
        <v/>
      </c>
      <c r="P55" s="344" t="str">
        <f t="shared" si="21"/>
        <v/>
      </c>
      <c r="Q55" s="351" t="str">
        <f>P55</f>
        <v/>
      </c>
      <c r="R55" s="351" t="str">
        <f>P55</f>
        <v/>
      </c>
    </row>
    <row r="56" spans="1:18" ht="11.25" customHeight="1">
      <c r="A56" s="328" t="str">
        <f t="shared" si="22"/>
        <v/>
      </c>
      <c r="B56" s="332" t="str">
        <f t="shared" si="11"/>
        <v/>
      </c>
      <c r="C56" s="367" t="str">
        <f t="shared" si="13"/>
        <v/>
      </c>
      <c r="D56" s="343" t="str">
        <f t="shared" si="27"/>
        <v/>
      </c>
      <c r="E56" s="343" t="str">
        <f t="shared" si="23"/>
        <v/>
      </c>
      <c r="F56" s="343" t="str">
        <f t="shared" si="24"/>
        <v/>
      </c>
      <c r="G56" s="343" t="str">
        <f>IF(F22="","",ROUND(F22*$G$36,2))</f>
        <v/>
      </c>
      <c r="H56" s="343" t="str">
        <f>IF(F22="","",ROUND(F22*$H$36,2))</f>
        <v/>
      </c>
      <c r="I56" s="343" t="str">
        <f>IF(F22="","",ROUND(F22*$I$36,2))</f>
        <v/>
      </c>
      <c r="K56" s="332" t="str">
        <f t="shared" si="12"/>
        <v/>
      </c>
      <c r="L56" s="367" t="str">
        <f t="shared" si="17"/>
        <v/>
      </c>
      <c r="M56" s="344" t="str">
        <f t="shared" si="18"/>
        <v/>
      </c>
      <c r="N56" s="344" t="str">
        <f t="shared" si="19"/>
        <v/>
      </c>
      <c r="O56" s="344" t="str">
        <f t="shared" si="20"/>
        <v/>
      </c>
      <c r="P56" s="344" t="str">
        <f t="shared" si="21"/>
        <v/>
      </c>
      <c r="Q56" s="351" t="str">
        <f>P56</f>
        <v/>
      </c>
      <c r="R56" s="351" t="str">
        <f>P56</f>
        <v/>
      </c>
    </row>
    <row r="57" spans="1:18" ht="11.25" customHeight="1">
      <c r="A57" s="328" t="str">
        <f t="shared" si="22"/>
        <v/>
      </c>
      <c r="B57" s="332" t="str">
        <f t="shared" si="11"/>
        <v/>
      </c>
      <c r="C57" s="367" t="str">
        <f t="shared" si="13"/>
        <v/>
      </c>
      <c r="D57" s="343" t="str">
        <f t="shared" si="27"/>
        <v/>
      </c>
      <c r="E57" s="343" t="str">
        <f t="shared" si="23"/>
        <v/>
      </c>
      <c r="F57" s="343" t="str">
        <f t="shared" si="24"/>
        <v/>
      </c>
      <c r="G57" s="343" t="str">
        <f>IF(F23="","",ROUND(F23*$G$36,2))</f>
        <v/>
      </c>
      <c r="H57" s="343" t="str">
        <f>IF(F23="","",ROUND(F23*$H$36,2))</f>
        <v/>
      </c>
      <c r="I57" s="343" t="str">
        <f>IF(F23="","",ROUND(F23*$I$36,2))</f>
        <v/>
      </c>
      <c r="K57" s="332" t="str">
        <f t="shared" si="12"/>
        <v/>
      </c>
      <c r="L57" s="367" t="str">
        <f t="shared" si="17"/>
        <v/>
      </c>
      <c r="M57" s="344" t="str">
        <f t="shared" si="18"/>
        <v/>
      </c>
      <c r="N57" s="344" t="str">
        <f t="shared" si="19"/>
        <v/>
      </c>
      <c r="O57" s="344" t="str">
        <f t="shared" si="20"/>
        <v/>
      </c>
      <c r="P57" s="344" t="str">
        <f t="shared" si="21"/>
        <v/>
      </c>
      <c r="Q57" s="351" t="str">
        <f>P57</f>
        <v/>
      </c>
      <c r="R57" s="351" t="str">
        <f>P57</f>
        <v/>
      </c>
    </row>
  </sheetData>
  <mergeCells count="7">
    <mergeCell ref="B26:C35"/>
    <mergeCell ref="I26:I35"/>
    <mergeCell ref="G26:G35"/>
    <mergeCell ref="H26:H35"/>
    <mergeCell ref="D26:D35"/>
    <mergeCell ref="E26:E35"/>
    <mergeCell ref="F26:F35"/>
  </mergeCells>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AB63"/>
  <sheetViews>
    <sheetView workbookViewId="0">
      <selection activeCell="J55" sqref="J55"/>
    </sheetView>
  </sheetViews>
  <sheetFormatPr baseColWidth="10" defaultColWidth="8.5703125" defaultRowHeight="11.25" customHeight="1"/>
  <cols>
    <col min="1" max="1" width="23.140625" style="329" customWidth="1"/>
    <col min="2" max="3" width="5.7109375" style="329" customWidth="1"/>
    <col min="4" max="9" width="8.5703125" style="329"/>
    <col min="10" max="10" width="21.42578125" style="329" customWidth="1"/>
    <col min="11" max="12" width="5.7109375" style="329" customWidth="1"/>
    <col min="13" max="16384" width="8.5703125" style="329"/>
  </cols>
  <sheetData>
    <row r="1" spans="1:18" ht="11.25" customHeight="1">
      <c r="A1" s="329" t="str">
        <f>Umse!B11</f>
        <v>1.2.</v>
      </c>
    </row>
    <row r="2" spans="1:18" ht="11.25" customHeight="1">
      <c r="A2" s="329" t="s">
        <v>26</v>
      </c>
      <c r="B2" s="372"/>
      <c r="C2" s="372"/>
      <c r="K2" s="372"/>
      <c r="L2" s="372"/>
      <c r="M2" s="520" t="s">
        <v>494</v>
      </c>
    </row>
    <row r="3" spans="1:18" ht="11.25" customHeight="1">
      <c r="A3" s="338" t="str">
        <f>IF(OR(Umse!B11="2.1.",Umse!B11="2.2."),'V Tab'!A529,IF(OR(Umse!B11="2.5.",Umse!B11="2.6."),'V Tab'!A553,IF(OR(Umse!B11="2.9.",Umse!B11="2.10."),'V Tab'!A577,"")))</f>
        <v/>
      </c>
      <c r="B3" s="355" t="str">
        <f>'V Ist'!T2</f>
        <v xml:space="preserve">   Entgeltgruppe</v>
      </c>
      <c r="C3" s="331"/>
      <c r="D3" s="332" t="s">
        <v>7</v>
      </c>
      <c r="E3" s="332" t="s">
        <v>8</v>
      </c>
      <c r="F3" s="332" t="s">
        <v>9</v>
      </c>
      <c r="G3" s="332" t="s">
        <v>10</v>
      </c>
      <c r="H3" s="332" t="s">
        <v>11</v>
      </c>
      <c r="I3" s="332" t="s">
        <v>12</v>
      </c>
      <c r="K3" s="355" t="str">
        <f>'V Ist'!V2</f>
        <v xml:space="preserve">    Entgeltgruppe</v>
      </c>
      <c r="L3" s="332"/>
      <c r="M3" s="332" t="s">
        <v>7</v>
      </c>
      <c r="N3" s="332" t="s">
        <v>8</v>
      </c>
      <c r="O3" s="332" t="s">
        <v>9</v>
      </c>
      <c r="P3" s="332" t="s">
        <v>10</v>
      </c>
      <c r="Q3" s="332" t="s">
        <v>11</v>
      </c>
      <c r="R3" s="332" t="s">
        <v>12</v>
      </c>
    </row>
    <row r="4" spans="1:18" ht="11.25" customHeight="1">
      <c r="A4" s="329" t="s">
        <v>217</v>
      </c>
      <c r="B4" s="335" t="str">
        <f>IF(OR(Umse!$B$11="2.1.",Umse!$B$11="2.2."),'V Tab'!A530,IF(OR(Umse!$B$11="2.5.",Umse!$B$11="2.6."),'V Tab'!A554,IF(OR(Umse!$B$11="2.9.",Umse!$B$11="2.10."),'V Tab'!A578,"")))</f>
        <v/>
      </c>
      <c r="C4" s="367" t="str">
        <f>IF(OR(Umse!$B$11="2.1.",Umse!$B$11="2.2."),'V Tab'!B530,IF(OR(Umse!$B$11="2.5.",Umse!$B$11="2.6."),'V Tab'!B554,IF(OR(Umse!$B$11="2.9.",Umse!$B$11="2.10."),'V Tab'!B578,"")))</f>
        <v/>
      </c>
      <c r="D4" s="335" t="str">
        <f>IF(OR(Umse!$B$11="2.1.",Umse!$B$11="2.2."),'V Tab'!C530,IF(OR(Umse!$B$11="2.5.",Umse!$B$11="2.6."),'V Tab'!C554,IF(OR(Umse!$B$11="2.9.",Umse!$B$11="2.10."),'V Tab'!C578,"")))</f>
        <v/>
      </c>
      <c r="E4" s="335" t="str">
        <f>IF(OR(Umse!$B$11="2.1.",Umse!$B$11="2.2."),'V Tab'!D530,IF(OR(Umse!$B$11="2.5.",Umse!$B$11="2.6."),'V Tab'!D554,IF(OR(Umse!$B$11="2.9.",Umse!$B$11="2.10."),'V Tab'!D578,"")))</f>
        <v/>
      </c>
      <c r="F4" s="335" t="str">
        <f>IF(OR(Umse!$B$11="2.1.",Umse!$B$11="2.2."),'V Tab'!E530,IF(OR(Umse!$B$11="2.5.",Umse!$B$11="2.6."),'V Tab'!E554,IF(OR(Umse!$B$11="2.9.",Umse!$B$11="2.10."),'V Tab'!E578,"")))</f>
        <v/>
      </c>
      <c r="G4" s="335" t="str">
        <f>IF(OR(Umse!$B$11="2.1.",Umse!$B$11="2.2."),'V Tab'!F530,IF(OR(Umse!$B$11="2.5.",Umse!$B$11="2.6."),'V Tab'!F554,IF(OR(Umse!$B$11="2.9.",Umse!$B$11="2.10."),'V Tab'!F578,"")))</f>
        <v/>
      </c>
      <c r="H4" s="335" t="str">
        <f>IF(OR(Umse!$B$11="2.1.",Umse!$B$11="2.2."),'V Tab'!G530,IF(OR(Umse!$B$11="2.5.",Umse!$B$11="2.6."),'V Tab'!G554,IF(OR(Umse!$B$11="2.9.",Umse!$B$11="2.10."),'V Tab'!G578,"")))</f>
        <v/>
      </c>
      <c r="I4" s="335" t="str">
        <f>IF(OR(Umse!$B$11="2.1.",Umse!$B$11="2.2."),'V Tab'!H530,IF(OR(Umse!$B$11="2.5.",Umse!$B$11="2.6."),'V Tab'!H554,IF(OR(Umse!$B$11="2.9.",Umse!$B$11="2.10."),'V Tab'!H578,"")))</f>
        <v/>
      </c>
      <c r="K4" s="331" t="str">
        <f>'V Ist'!T3</f>
        <v>EG S</v>
      </c>
      <c r="L4" s="363">
        <f>'V Ist'!U3</f>
        <v>18</v>
      </c>
      <c r="M4" s="335" t="str">
        <f>IF(OR(Umse!$B$11="2.3.",Umse!$B$11="2.4."),'V Tab'!U530,IF(OR(Umse!$B$11="2.7.",Umse!$B$11="2.8."),'V Tab'!U554,IF(OR(Umse!$B$11="2.11.",Umse!$B$11="2.12."),'V Tab'!U578,"")))</f>
        <v/>
      </c>
      <c r="N4" s="335" t="str">
        <f>IF(OR(Umse!$B$11="2.3.",Umse!$B$11="2.4."),'V Tab'!V530,IF(OR(Umse!$B$11="2.7.",Umse!$B$11="2.8."),'V Tab'!V554,IF(OR(Umse!$B$11="2.11.",Umse!$B$11="2.12."),'V Tab'!V578,"")))</f>
        <v/>
      </c>
      <c r="O4" s="335" t="str">
        <f>IF(OR(Umse!$B$11="2.3.",Umse!$B$11="2.4."),'V Tab'!W530,IF(OR(Umse!$B$11="2.7.",Umse!$B$11="2.8."),'V Tab'!W554,IF(OR(Umse!$B$11="2.11.",Umse!$B$11="2.12."),'V Tab'!W578,"")))</f>
        <v/>
      </c>
      <c r="P4" s="335" t="str">
        <f>IF(OR(Umse!$B$11="2.3.",Umse!$B$11="2.4."),'V Tab'!X530,IF(OR(Umse!$B$11="2.7.",Umse!$B$11="2.8."),'V Tab'!X554,IF(OR(Umse!$B$11="2.11.",Umse!$B$11="2.12."),'V Tab'!X578,"")))</f>
        <v/>
      </c>
      <c r="Q4" s="335" t="str">
        <f>IF(OR(Umse!$B$11="2.3.",Umse!$B$11="2.4."),'V Tab'!Y530,IF(OR(Umse!$B$11="2.7.",Umse!$B$11="2.8."),'V Tab'!Y554,IF(OR(Umse!$B$11="2.11.",Umse!$B$11="2.12."),'V Tab'!Y578,"")))</f>
        <v/>
      </c>
      <c r="R4" s="335" t="str">
        <f>IF(OR(Umse!$B$11="2.3.",Umse!$B$11="2.4."),'V Tab'!Z530,IF(OR(Umse!$B$11="2.7.",Umse!$B$11="2.8."),'V Tab'!Z554,IF(OR(Umse!$B$11="2.11.",Umse!$B$11="2.12."),'V Tab'!Z578,"")))</f>
        <v/>
      </c>
    </row>
    <row r="5" spans="1:18" ht="11.25" customHeight="1">
      <c r="B5" s="335" t="str">
        <f>IF(OR(Umse!$B$11="2.1.",Umse!$B$11="2.2."),'V Tab'!A531,IF(OR(Umse!$B$11="2.5.",Umse!$B$11="2.6."),'V Tab'!A555,IF(OR(Umse!$B$11="2.9.",Umse!$B$11="2.10."),'V Tab'!A579,"")))</f>
        <v/>
      </c>
      <c r="C5" s="367" t="str">
        <f>IF(OR(Umse!$B$11="2.1.",Umse!$B$11="2.2."),'V Tab'!B531,IF(OR(Umse!$B$11="2.5.",Umse!$B$11="2.6."),'V Tab'!B555,IF(OR(Umse!$B$11="2.9.",Umse!$B$11="2.10."),'V Tab'!B579,"")))</f>
        <v/>
      </c>
      <c r="D5" s="335" t="str">
        <f>IF(OR(Umse!$B$11="2.1.",Umse!$B$11="2.2."),'V Tab'!C531,IF(OR(Umse!$B$11="2.5.",Umse!$B$11="2.6."),'V Tab'!C555,IF(OR(Umse!$B$11="2.9.",Umse!$B$11="2.10."),'V Tab'!C579,"")))</f>
        <v/>
      </c>
      <c r="E5" s="335" t="str">
        <f>IF(OR(Umse!$B$11="2.1.",Umse!$B$11="2.2."),'V Tab'!D531,IF(OR(Umse!$B$11="2.5.",Umse!$B$11="2.6."),'V Tab'!D555,IF(OR(Umse!$B$11="2.9.",Umse!$B$11="2.10."),'V Tab'!D579,"")))</f>
        <v/>
      </c>
      <c r="F5" s="335" t="str">
        <f>IF(OR(Umse!$B$11="2.1.",Umse!$B$11="2.2."),'V Tab'!E531,IF(OR(Umse!$B$11="2.5.",Umse!$B$11="2.6."),'V Tab'!E555,IF(OR(Umse!$B$11="2.9.",Umse!$B$11="2.10."),'V Tab'!E579,"")))</f>
        <v/>
      </c>
      <c r="G5" s="335" t="str">
        <f>IF(OR(Umse!$B$11="2.1.",Umse!$B$11="2.2."),'V Tab'!F531,IF(OR(Umse!$B$11="2.5.",Umse!$B$11="2.6."),'V Tab'!F555,IF(OR(Umse!$B$11="2.9.",Umse!$B$11="2.10."),'V Tab'!F579,"")))</f>
        <v/>
      </c>
      <c r="H5" s="335" t="str">
        <f>IF(OR(Umse!$B$11="2.1.",Umse!$B$11="2.2."),'V Tab'!G531,IF(OR(Umse!$B$11="2.5.",Umse!$B$11="2.6."),'V Tab'!G555,IF(OR(Umse!$B$11="2.9.",Umse!$B$11="2.10."),'V Tab'!G579,"")))</f>
        <v/>
      </c>
      <c r="I5" s="335" t="str">
        <f>IF(OR(Umse!$B$11="2.1.",Umse!$B$11="2.2."),'V Tab'!H531,IF(OR(Umse!$B$11="2.5.",Umse!$B$11="2.6."),'V Tab'!H555,IF(OR(Umse!$B$11="2.9.",Umse!$B$11="2.10."),'V Tab'!H579,"")))</f>
        <v/>
      </c>
      <c r="K5" s="331" t="str">
        <f>'V Ist'!T4</f>
        <v>EG S</v>
      </c>
      <c r="L5" s="363">
        <f>'V Ist'!U4</f>
        <v>17</v>
      </c>
      <c r="M5" s="335" t="str">
        <f>IF(OR(Umse!$B$11="2.3.",Umse!$B$11="2.4."),'V Tab'!U531,IF(OR(Umse!$B$11="2.7.",Umse!$B$11="2.8."),'V Tab'!U555,IF(OR(Umse!$B$11="2.11.",Umse!$B$11="2.12."),'V Tab'!U579,"")))</f>
        <v/>
      </c>
      <c r="N5" s="335" t="str">
        <f>IF(OR(Umse!$B$11="2.3.",Umse!$B$11="2.4."),'V Tab'!V531,IF(OR(Umse!$B$11="2.7.",Umse!$B$11="2.8."),'V Tab'!V555,IF(OR(Umse!$B$11="2.11.",Umse!$B$11="2.12."),'V Tab'!V579,"")))</f>
        <v/>
      </c>
      <c r="O5" s="335" t="str">
        <f>IF(OR(Umse!$B$11="2.3.",Umse!$B$11="2.4."),'V Tab'!W531,IF(OR(Umse!$B$11="2.7.",Umse!$B$11="2.8."),'V Tab'!W555,IF(OR(Umse!$B$11="2.11.",Umse!$B$11="2.12."),'V Tab'!W579,"")))</f>
        <v/>
      </c>
      <c r="P5" s="335" t="str">
        <f>IF(OR(Umse!$B$11="2.3.",Umse!$B$11="2.4."),'V Tab'!X531,IF(OR(Umse!$B$11="2.7.",Umse!$B$11="2.8."),'V Tab'!X555,IF(OR(Umse!$B$11="2.11.",Umse!$B$11="2.12."),'V Tab'!X579,"")))</f>
        <v/>
      </c>
      <c r="Q5" s="335" t="str">
        <f>IF(OR(Umse!$B$11="2.3.",Umse!$B$11="2.4."),'V Tab'!Y531,IF(OR(Umse!$B$11="2.7.",Umse!$B$11="2.8."),'V Tab'!Y555,IF(OR(Umse!$B$11="2.11.",Umse!$B$11="2.12."),'V Tab'!Y579,"")))</f>
        <v/>
      </c>
      <c r="R5" s="335" t="str">
        <f>IF(OR(Umse!$B$11="2.3.",Umse!$B$11="2.4."),'V Tab'!Z531,IF(OR(Umse!$B$11="2.7.",Umse!$B$11="2.8."),'V Tab'!Z555,IF(OR(Umse!$B$11="2.11.",Umse!$B$11="2.12."),'V Tab'!Z579,"")))</f>
        <v/>
      </c>
    </row>
    <row r="6" spans="1:18" ht="11.25" customHeight="1">
      <c r="B6" s="335" t="str">
        <f>IF(OR(Umse!$B$11="2.1.",Umse!$B$11="2.2."),'V Tab'!A532,IF(OR(Umse!$B$11="2.5.",Umse!$B$11="2.6."),'V Tab'!A556,IF(OR(Umse!$B$11="2.9.",Umse!$B$11="2.10."),'V Tab'!A580,"")))</f>
        <v/>
      </c>
      <c r="C6" s="367" t="str">
        <f>IF(OR(Umse!$B$11="2.1.",Umse!$B$11="2.2."),'V Tab'!B532,IF(OR(Umse!$B$11="2.5.",Umse!$B$11="2.6."),'V Tab'!B556,IF(OR(Umse!$B$11="2.9.",Umse!$B$11="2.10."),'V Tab'!B580,"")))</f>
        <v/>
      </c>
      <c r="D6" s="335" t="str">
        <f>IF(OR(Umse!$B$11="2.1.",Umse!$B$11="2.2."),'V Tab'!C532,IF(OR(Umse!$B$11="2.5.",Umse!$B$11="2.6."),'V Tab'!C556,IF(OR(Umse!$B$11="2.9.",Umse!$B$11="2.10."),'V Tab'!C580,"")))</f>
        <v/>
      </c>
      <c r="E6" s="335" t="str">
        <f>IF(OR(Umse!$B$11="2.1.",Umse!$B$11="2.2."),'V Tab'!D532,IF(OR(Umse!$B$11="2.5.",Umse!$B$11="2.6."),'V Tab'!D556,IF(OR(Umse!$B$11="2.9.",Umse!$B$11="2.10."),'V Tab'!D580,"")))</f>
        <v/>
      </c>
      <c r="F6" s="335" t="str">
        <f>IF(OR(Umse!$B$11="2.1.",Umse!$B$11="2.2."),'V Tab'!E532,IF(OR(Umse!$B$11="2.5.",Umse!$B$11="2.6."),'V Tab'!E556,IF(OR(Umse!$B$11="2.9.",Umse!$B$11="2.10."),'V Tab'!E580,"")))</f>
        <v/>
      </c>
      <c r="G6" s="335" t="str">
        <f>IF(OR(Umse!$B$11="2.1.",Umse!$B$11="2.2."),'V Tab'!F532,IF(OR(Umse!$B$11="2.5.",Umse!$B$11="2.6."),'V Tab'!F556,IF(OR(Umse!$B$11="2.9.",Umse!$B$11="2.10."),'V Tab'!F580,"")))</f>
        <v/>
      </c>
      <c r="H6" s="335" t="str">
        <f>IF(OR(Umse!$B$11="2.1.",Umse!$B$11="2.2."),'V Tab'!G532,IF(OR(Umse!$B$11="2.5.",Umse!$B$11="2.6."),'V Tab'!G556,IF(OR(Umse!$B$11="2.9.",Umse!$B$11="2.10."),'V Tab'!G580,"")))</f>
        <v/>
      </c>
      <c r="I6" s="335" t="str">
        <f>IF(OR(Umse!$B$11="2.1.",Umse!$B$11="2.2."),'V Tab'!H532,IF(OR(Umse!$B$11="2.5.",Umse!$B$11="2.6."),'V Tab'!H556,IF(OR(Umse!$B$11="2.9.",Umse!$B$11="2.10."),'V Tab'!H580,"")))</f>
        <v/>
      </c>
      <c r="K6" s="331" t="str">
        <f>'V Ist'!T5</f>
        <v>EG S</v>
      </c>
      <c r="L6" s="363" t="str">
        <f>'V Ist'!U5</f>
        <v>16Ü</v>
      </c>
      <c r="M6" s="335" t="str">
        <f>IF(OR(Umse!$B$11="2.3.",Umse!$B$11="2.4."),'V Tab'!U532,IF(OR(Umse!$B$11="2.7.",Umse!$B$11="2.8."),'V Tab'!U556,IF(OR(Umse!$B$11="2.11.",Umse!$B$11="2.12."),'V Tab'!U580,"")))</f>
        <v/>
      </c>
      <c r="N6" s="335" t="str">
        <f>IF(OR(Umse!$B$11="2.3.",Umse!$B$11="2.4."),'V Tab'!V532,IF(OR(Umse!$B$11="2.7.",Umse!$B$11="2.8."),'V Tab'!V556,IF(OR(Umse!$B$11="2.11.",Umse!$B$11="2.12."),'V Tab'!V580,"")))</f>
        <v/>
      </c>
      <c r="O6" s="335" t="str">
        <f>IF(OR(Umse!$B$11="2.3.",Umse!$B$11="2.4."),'V Tab'!W532,IF(OR(Umse!$B$11="2.7.",Umse!$B$11="2.8."),'V Tab'!W556,IF(OR(Umse!$B$11="2.11.",Umse!$B$11="2.12."),'V Tab'!W580,"")))</f>
        <v/>
      </c>
      <c r="P6" s="335" t="str">
        <f>IF(OR(Umse!$B$11="2.3.",Umse!$B$11="2.4."),'V Tab'!X532,IF(OR(Umse!$B$11="2.7.",Umse!$B$11="2.8."),'V Tab'!X556,IF(OR(Umse!$B$11="2.11.",Umse!$B$11="2.12."),'V Tab'!X580,"")))</f>
        <v/>
      </c>
      <c r="Q6" s="335" t="str">
        <f>IF(OR(Umse!$B$11="2.3.",Umse!$B$11="2.4."),'V Tab'!Y532,IF(OR(Umse!$B$11="2.7.",Umse!$B$11="2.8."),'V Tab'!Y556,IF(OR(Umse!$B$11="2.11.",Umse!$B$11="2.12."),'V Tab'!Y580,"")))</f>
        <v/>
      </c>
      <c r="R6" s="335" t="str">
        <f>IF(OR(Umse!$B$11="2.3.",Umse!$B$11="2.4."),'V Tab'!Z532,IF(OR(Umse!$B$11="2.7.",Umse!$B$11="2.8."),'V Tab'!Z556,IF(OR(Umse!$B$11="2.11.",Umse!$B$11="2.12."),'V Tab'!Z580,"")))</f>
        <v/>
      </c>
    </row>
    <row r="7" spans="1:18" ht="11.25" customHeight="1">
      <c r="B7" s="335" t="str">
        <f>IF(OR(Umse!$B$11="2.1.",Umse!$B$11="2.2."),'V Tab'!A533,IF(OR(Umse!$B$11="2.5.",Umse!$B$11="2.6."),'V Tab'!A557,IF(OR(Umse!$B$11="2.9.",Umse!$B$11="2.10."),'V Tab'!A581,"")))</f>
        <v/>
      </c>
      <c r="C7" s="367" t="str">
        <f>IF(OR(Umse!$B$11="2.1.",Umse!$B$11="2.2."),'V Tab'!B533,IF(OR(Umse!$B$11="2.5.",Umse!$B$11="2.6."),'V Tab'!B557,IF(OR(Umse!$B$11="2.9.",Umse!$B$11="2.10."),'V Tab'!B581,"")))</f>
        <v/>
      </c>
      <c r="D7" s="335" t="str">
        <f>IF(OR(Umse!$B$11="2.1.",Umse!$B$11="2.2."),'V Tab'!C533,IF(OR(Umse!$B$11="2.5.",Umse!$B$11="2.6."),'V Tab'!C557,IF(OR(Umse!$B$11="2.9.",Umse!$B$11="2.10."),'V Tab'!C581,"")))</f>
        <v/>
      </c>
      <c r="E7" s="335" t="str">
        <f>IF(OR(Umse!$B$11="2.1.",Umse!$B$11="2.2."),'V Tab'!D533,IF(OR(Umse!$B$11="2.5.",Umse!$B$11="2.6."),'V Tab'!D557,IF(OR(Umse!$B$11="2.9.",Umse!$B$11="2.10."),'V Tab'!D581,"")))</f>
        <v/>
      </c>
      <c r="F7" s="335" t="str">
        <f>IF(OR(Umse!$B$11="2.1.",Umse!$B$11="2.2."),'V Tab'!E533,IF(OR(Umse!$B$11="2.5.",Umse!$B$11="2.6."),'V Tab'!E557,IF(OR(Umse!$B$11="2.9.",Umse!$B$11="2.10."),'V Tab'!E581,"")))</f>
        <v/>
      </c>
      <c r="G7" s="335" t="str">
        <f>IF(OR(Umse!$B$11="2.1.",Umse!$B$11="2.2."),'V Tab'!F533,IF(OR(Umse!$B$11="2.5.",Umse!$B$11="2.6."),'V Tab'!F557,IF(OR(Umse!$B$11="2.9.",Umse!$B$11="2.10."),'V Tab'!F581,"")))</f>
        <v/>
      </c>
      <c r="H7" s="335" t="str">
        <f>IF(OR(Umse!$B$11="2.1.",Umse!$B$11="2.2."),'V Tab'!G533,IF(OR(Umse!$B$11="2.5.",Umse!$B$11="2.6."),'V Tab'!G557,IF(OR(Umse!$B$11="2.9.",Umse!$B$11="2.10."),'V Tab'!G581,"")))</f>
        <v/>
      </c>
      <c r="I7" s="335" t="str">
        <f>IF(OR(Umse!$B$11="2.1.",Umse!$B$11="2.2."),'V Tab'!H533,IF(OR(Umse!$B$11="2.5.",Umse!$B$11="2.6."),'V Tab'!H557,IF(OR(Umse!$B$11="2.9.",Umse!$B$11="2.10."),'V Tab'!H581,"")))</f>
        <v/>
      </c>
      <c r="K7" s="331" t="str">
        <f>'V Ist'!T6</f>
        <v>EG S</v>
      </c>
      <c r="L7" s="363">
        <f>'V Ist'!U6</f>
        <v>16</v>
      </c>
      <c r="M7" s="335" t="str">
        <f>IF(OR(Umse!$B$11="2.3.",Umse!$B$11="2.4."),'V Tab'!U533,IF(OR(Umse!$B$11="2.7.",Umse!$B$11="2.8."),'V Tab'!U557,IF(OR(Umse!$B$11="2.11.",Umse!$B$11="2.12."),'V Tab'!U581,"")))</f>
        <v/>
      </c>
      <c r="N7" s="335" t="str">
        <f>IF(OR(Umse!$B$11="2.3.",Umse!$B$11="2.4."),'V Tab'!V533,IF(OR(Umse!$B$11="2.7.",Umse!$B$11="2.8."),'V Tab'!V557,IF(OR(Umse!$B$11="2.11.",Umse!$B$11="2.12."),'V Tab'!V581,"")))</f>
        <v/>
      </c>
      <c r="O7" s="335" t="str">
        <f>IF(OR(Umse!$B$11="2.3.",Umse!$B$11="2.4."),'V Tab'!W533,IF(OR(Umse!$B$11="2.7.",Umse!$B$11="2.8."),'V Tab'!W557,IF(OR(Umse!$B$11="2.11.",Umse!$B$11="2.12."),'V Tab'!W581,"")))</f>
        <v/>
      </c>
      <c r="P7" s="335" t="str">
        <f>IF(OR(Umse!$B$11="2.3.",Umse!$B$11="2.4."),'V Tab'!X533,IF(OR(Umse!$B$11="2.7.",Umse!$B$11="2.8."),'V Tab'!X557,IF(OR(Umse!$B$11="2.11.",Umse!$B$11="2.12."),'V Tab'!X581,"")))</f>
        <v/>
      </c>
      <c r="Q7" s="335" t="str">
        <f>IF(OR(Umse!$B$11="2.3.",Umse!$B$11="2.4."),'V Tab'!Y533,IF(OR(Umse!$B$11="2.7.",Umse!$B$11="2.8."),'V Tab'!Y557,IF(OR(Umse!$B$11="2.11.",Umse!$B$11="2.12."),'V Tab'!Y581,"")))</f>
        <v/>
      </c>
      <c r="R7" s="335" t="str">
        <f>IF(OR(Umse!$B$11="2.3.",Umse!$B$11="2.4."),'V Tab'!Z533,IF(OR(Umse!$B$11="2.7.",Umse!$B$11="2.8."),'V Tab'!Z557,IF(OR(Umse!$B$11="2.11.",Umse!$B$11="2.12."),'V Tab'!Z581,"")))</f>
        <v/>
      </c>
    </row>
    <row r="8" spans="1:18" ht="11.25" customHeight="1">
      <c r="B8" s="335" t="str">
        <f>IF(OR(Umse!$B$11="2.1.",Umse!$B$11="2.2."),'V Tab'!A534,IF(OR(Umse!$B$11="2.5.",Umse!$B$11="2.6."),'V Tab'!A558,IF(OR(Umse!$B$11="2.9.",Umse!$B$11="2.10."),'V Tab'!A582,"")))</f>
        <v/>
      </c>
      <c r="C8" s="367" t="str">
        <f>IF(OR(Umse!$B$11="2.1.",Umse!$B$11="2.2."),'V Tab'!B534,IF(OR(Umse!$B$11="2.5.",Umse!$B$11="2.6."),'V Tab'!B558,IF(OR(Umse!$B$11="2.9.",Umse!$B$11="2.10."),'V Tab'!B582,"")))</f>
        <v/>
      </c>
      <c r="D8" s="335" t="str">
        <f>IF(OR(Umse!$B$11="2.1.",Umse!$B$11="2.2."),'V Tab'!C534,IF(OR(Umse!$B$11="2.5.",Umse!$B$11="2.6."),'V Tab'!C558,IF(OR(Umse!$B$11="2.9.",Umse!$B$11="2.10."),'V Tab'!C582,"")))</f>
        <v/>
      </c>
      <c r="E8" s="335" t="str">
        <f>IF(OR(Umse!$B$11="2.1.",Umse!$B$11="2.2."),'V Tab'!D534,IF(OR(Umse!$B$11="2.5.",Umse!$B$11="2.6."),'V Tab'!D558,IF(OR(Umse!$B$11="2.9.",Umse!$B$11="2.10."),'V Tab'!D582,"")))</f>
        <v/>
      </c>
      <c r="F8" s="335" t="str">
        <f>IF(OR(Umse!$B$11="2.1.",Umse!$B$11="2.2."),'V Tab'!E534,IF(OR(Umse!$B$11="2.5.",Umse!$B$11="2.6."),'V Tab'!E558,IF(OR(Umse!$B$11="2.9.",Umse!$B$11="2.10."),'V Tab'!E582,"")))</f>
        <v/>
      </c>
      <c r="G8" s="335" t="str">
        <f>IF(OR(Umse!$B$11="2.1.",Umse!$B$11="2.2."),'V Tab'!F534,IF(OR(Umse!$B$11="2.5.",Umse!$B$11="2.6."),'V Tab'!F558,IF(OR(Umse!$B$11="2.9.",Umse!$B$11="2.10."),'V Tab'!F582,"")))</f>
        <v/>
      </c>
      <c r="H8" s="335" t="str">
        <f>IF(OR(Umse!$B$11="2.1.",Umse!$B$11="2.2."),'V Tab'!G534,IF(OR(Umse!$B$11="2.5.",Umse!$B$11="2.6."),'V Tab'!G558,IF(OR(Umse!$B$11="2.9.",Umse!$B$11="2.10."),'V Tab'!G582,"")))</f>
        <v/>
      </c>
      <c r="I8" s="335" t="str">
        <f>IF(OR(Umse!$B$11="2.1.",Umse!$B$11="2.2."),'V Tab'!H534,IF(OR(Umse!$B$11="2.5.",Umse!$B$11="2.6."),'V Tab'!H558,IF(OR(Umse!$B$11="2.9.",Umse!$B$11="2.10."),'V Tab'!H582,"")))</f>
        <v/>
      </c>
      <c r="K8" s="331" t="str">
        <f>'V Ist'!T7</f>
        <v>EG S</v>
      </c>
      <c r="L8" s="363">
        <f>'V Ist'!U7</f>
        <v>15</v>
      </c>
      <c r="M8" s="335" t="str">
        <f>IF(OR(Umse!$B$11="2.3.",Umse!$B$11="2.4."),'V Tab'!U534,IF(OR(Umse!$B$11="2.7.",Umse!$B$11="2.8."),'V Tab'!U558,IF(OR(Umse!$B$11="2.11.",Umse!$B$11="2.12."),'V Tab'!U582,"")))</f>
        <v/>
      </c>
      <c r="N8" s="335" t="str">
        <f>IF(OR(Umse!$B$11="2.3.",Umse!$B$11="2.4."),'V Tab'!V534,IF(OR(Umse!$B$11="2.7.",Umse!$B$11="2.8."),'V Tab'!V558,IF(OR(Umse!$B$11="2.11.",Umse!$B$11="2.12."),'V Tab'!V582,"")))</f>
        <v/>
      </c>
      <c r="O8" s="335" t="str">
        <f>IF(OR(Umse!$B$11="2.3.",Umse!$B$11="2.4."),'V Tab'!W534,IF(OR(Umse!$B$11="2.7.",Umse!$B$11="2.8."),'V Tab'!W558,IF(OR(Umse!$B$11="2.11.",Umse!$B$11="2.12."),'V Tab'!W582,"")))</f>
        <v/>
      </c>
      <c r="P8" s="335" t="str">
        <f>IF(OR(Umse!$B$11="2.3.",Umse!$B$11="2.4."),'V Tab'!X534,IF(OR(Umse!$B$11="2.7.",Umse!$B$11="2.8."),'V Tab'!X558,IF(OR(Umse!$B$11="2.11.",Umse!$B$11="2.12."),'V Tab'!X582,"")))</f>
        <v/>
      </c>
      <c r="Q8" s="335" t="str">
        <f>IF(OR(Umse!$B$11="2.3.",Umse!$B$11="2.4."),'V Tab'!Y534,IF(OR(Umse!$B$11="2.7.",Umse!$B$11="2.8."),'V Tab'!Y558,IF(OR(Umse!$B$11="2.11.",Umse!$B$11="2.12."),'V Tab'!Y582,"")))</f>
        <v/>
      </c>
      <c r="R8" s="335" t="str">
        <f>IF(OR(Umse!$B$11="2.3.",Umse!$B$11="2.4."),'V Tab'!Z534,IF(OR(Umse!$B$11="2.7.",Umse!$B$11="2.8."),'V Tab'!Z558,IF(OR(Umse!$B$11="2.11.",Umse!$B$11="2.12."),'V Tab'!Z582,"")))</f>
        <v/>
      </c>
    </row>
    <row r="9" spans="1:18" ht="11.25" customHeight="1">
      <c r="B9" s="335" t="str">
        <f>IF(OR(Umse!$B$11="2.1.",Umse!$B$11="2.2."),'V Tab'!A535,IF(OR(Umse!$B$11="2.5.",Umse!$B$11="2.6."),'V Tab'!A559,IF(OR(Umse!$B$11="2.9.",Umse!$B$11="2.10."),'V Tab'!A583,"")))</f>
        <v/>
      </c>
      <c r="C9" s="367" t="str">
        <f>IF(OR(Umse!$B$11="2.1.",Umse!$B$11="2.2."),'V Tab'!B535,IF(OR(Umse!$B$11="2.5.",Umse!$B$11="2.6."),'V Tab'!B559,IF(OR(Umse!$B$11="2.9.",Umse!$B$11="2.10."),'V Tab'!B583,"")))</f>
        <v/>
      </c>
      <c r="D9" s="335" t="str">
        <f>IF(OR(Umse!$B$11="2.1.",Umse!$B$11="2.2."),'V Tab'!C535,IF(OR(Umse!$B$11="2.5.",Umse!$B$11="2.6."),'V Tab'!C559,IF(OR(Umse!$B$11="2.9.",Umse!$B$11="2.10."),'V Tab'!C583,"")))</f>
        <v/>
      </c>
      <c r="E9" s="335" t="str">
        <f>IF(OR(Umse!$B$11="2.1.",Umse!$B$11="2.2."),'V Tab'!D535,IF(OR(Umse!$B$11="2.5.",Umse!$B$11="2.6."),'V Tab'!D559,IF(OR(Umse!$B$11="2.9.",Umse!$B$11="2.10."),'V Tab'!D583,"")))</f>
        <v/>
      </c>
      <c r="F9" s="335" t="str">
        <f>IF(OR(Umse!$B$11="2.1.",Umse!$B$11="2.2."),'V Tab'!E535,IF(OR(Umse!$B$11="2.5.",Umse!$B$11="2.6."),'V Tab'!E559,IF(OR(Umse!$B$11="2.9.",Umse!$B$11="2.10."),'V Tab'!E583,"")))</f>
        <v/>
      </c>
      <c r="G9" s="335" t="str">
        <f>IF(OR(Umse!$B$11="2.1.",Umse!$B$11="2.2."),'V Tab'!F535,IF(OR(Umse!$B$11="2.5.",Umse!$B$11="2.6."),'V Tab'!F559,IF(OR(Umse!$B$11="2.9.",Umse!$B$11="2.10."),'V Tab'!F583,"")))</f>
        <v/>
      </c>
      <c r="H9" s="335" t="str">
        <f>IF(OR(Umse!$B$11="2.1.",Umse!$B$11="2.2."),'V Tab'!G535,IF(OR(Umse!$B$11="2.5.",Umse!$B$11="2.6."),'V Tab'!G559,IF(OR(Umse!$B$11="2.9.",Umse!$B$11="2.10."),'V Tab'!G583,"")))</f>
        <v/>
      </c>
      <c r="I9" s="335" t="str">
        <f>IF(OR(Umse!$B$11="2.1.",Umse!$B$11="2.2."),'V Tab'!H535,IF(OR(Umse!$B$11="2.5.",Umse!$B$11="2.6."),'V Tab'!H559,IF(OR(Umse!$B$11="2.9.",Umse!$B$11="2.10."),'V Tab'!H583,"")))</f>
        <v/>
      </c>
      <c r="K9" s="331" t="str">
        <f>'V Ist'!T8</f>
        <v>EG S</v>
      </c>
      <c r="L9" s="363">
        <f>'V Ist'!U8</f>
        <v>14</v>
      </c>
      <c r="M9" s="335" t="str">
        <f>IF(OR(Umse!$B$11="2.3.",Umse!$B$11="2.4."),'V Tab'!U535,IF(OR(Umse!$B$11="2.7.",Umse!$B$11="2.8."),'V Tab'!U559,IF(OR(Umse!$B$11="2.11.",Umse!$B$11="2.12."),'V Tab'!U583,"")))</f>
        <v/>
      </c>
      <c r="N9" s="335" t="str">
        <f>IF(OR(Umse!$B$11="2.3.",Umse!$B$11="2.4."),'V Tab'!V535,IF(OR(Umse!$B$11="2.7.",Umse!$B$11="2.8."),'V Tab'!V559,IF(OR(Umse!$B$11="2.11.",Umse!$B$11="2.12."),'V Tab'!V583,"")))</f>
        <v/>
      </c>
      <c r="O9" s="335" t="str">
        <f>IF(OR(Umse!$B$11="2.3.",Umse!$B$11="2.4."),'V Tab'!W535,IF(OR(Umse!$B$11="2.7.",Umse!$B$11="2.8."),'V Tab'!W559,IF(OR(Umse!$B$11="2.11.",Umse!$B$11="2.12."),'V Tab'!W583,"")))</f>
        <v/>
      </c>
      <c r="P9" s="335" t="str">
        <f>IF(OR(Umse!$B$11="2.3.",Umse!$B$11="2.4."),'V Tab'!X535,IF(OR(Umse!$B$11="2.7.",Umse!$B$11="2.8."),'V Tab'!X559,IF(OR(Umse!$B$11="2.11.",Umse!$B$11="2.12."),'V Tab'!X583,"")))</f>
        <v/>
      </c>
      <c r="Q9" s="335" t="str">
        <f>IF(OR(Umse!$B$11="2.3.",Umse!$B$11="2.4."),'V Tab'!Y535,IF(OR(Umse!$B$11="2.7.",Umse!$B$11="2.8."),'V Tab'!Y559,IF(OR(Umse!$B$11="2.11.",Umse!$B$11="2.12."),'V Tab'!Y583,"")))</f>
        <v/>
      </c>
      <c r="R9" s="335" t="str">
        <f>IF(OR(Umse!$B$11="2.3.",Umse!$B$11="2.4."),'V Tab'!Z535,IF(OR(Umse!$B$11="2.7.",Umse!$B$11="2.8."),'V Tab'!Z559,IF(OR(Umse!$B$11="2.11.",Umse!$B$11="2.12."),'V Tab'!Z583,"")))</f>
        <v/>
      </c>
    </row>
    <row r="10" spans="1:18" ht="11.25" customHeight="1">
      <c r="B10" s="335" t="str">
        <f>IF(OR(Umse!$B$11="2.1.",Umse!$B$11="2.2."),'V Tab'!A536,IF(OR(Umse!$B$11="2.5.",Umse!$B$11="2.6."),'V Tab'!A560,IF(OR(Umse!$B$11="2.9.",Umse!$B$11="2.10."),'V Tab'!A584,"")))</f>
        <v/>
      </c>
      <c r="C10" s="367" t="str">
        <f>IF(OR(Umse!$B$11="2.1.",Umse!$B$11="2.2."),'V Tab'!B536,IF(OR(Umse!$B$11="2.5.",Umse!$B$11="2.6."),'V Tab'!B560,IF(OR(Umse!$B$11="2.9.",Umse!$B$11="2.10."),'V Tab'!B584,"")))</f>
        <v/>
      </c>
      <c r="D10" s="335" t="str">
        <f>IF(OR(Umse!$B$11="2.1.",Umse!$B$11="2.2."),'V Tab'!C536,IF(OR(Umse!$B$11="2.5.",Umse!$B$11="2.6."),'V Tab'!C560,IF(OR(Umse!$B$11="2.9.",Umse!$B$11="2.10."),'V Tab'!C584,"")))</f>
        <v/>
      </c>
      <c r="E10" s="335" t="str">
        <f>IF(OR(Umse!$B$11="2.1.",Umse!$B$11="2.2."),'V Tab'!D536,IF(OR(Umse!$B$11="2.5.",Umse!$B$11="2.6."),'V Tab'!D560,IF(OR(Umse!$B$11="2.9.",Umse!$B$11="2.10."),'V Tab'!D584,"")))</f>
        <v/>
      </c>
      <c r="F10" s="335" t="str">
        <f>IF(OR(Umse!$B$11="2.1.",Umse!$B$11="2.2."),'V Tab'!E536,IF(OR(Umse!$B$11="2.5.",Umse!$B$11="2.6."),'V Tab'!E560,IF(OR(Umse!$B$11="2.9.",Umse!$B$11="2.10."),'V Tab'!E584,"")))</f>
        <v/>
      </c>
      <c r="G10" s="335" t="str">
        <f>IF(OR(Umse!$B$11="2.1.",Umse!$B$11="2.2."),'V Tab'!F536,IF(OR(Umse!$B$11="2.5.",Umse!$B$11="2.6."),'V Tab'!F560,IF(OR(Umse!$B$11="2.9.",Umse!$B$11="2.10."),'V Tab'!F584,"")))</f>
        <v/>
      </c>
      <c r="H10" s="335" t="str">
        <f>IF(OR(Umse!$B$11="2.1.",Umse!$B$11="2.2."),'V Tab'!G536,IF(OR(Umse!$B$11="2.5.",Umse!$B$11="2.6."),'V Tab'!G560,IF(OR(Umse!$B$11="2.9.",Umse!$B$11="2.10."),'V Tab'!G584,"")))</f>
        <v/>
      </c>
      <c r="I10" s="335" t="str">
        <f>IF(OR(Umse!$B$11="2.1.",Umse!$B$11="2.2."),'V Tab'!H536,IF(OR(Umse!$B$11="2.5.",Umse!$B$11="2.6."),'V Tab'!H560,IF(OR(Umse!$B$11="2.9.",Umse!$B$11="2.10."),'V Tab'!H584,"")))</f>
        <v/>
      </c>
      <c r="K10" s="331" t="str">
        <f>'V Ist'!T9</f>
        <v>EG S</v>
      </c>
      <c r="L10" s="363" t="str">
        <f>'V Ist'!U9</f>
        <v>13Ü</v>
      </c>
      <c r="M10" s="335" t="str">
        <f>IF(OR(Umse!$B$11="2.3.",Umse!$B$11="2.4."),'V Tab'!U536,IF(OR(Umse!$B$11="2.7.",Umse!$B$11="2.8."),'V Tab'!U560,IF(OR(Umse!$B$11="2.11.",Umse!$B$11="2.12."),'V Tab'!U584,"")))</f>
        <v/>
      </c>
      <c r="N10" s="335" t="str">
        <f>IF(OR(Umse!$B$11="2.3.",Umse!$B$11="2.4."),'V Tab'!V536,IF(OR(Umse!$B$11="2.7.",Umse!$B$11="2.8."),'V Tab'!V560,IF(OR(Umse!$B$11="2.11.",Umse!$B$11="2.12."),'V Tab'!V584,"")))</f>
        <v/>
      </c>
      <c r="O10" s="335" t="str">
        <f>IF(OR(Umse!$B$11="2.3.",Umse!$B$11="2.4."),'V Tab'!W536,IF(OR(Umse!$B$11="2.7.",Umse!$B$11="2.8."),'V Tab'!W560,IF(OR(Umse!$B$11="2.11.",Umse!$B$11="2.12."),'V Tab'!W584,"")))</f>
        <v/>
      </c>
      <c r="P10" s="335" t="str">
        <f>IF(OR(Umse!$B$11="2.3.",Umse!$B$11="2.4."),'V Tab'!X536,IF(OR(Umse!$B$11="2.7.",Umse!$B$11="2.8."),'V Tab'!X560,IF(OR(Umse!$B$11="2.11.",Umse!$B$11="2.12."),'V Tab'!X584,"")))</f>
        <v/>
      </c>
      <c r="Q10" s="335" t="str">
        <f>IF(OR(Umse!$B$11="2.3.",Umse!$B$11="2.4."),'V Tab'!Y536,IF(OR(Umse!$B$11="2.7.",Umse!$B$11="2.8."),'V Tab'!Y560,IF(OR(Umse!$B$11="2.11.",Umse!$B$11="2.12."),'V Tab'!Y584,"")))</f>
        <v/>
      </c>
      <c r="R10" s="335" t="str">
        <f>IF(OR(Umse!$B$11="2.3.",Umse!$B$11="2.4."),'V Tab'!Z536,IF(OR(Umse!$B$11="2.7.",Umse!$B$11="2.8."),'V Tab'!Z560,IF(OR(Umse!$B$11="2.11.",Umse!$B$11="2.12."),'V Tab'!Z584,"")))</f>
        <v/>
      </c>
    </row>
    <row r="11" spans="1:18" ht="11.25" customHeight="1">
      <c r="B11" s="335" t="str">
        <f>IF(OR(Umse!$B$11="2.1.",Umse!$B$11="2.2."),'V Tab'!A537,IF(OR(Umse!$B$11="2.5.",Umse!$B$11="2.6."),'V Tab'!A561,IF(OR(Umse!$B$11="2.9.",Umse!$B$11="2.10."),'V Tab'!A585,"")))</f>
        <v/>
      </c>
      <c r="C11" s="367" t="str">
        <f>IF(OR(Umse!$B$11="2.1.",Umse!$B$11="2.2."),'V Tab'!B537,IF(OR(Umse!$B$11="2.5.",Umse!$B$11="2.6."),'V Tab'!B561,IF(OR(Umse!$B$11="2.9.",Umse!$B$11="2.10."),'V Tab'!B585,"")))</f>
        <v/>
      </c>
      <c r="D11" s="335" t="str">
        <f>IF(OR(Umse!$B$11="2.1.",Umse!$B$11="2.2."),'V Tab'!C537,IF(OR(Umse!$B$11="2.5.",Umse!$B$11="2.6."),'V Tab'!C561,IF(OR(Umse!$B$11="2.9.",Umse!$B$11="2.10."),'V Tab'!C585,"")))</f>
        <v/>
      </c>
      <c r="E11" s="335" t="str">
        <f>IF(OR(Umse!$B$11="2.1.",Umse!$B$11="2.2."),'V Tab'!D537,IF(OR(Umse!$B$11="2.5.",Umse!$B$11="2.6."),'V Tab'!D561,IF(OR(Umse!$B$11="2.9.",Umse!$B$11="2.10."),'V Tab'!D585,"")))</f>
        <v/>
      </c>
      <c r="F11" s="335" t="str">
        <f>IF(OR(Umse!$B$11="2.1.",Umse!$B$11="2.2."),'V Tab'!E537,IF(OR(Umse!$B$11="2.5.",Umse!$B$11="2.6."),'V Tab'!E561,IF(OR(Umse!$B$11="2.9.",Umse!$B$11="2.10."),'V Tab'!E585,"")))</f>
        <v/>
      </c>
      <c r="G11" s="335" t="str">
        <f>IF(OR(Umse!$B$11="2.1.",Umse!$B$11="2.2."),'V Tab'!F537,IF(OR(Umse!$B$11="2.5.",Umse!$B$11="2.6."),'V Tab'!F561,IF(OR(Umse!$B$11="2.9.",Umse!$B$11="2.10."),'V Tab'!F585,"")))</f>
        <v/>
      </c>
      <c r="H11" s="335" t="str">
        <f>IF(OR(Umse!$B$11="2.1.",Umse!$B$11="2.2."),'V Tab'!G537,IF(OR(Umse!$B$11="2.5.",Umse!$B$11="2.6."),'V Tab'!G561,IF(OR(Umse!$B$11="2.9.",Umse!$B$11="2.10."),'V Tab'!G585,"")))</f>
        <v/>
      </c>
      <c r="I11" s="335" t="str">
        <f>IF(OR(Umse!$B$11="2.1.",Umse!$B$11="2.2."),'V Tab'!H537,IF(OR(Umse!$B$11="2.5.",Umse!$B$11="2.6."),'V Tab'!H561,IF(OR(Umse!$B$11="2.9.",Umse!$B$11="2.10."),'V Tab'!H585,"")))</f>
        <v/>
      </c>
      <c r="K11" s="331" t="str">
        <f>'V Ist'!T10</f>
        <v>EG S</v>
      </c>
      <c r="L11" s="363">
        <f>'V Ist'!U10</f>
        <v>13</v>
      </c>
      <c r="M11" s="335" t="str">
        <f>IF(OR(Umse!$B$11="2.3.",Umse!$B$11="2.4."),'V Tab'!U537,IF(OR(Umse!$B$11="2.7.",Umse!$B$11="2.8."),'V Tab'!U561,IF(OR(Umse!$B$11="2.11.",Umse!$B$11="2.12."),'V Tab'!U585,"")))</f>
        <v/>
      </c>
      <c r="N11" s="335" t="str">
        <f>IF(OR(Umse!$B$11="2.3.",Umse!$B$11="2.4."),'V Tab'!V537,IF(OR(Umse!$B$11="2.7.",Umse!$B$11="2.8."),'V Tab'!V561,IF(OR(Umse!$B$11="2.11.",Umse!$B$11="2.12."),'V Tab'!V585,"")))</f>
        <v/>
      </c>
      <c r="O11" s="335" t="str">
        <f>IF(OR(Umse!$B$11="2.3.",Umse!$B$11="2.4."),'V Tab'!W537,IF(OR(Umse!$B$11="2.7.",Umse!$B$11="2.8."),'V Tab'!W561,IF(OR(Umse!$B$11="2.11.",Umse!$B$11="2.12."),'V Tab'!W585,"")))</f>
        <v/>
      </c>
      <c r="P11" s="335" t="str">
        <f>IF(OR(Umse!$B$11="2.3.",Umse!$B$11="2.4."),'V Tab'!X537,IF(OR(Umse!$B$11="2.7.",Umse!$B$11="2.8."),'V Tab'!X561,IF(OR(Umse!$B$11="2.11.",Umse!$B$11="2.12."),'V Tab'!X585,"")))</f>
        <v/>
      </c>
      <c r="Q11" s="335" t="str">
        <f>IF(OR(Umse!$B$11="2.3.",Umse!$B$11="2.4."),'V Tab'!Y537,IF(OR(Umse!$B$11="2.7.",Umse!$B$11="2.8."),'V Tab'!Y561,IF(OR(Umse!$B$11="2.11.",Umse!$B$11="2.12."),'V Tab'!Y585,"")))</f>
        <v/>
      </c>
      <c r="R11" s="335" t="str">
        <f>IF(OR(Umse!$B$11="2.3.",Umse!$B$11="2.4."),'V Tab'!Z537,IF(OR(Umse!$B$11="2.7.",Umse!$B$11="2.8."),'V Tab'!Z561,IF(OR(Umse!$B$11="2.11.",Umse!$B$11="2.12."),'V Tab'!Z585,"")))</f>
        <v/>
      </c>
    </row>
    <row r="12" spans="1:18" ht="11.25" customHeight="1">
      <c r="B12" s="335" t="str">
        <f>IF(OR(Umse!$B$11="2.1.",Umse!$B$11="2.2."),'V Tab'!A538,IF(OR(Umse!$B$11="2.5.",Umse!$B$11="2.6."),'V Tab'!A562,IF(OR(Umse!$B$11="2.9.",Umse!$B$11="2.10."),'V Tab'!A586,"")))</f>
        <v/>
      </c>
      <c r="C12" s="367" t="str">
        <f>IF(OR(Umse!$B$11="2.1.",Umse!$B$11="2.2."),'V Tab'!B538,IF(OR(Umse!$B$11="2.5.",Umse!$B$11="2.6."),'V Tab'!B562,IF(OR(Umse!$B$11="2.9.",Umse!$B$11="2.10."),'V Tab'!B586,"")))</f>
        <v/>
      </c>
      <c r="D12" s="335" t="str">
        <f>IF(OR(Umse!$B$11="2.1.",Umse!$B$11="2.2."),'V Tab'!C538,IF(OR(Umse!$B$11="2.5.",Umse!$B$11="2.6."),'V Tab'!C562,IF(OR(Umse!$B$11="2.9.",Umse!$B$11="2.10."),'V Tab'!C586,"")))</f>
        <v/>
      </c>
      <c r="E12" s="335" t="str">
        <f>IF(OR(Umse!$B$11="2.1.",Umse!$B$11="2.2."),'V Tab'!D538,IF(OR(Umse!$B$11="2.5.",Umse!$B$11="2.6."),'V Tab'!D562,IF(OR(Umse!$B$11="2.9.",Umse!$B$11="2.10."),'V Tab'!D586,"")))</f>
        <v/>
      </c>
      <c r="F12" s="335" t="str">
        <f>IF(OR(Umse!$B$11="2.1.",Umse!$B$11="2.2."),'V Tab'!E538,IF(OR(Umse!$B$11="2.5.",Umse!$B$11="2.6."),'V Tab'!E562,IF(OR(Umse!$B$11="2.9.",Umse!$B$11="2.10."),'V Tab'!E586,"")))</f>
        <v/>
      </c>
      <c r="G12" s="335" t="str">
        <f>IF(OR(Umse!$B$11="2.1.",Umse!$B$11="2.2."),'V Tab'!F538,IF(OR(Umse!$B$11="2.5.",Umse!$B$11="2.6."),'V Tab'!F562,IF(OR(Umse!$B$11="2.9.",Umse!$B$11="2.10."),'V Tab'!F586,"")))</f>
        <v/>
      </c>
      <c r="H12" s="335" t="str">
        <f>IF(OR(Umse!$B$11="2.1.",Umse!$B$11="2.2."),'V Tab'!G538,IF(OR(Umse!$B$11="2.5.",Umse!$B$11="2.6."),'V Tab'!G562,IF(OR(Umse!$B$11="2.9.",Umse!$B$11="2.10."),'V Tab'!G586,"")))</f>
        <v/>
      </c>
      <c r="I12" s="335" t="str">
        <f>IF(OR(Umse!$B$11="2.1.",Umse!$B$11="2.2."),'V Tab'!H538,IF(OR(Umse!$B$11="2.5.",Umse!$B$11="2.6."),'V Tab'!H562,IF(OR(Umse!$B$11="2.9.",Umse!$B$11="2.10."),'V Tab'!H586,"")))</f>
        <v/>
      </c>
      <c r="K12" s="331" t="str">
        <f>'V Ist'!T11</f>
        <v>EG S</v>
      </c>
      <c r="L12" s="363" t="str">
        <f>'V Ist'!U11</f>
        <v>12 Zulage</v>
      </c>
      <c r="M12" s="335" t="str">
        <f>IF(OR(Umse!$B$11="2.3.",Umse!$B$11="2.4."),'V Tab'!U538,IF(OR(Umse!$B$11="2.7.",Umse!$B$11="2.8."),'V Tab'!U562,IF(OR(Umse!$B$11="2.11.",Umse!$B$11="2.12."),'V Tab'!U586,"")))</f>
        <v/>
      </c>
      <c r="N12" s="335" t="str">
        <f>IF(OR(Umse!$B$11="2.3.",Umse!$B$11="2.4."),'V Tab'!V538,IF(OR(Umse!$B$11="2.7.",Umse!$B$11="2.8."),'V Tab'!V562,IF(OR(Umse!$B$11="2.11.",Umse!$B$11="2.12."),'V Tab'!V586,"")))</f>
        <v/>
      </c>
      <c r="O12" s="335" t="str">
        <f>IF(OR(Umse!$B$11="2.3.",Umse!$B$11="2.4."),'V Tab'!W538,IF(OR(Umse!$B$11="2.7.",Umse!$B$11="2.8."),'V Tab'!W562,IF(OR(Umse!$B$11="2.11.",Umse!$B$11="2.12."),'V Tab'!W586,"")))</f>
        <v/>
      </c>
      <c r="P12" s="335" t="str">
        <f>IF(OR(Umse!$B$11="2.3.",Umse!$B$11="2.4."),'V Tab'!X538,IF(OR(Umse!$B$11="2.7.",Umse!$B$11="2.8."),'V Tab'!X562,IF(OR(Umse!$B$11="2.11.",Umse!$B$11="2.12."),'V Tab'!X586,"")))</f>
        <v/>
      </c>
      <c r="Q12" s="335" t="str">
        <f>IF(OR(Umse!$B$11="2.3.",Umse!$B$11="2.4."),'V Tab'!Y538,IF(OR(Umse!$B$11="2.7.",Umse!$B$11="2.8."),'V Tab'!Y562,IF(OR(Umse!$B$11="2.11.",Umse!$B$11="2.12."),'V Tab'!Y586,"")))</f>
        <v/>
      </c>
      <c r="R12" s="335" t="str">
        <f>IF(OR(Umse!$B$11="2.3.",Umse!$B$11="2.4."),'V Tab'!Z538,IF(OR(Umse!$B$11="2.7.",Umse!$B$11="2.8."),'V Tab'!Z562,IF(OR(Umse!$B$11="2.11.",Umse!$B$11="2.12."),'V Tab'!Z586,"")))</f>
        <v/>
      </c>
    </row>
    <row r="13" spans="1:18" ht="11.25" customHeight="1">
      <c r="B13" s="335" t="str">
        <f>IF(OR(Umse!$B$11="2.1.",Umse!$B$11="2.2."),'V Tab'!A539,IF(OR(Umse!$B$11="2.5.",Umse!$B$11="2.6."),'V Tab'!A563,IF(OR(Umse!$B$11="2.9.",Umse!$B$11="2.10."),'V Tab'!A587,"")))</f>
        <v/>
      </c>
      <c r="C13" s="367" t="str">
        <f>IF(OR(Umse!$B$11="2.1.",Umse!$B$11="2.2."),'V Tab'!B539,IF(OR(Umse!$B$11="2.5.",Umse!$B$11="2.6."),'V Tab'!B563,IF(OR(Umse!$B$11="2.9.",Umse!$B$11="2.10."),'V Tab'!B587,"")))</f>
        <v/>
      </c>
      <c r="D13" s="335" t="str">
        <f>IF(OR(Umse!$B$11="2.1.",Umse!$B$11="2.2."),'V Tab'!C539,IF(OR(Umse!$B$11="2.5.",Umse!$B$11="2.6."),'V Tab'!C563,IF(OR(Umse!$B$11="2.9.",Umse!$B$11="2.10."),'V Tab'!C587,"")))</f>
        <v/>
      </c>
      <c r="E13" s="335" t="str">
        <f>IF(OR(Umse!$B$11="2.1.",Umse!$B$11="2.2."),'V Tab'!D539,IF(OR(Umse!$B$11="2.5.",Umse!$B$11="2.6."),'V Tab'!D563,IF(OR(Umse!$B$11="2.9.",Umse!$B$11="2.10."),'V Tab'!D587,"")))</f>
        <v/>
      </c>
      <c r="F13" s="335" t="str">
        <f>IF(OR(Umse!$B$11="2.1.",Umse!$B$11="2.2."),'V Tab'!E539,IF(OR(Umse!$B$11="2.5.",Umse!$B$11="2.6."),'V Tab'!E563,IF(OR(Umse!$B$11="2.9.",Umse!$B$11="2.10."),'V Tab'!E587,"")))</f>
        <v/>
      </c>
      <c r="G13" s="335" t="str">
        <f>IF(OR(Umse!$B$11="2.1.",Umse!$B$11="2.2."),'V Tab'!F539,IF(OR(Umse!$B$11="2.5.",Umse!$B$11="2.6."),'V Tab'!F563,IF(OR(Umse!$B$11="2.9.",Umse!$B$11="2.10."),'V Tab'!F587,"")))</f>
        <v/>
      </c>
      <c r="H13" s="335" t="str">
        <f>IF(OR(Umse!$B$11="2.1.",Umse!$B$11="2.2."),'V Tab'!G539,IF(OR(Umse!$B$11="2.5.",Umse!$B$11="2.6."),'V Tab'!G563,IF(OR(Umse!$B$11="2.9.",Umse!$B$11="2.10."),'V Tab'!G587,"")))</f>
        <v/>
      </c>
      <c r="I13" s="335" t="str">
        <f>IF(OR(Umse!$B$11="2.1.",Umse!$B$11="2.2."),'V Tab'!H539,IF(OR(Umse!$B$11="2.5.",Umse!$B$11="2.6."),'V Tab'!H563,IF(OR(Umse!$B$11="2.9.",Umse!$B$11="2.10."),'V Tab'!H587,"")))</f>
        <v/>
      </c>
      <c r="K13" s="331" t="str">
        <f>'V Ist'!T12</f>
        <v>EG S</v>
      </c>
      <c r="L13" s="363">
        <f>'V Ist'!U12</f>
        <v>12</v>
      </c>
      <c r="M13" s="335" t="str">
        <f>IF(OR(Umse!$B$11="2.3.",Umse!$B$11="2.4."),'V Tab'!U539,IF(OR(Umse!$B$11="2.7.",Umse!$B$11="2.8."),'V Tab'!U563,IF(OR(Umse!$B$11="2.11.",Umse!$B$11="2.12."),'V Tab'!U587,"")))</f>
        <v/>
      </c>
      <c r="N13" s="335" t="str">
        <f>IF(OR(Umse!$B$11="2.3.",Umse!$B$11="2.4."),'V Tab'!V539,IF(OR(Umse!$B$11="2.7.",Umse!$B$11="2.8."),'V Tab'!V563,IF(OR(Umse!$B$11="2.11.",Umse!$B$11="2.12."),'V Tab'!V587,"")))</f>
        <v/>
      </c>
      <c r="O13" s="335" t="str">
        <f>IF(OR(Umse!$B$11="2.3.",Umse!$B$11="2.4."),'V Tab'!W539,IF(OR(Umse!$B$11="2.7.",Umse!$B$11="2.8."),'V Tab'!W563,IF(OR(Umse!$B$11="2.11.",Umse!$B$11="2.12."),'V Tab'!W587,"")))</f>
        <v/>
      </c>
      <c r="P13" s="335" t="str">
        <f>IF(OR(Umse!$B$11="2.3.",Umse!$B$11="2.4."),'V Tab'!X539,IF(OR(Umse!$B$11="2.7.",Umse!$B$11="2.8."),'V Tab'!X563,IF(OR(Umse!$B$11="2.11.",Umse!$B$11="2.12."),'V Tab'!X587,"")))</f>
        <v/>
      </c>
      <c r="Q13" s="335" t="str">
        <f>IF(OR(Umse!$B$11="2.3.",Umse!$B$11="2.4."),'V Tab'!Y539,IF(OR(Umse!$B$11="2.7.",Umse!$B$11="2.8."),'V Tab'!Y563,IF(OR(Umse!$B$11="2.11.",Umse!$B$11="2.12."),'V Tab'!Y587,"")))</f>
        <v/>
      </c>
      <c r="R13" s="335" t="str">
        <f>IF(OR(Umse!$B$11="2.3.",Umse!$B$11="2.4."),'V Tab'!Z539,IF(OR(Umse!$B$11="2.7.",Umse!$B$11="2.8."),'V Tab'!Z563,IF(OR(Umse!$B$11="2.11.",Umse!$B$11="2.12."),'V Tab'!Z587,"")))</f>
        <v/>
      </c>
    </row>
    <row r="14" spans="1:18" ht="11.25" customHeight="1">
      <c r="B14" s="335" t="str">
        <f>IF(OR(Umse!$B$11="2.1.",Umse!$B$11="2.2."),'V Tab'!A540,IF(OR(Umse!$B$11="2.5.",Umse!$B$11="2.6."),'V Tab'!A564,IF(OR(Umse!$B$11="2.9.",Umse!$B$11="2.10."),'V Tab'!A588,"")))</f>
        <v/>
      </c>
      <c r="C14" s="367" t="str">
        <f>IF(OR(Umse!$B$11="2.1.",Umse!$B$11="2.2."),'V Tab'!B540,IF(OR(Umse!$B$11="2.5.",Umse!$B$11="2.6."),'V Tab'!B564,IF(OR(Umse!$B$11="2.9.",Umse!$B$11="2.10."),'V Tab'!B588,"")))</f>
        <v/>
      </c>
      <c r="D14" s="335" t="str">
        <f>IF(OR(Umse!$B$11="2.1.",Umse!$B$11="2.2."),'V Tab'!C540,IF(OR(Umse!$B$11="2.5.",Umse!$B$11="2.6."),'V Tab'!C564,IF(OR(Umse!$B$11="2.9.",Umse!$B$11="2.10."),'V Tab'!C588,"")))</f>
        <v/>
      </c>
      <c r="E14" s="335" t="str">
        <f>IF(OR(Umse!$B$11="2.1.",Umse!$B$11="2.2."),'V Tab'!D540,IF(OR(Umse!$B$11="2.5.",Umse!$B$11="2.6."),'V Tab'!D564,IF(OR(Umse!$B$11="2.9.",Umse!$B$11="2.10."),'V Tab'!D588,"")))</f>
        <v/>
      </c>
      <c r="F14" s="335" t="str">
        <f>IF(OR(Umse!$B$11="2.1.",Umse!$B$11="2.2."),'V Tab'!E540,IF(OR(Umse!$B$11="2.5.",Umse!$B$11="2.6."),'V Tab'!E564,IF(OR(Umse!$B$11="2.9.",Umse!$B$11="2.10."),'V Tab'!E588,"")))</f>
        <v/>
      </c>
      <c r="G14" s="335" t="str">
        <f>IF(OR(Umse!$B$11="2.1.",Umse!$B$11="2.2."),'V Tab'!F540,IF(OR(Umse!$B$11="2.5.",Umse!$B$11="2.6."),'V Tab'!F564,IF(OR(Umse!$B$11="2.9.",Umse!$B$11="2.10."),'V Tab'!F588,"")))</f>
        <v/>
      </c>
      <c r="H14" s="335" t="str">
        <f>IF(OR(Umse!$B$11="2.1.",Umse!$B$11="2.2."),'V Tab'!G540,IF(OR(Umse!$B$11="2.5.",Umse!$B$11="2.6."),'V Tab'!G564,IF(OR(Umse!$B$11="2.9.",Umse!$B$11="2.10."),'V Tab'!G588,"")))</f>
        <v/>
      </c>
      <c r="I14" s="335" t="str">
        <f>IF(OR(Umse!$B$11="2.1.",Umse!$B$11="2.2."),'V Tab'!H540,IF(OR(Umse!$B$11="2.5.",Umse!$B$11="2.6."),'V Tab'!H564,IF(OR(Umse!$B$11="2.9.",Umse!$B$11="2.10."),'V Tab'!H588,"")))</f>
        <v/>
      </c>
      <c r="K14" s="331" t="str">
        <f>'V Ist'!T13</f>
        <v>EG S</v>
      </c>
      <c r="L14" s="363" t="str">
        <f>'V Ist'!U13</f>
        <v>11 Zulage</v>
      </c>
      <c r="M14" s="335" t="str">
        <f>IF(OR(Umse!$B$11="2.3.",Umse!$B$11="2.4."),'V Tab'!U540,IF(OR(Umse!$B$11="2.7.",Umse!$B$11="2.8."),'V Tab'!U564,IF(OR(Umse!$B$11="2.11.",Umse!$B$11="2.12."),'V Tab'!U588,"")))</f>
        <v/>
      </c>
      <c r="N14" s="335" t="str">
        <f>IF(OR(Umse!$B$11="2.3.",Umse!$B$11="2.4."),'V Tab'!V540,IF(OR(Umse!$B$11="2.7.",Umse!$B$11="2.8."),'V Tab'!V564,IF(OR(Umse!$B$11="2.11.",Umse!$B$11="2.12."),'V Tab'!V588,"")))</f>
        <v/>
      </c>
      <c r="O14" s="335" t="str">
        <f>IF(OR(Umse!$B$11="2.3.",Umse!$B$11="2.4."),'V Tab'!W540,IF(OR(Umse!$B$11="2.7.",Umse!$B$11="2.8."),'V Tab'!W564,IF(OR(Umse!$B$11="2.11.",Umse!$B$11="2.12."),'V Tab'!W588,"")))</f>
        <v/>
      </c>
      <c r="P14" s="335" t="str">
        <f>IF(OR(Umse!$B$11="2.3.",Umse!$B$11="2.4."),'V Tab'!X540,IF(OR(Umse!$B$11="2.7.",Umse!$B$11="2.8."),'V Tab'!X564,IF(OR(Umse!$B$11="2.11.",Umse!$B$11="2.12."),'V Tab'!X588,"")))</f>
        <v/>
      </c>
      <c r="Q14" s="335" t="str">
        <f>IF(OR(Umse!$B$11="2.3.",Umse!$B$11="2.4."),'V Tab'!Y540,IF(OR(Umse!$B$11="2.7.",Umse!$B$11="2.8."),'V Tab'!Y564,IF(OR(Umse!$B$11="2.11.",Umse!$B$11="2.12."),'V Tab'!Y588,"")))</f>
        <v/>
      </c>
      <c r="R14" s="335" t="str">
        <f>IF(OR(Umse!$B$11="2.3.",Umse!$B$11="2.4."),'V Tab'!Z540,IF(OR(Umse!$B$11="2.7.",Umse!$B$11="2.8."),'V Tab'!Z564,IF(OR(Umse!$B$11="2.11.",Umse!$B$11="2.12."),'V Tab'!Z588,"")))</f>
        <v/>
      </c>
    </row>
    <row r="15" spans="1:18" ht="11.25" customHeight="1">
      <c r="B15" s="335" t="str">
        <f>IF(OR(Umse!$B$11="2.1.",Umse!$B$11="2.2."),'V Tab'!A541,IF(OR(Umse!$B$11="2.5.",Umse!$B$11="2.6."),'V Tab'!A565,IF(OR(Umse!$B$11="2.9.",Umse!$B$11="2.10."),'V Tab'!A589,"")))</f>
        <v/>
      </c>
      <c r="C15" s="367" t="str">
        <f>IF(OR(Umse!$B$11="2.1.",Umse!$B$11="2.2."),'V Tab'!B541,IF(OR(Umse!$B$11="2.5.",Umse!$B$11="2.6."),'V Tab'!B565,IF(OR(Umse!$B$11="2.9.",Umse!$B$11="2.10."),'V Tab'!B589,"")))</f>
        <v/>
      </c>
      <c r="D15" s="335" t="str">
        <f>IF(OR(Umse!$B$11="2.1.",Umse!$B$11="2.2."),'V Tab'!C541,IF(OR(Umse!$B$11="2.5.",Umse!$B$11="2.6."),'V Tab'!C565,IF(OR(Umse!$B$11="2.9.",Umse!$B$11="2.10."),'V Tab'!C589,"")))</f>
        <v/>
      </c>
      <c r="E15" s="335" t="str">
        <f>IF(OR(Umse!$B$11="2.1.",Umse!$B$11="2.2."),'V Tab'!D541,IF(OR(Umse!$B$11="2.5.",Umse!$B$11="2.6."),'V Tab'!D565,IF(OR(Umse!$B$11="2.9.",Umse!$B$11="2.10."),'V Tab'!D589,"")))</f>
        <v/>
      </c>
      <c r="F15" s="335" t="str">
        <f>IF(OR(Umse!$B$11="2.1.",Umse!$B$11="2.2."),'V Tab'!E541,IF(OR(Umse!$B$11="2.5.",Umse!$B$11="2.6."),'V Tab'!E565,IF(OR(Umse!$B$11="2.9.",Umse!$B$11="2.10."),'V Tab'!E589,"")))</f>
        <v/>
      </c>
      <c r="G15" s="335" t="str">
        <f>IF(OR(Umse!$B$11="2.1.",Umse!$B$11="2.2."),'V Tab'!F541,IF(OR(Umse!$B$11="2.5.",Umse!$B$11="2.6."),'V Tab'!F565,IF(OR(Umse!$B$11="2.9.",Umse!$B$11="2.10."),'V Tab'!F589,"")))</f>
        <v/>
      </c>
      <c r="H15" s="335" t="str">
        <f>IF(OR(Umse!$B$11="2.1.",Umse!$B$11="2.2."),'V Tab'!G541,IF(OR(Umse!$B$11="2.5.",Umse!$B$11="2.6."),'V Tab'!G565,IF(OR(Umse!$B$11="2.9.",Umse!$B$11="2.10."),'V Tab'!G589,"")))</f>
        <v/>
      </c>
      <c r="I15" s="335" t="str">
        <f>IF(OR(Umse!$B$11="2.1.",Umse!$B$11="2.2."),'V Tab'!H541,IF(OR(Umse!$B$11="2.5.",Umse!$B$11="2.6."),'V Tab'!H565,IF(OR(Umse!$B$11="2.9.",Umse!$B$11="2.10."),'V Tab'!H589,"")))</f>
        <v/>
      </c>
      <c r="K15" s="331" t="str">
        <f>'V Ist'!T14</f>
        <v>EG S</v>
      </c>
      <c r="L15" s="363" t="str">
        <f>'V Ist'!U14</f>
        <v>11b</v>
      </c>
      <c r="M15" s="335" t="str">
        <f>IF(OR(Umse!$B$11="2.3.",Umse!$B$11="2.4."),'V Tab'!U541,IF(OR(Umse!$B$11="2.7.",Umse!$B$11="2.8."),'V Tab'!U565,IF(OR(Umse!$B$11="2.11.",Umse!$B$11="2.12."),'V Tab'!U589,"")))</f>
        <v/>
      </c>
      <c r="N15" s="335" t="str">
        <f>IF(OR(Umse!$B$11="2.3.",Umse!$B$11="2.4."),'V Tab'!V541,IF(OR(Umse!$B$11="2.7.",Umse!$B$11="2.8."),'V Tab'!V565,IF(OR(Umse!$B$11="2.11.",Umse!$B$11="2.12."),'V Tab'!V589,"")))</f>
        <v/>
      </c>
      <c r="O15" s="335" t="str">
        <f>IF(OR(Umse!$B$11="2.3.",Umse!$B$11="2.4."),'V Tab'!W541,IF(OR(Umse!$B$11="2.7.",Umse!$B$11="2.8."),'V Tab'!W565,IF(OR(Umse!$B$11="2.11.",Umse!$B$11="2.12."),'V Tab'!W589,"")))</f>
        <v/>
      </c>
      <c r="P15" s="335" t="str">
        <f>IF(OR(Umse!$B$11="2.3.",Umse!$B$11="2.4."),'V Tab'!X541,IF(OR(Umse!$B$11="2.7.",Umse!$B$11="2.8."),'V Tab'!X565,IF(OR(Umse!$B$11="2.11.",Umse!$B$11="2.12."),'V Tab'!X589,"")))</f>
        <v/>
      </c>
      <c r="Q15" s="335" t="str">
        <f>IF(OR(Umse!$B$11="2.3.",Umse!$B$11="2.4."),'V Tab'!Y541,IF(OR(Umse!$B$11="2.7.",Umse!$B$11="2.8."),'V Tab'!Y565,IF(OR(Umse!$B$11="2.11.",Umse!$B$11="2.12."),'V Tab'!Y589,"")))</f>
        <v/>
      </c>
      <c r="R15" s="335" t="str">
        <f>IF(OR(Umse!$B$11="2.3.",Umse!$B$11="2.4."),'V Tab'!Z541,IF(OR(Umse!$B$11="2.7.",Umse!$B$11="2.8."),'V Tab'!Z565,IF(OR(Umse!$B$11="2.11.",Umse!$B$11="2.12."),'V Tab'!Z589,"")))</f>
        <v/>
      </c>
    </row>
    <row r="16" spans="1:18" ht="11.25" customHeight="1">
      <c r="B16" s="335" t="str">
        <f>IF(OR(Umse!$B$11="2.1.",Umse!$B$11="2.2."),'V Tab'!A542,IF(OR(Umse!$B$11="2.5.",Umse!$B$11="2.6."),'V Tab'!A566,IF(OR(Umse!$B$11="2.9.",Umse!$B$11="2.10."),'V Tab'!A590,"")))</f>
        <v/>
      </c>
      <c r="C16" s="367" t="str">
        <f>IF(OR(Umse!$B$11="2.1.",Umse!$B$11="2.2."),'V Tab'!B542,IF(OR(Umse!$B$11="2.5.",Umse!$B$11="2.6."),'V Tab'!B566,IF(OR(Umse!$B$11="2.9.",Umse!$B$11="2.10."),'V Tab'!B590,"")))</f>
        <v/>
      </c>
      <c r="D16" s="335" t="str">
        <f>IF(OR(Umse!$B$11="2.1.",Umse!$B$11="2.2."),'V Tab'!C542,IF(OR(Umse!$B$11="2.5.",Umse!$B$11="2.6."),'V Tab'!C566,IF(OR(Umse!$B$11="2.9.",Umse!$B$11="2.10."),'V Tab'!C590,"")))</f>
        <v/>
      </c>
      <c r="E16" s="335" t="str">
        <f>IF(OR(Umse!$B$11="2.1.",Umse!$B$11="2.2."),'V Tab'!D542,IF(OR(Umse!$B$11="2.5.",Umse!$B$11="2.6."),'V Tab'!D566,IF(OR(Umse!$B$11="2.9.",Umse!$B$11="2.10."),'V Tab'!D590,"")))</f>
        <v/>
      </c>
      <c r="F16" s="335" t="str">
        <f>IF(OR(Umse!$B$11="2.1.",Umse!$B$11="2.2."),'V Tab'!E542,IF(OR(Umse!$B$11="2.5.",Umse!$B$11="2.6."),'V Tab'!E566,IF(OR(Umse!$B$11="2.9.",Umse!$B$11="2.10."),'V Tab'!E590,"")))</f>
        <v/>
      </c>
      <c r="G16" s="335" t="str">
        <f>IF(OR(Umse!$B$11="2.1.",Umse!$B$11="2.2."),'V Tab'!F542,IF(OR(Umse!$B$11="2.5.",Umse!$B$11="2.6."),'V Tab'!F566,IF(OR(Umse!$B$11="2.9.",Umse!$B$11="2.10."),'V Tab'!F590,"")))</f>
        <v/>
      </c>
      <c r="H16" s="335" t="str">
        <f>IF(OR(Umse!$B$11="2.1.",Umse!$B$11="2.2."),'V Tab'!G542,IF(OR(Umse!$B$11="2.5.",Umse!$B$11="2.6."),'V Tab'!G566,IF(OR(Umse!$B$11="2.9.",Umse!$B$11="2.10."),'V Tab'!G590,"")))</f>
        <v/>
      </c>
      <c r="I16" s="335" t="str">
        <f>IF(OR(Umse!$B$11="2.1.",Umse!$B$11="2.2."),'V Tab'!H542,IF(OR(Umse!$B$11="2.5.",Umse!$B$11="2.6."),'V Tab'!H566,IF(OR(Umse!$B$11="2.9.",Umse!$B$11="2.10."),'V Tab'!H590,"")))</f>
        <v/>
      </c>
      <c r="K16" s="331" t="str">
        <f>'V Ist'!T15</f>
        <v>EG S</v>
      </c>
      <c r="L16" s="363" t="str">
        <f>'V Ist'!U15</f>
        <v>11a</v>
      </c>
      <c r="M16" s="335" t="str">
        <f>IF(OR(Umse!$B$11="2.3.",Umse!$B$11="2.4."),'V Tab'!U542,IF(OR(Umse!$B$11="2.7.",Umse!$B$11="2.8."),'V Tab'!U566,IF(OR(Umse!$B$11="2.11.",Umse!$B$11="2.12."),'V Tab'!U590,"")))</f>
        <v/>
      </c>
      <c r="N16" s="335" t="str">
        <f>IF(OR(Umse!$B$11="2.3.",Umse!$B$11="2.4."),'V Tab'!V542,IF(OR(Umse!$B$11="2.7.",Umse!$B$11="2.8."),'V Tab'!V566,IF(OR(Umse!$B$11="2.11.",Umse!$B$11="2.12."),'V Tab'!V590,"")))</f>
        <v/>
      </c>
      <c r="O16" s="335" t="str">
        <f>IF(OR(Umse!$B$11="2.3.",Umse!$B$11="2.4."),'V Tab'!W542,IF(OR(Umse!$B$11="2.7.",Umse!$B$11="2.8."),'V Tab'!W566,IF(OR(Umse!$B$11="2.11.",Umse!$B$11="2.12."),'V Tab'!W590,"")))</f>
        <v/>
      </c>
      <c r="P16" s="335" t="str">
        <f>IF(OR(Umse!$B$11="2.3.",Umse!$B$11="2.4."),'V Tab'!X542,IF(OR(Umse!$B$11="2.7.",Umse!$B$11="2.8."),'V Tab'!X566,IF(OR(Umse!$B$11="2.11.",Umse!$B$11="2.12."),'V Tab'!X590,"")))</f>
        <v/>
      </c>
      <c r="Q16" s="335" t="str">
        <f>IF(OR(Umse!$B$11="2.3.",Umse!$B$11="2.4."),'V Tab'!Y542,IF(OR(Umse!$B$11="2.7.",Umse!$B$11="2.8."),'V Tab'!Y566,IF(OR(Umse!$B$11="2.11.",Umse!$B$11="2.12."),'V Tab'!Y590,"")))</f>
        <v/>
      </c>
      <c r="R16" s="335" t="str">
        <f>IF(OR(Umse!$B$11="2.3.",Umse!$B$11="2.4."),'V Tab'!Z542,IF(OR(Umse!$B$11="2.7.",Umse!$B$11="2.8."),'V Tab'!Z566,IF(OR(Umse!$B$11="2.11.",Umse!$B$11="2.12."),'V Tab'!Z590,"")))</f>
        <v/>
      </c>
    </row>
    <row r="17" spans="2:18" ht="11.25" customHeight="1">
      <c r="B17" s="335" t="str">
        <f>IF(OR(Umse!$B$11="2.1.",Umse!$B$11="2.2."),'V Tab'!A543,IF(OR(Umse!$B$11="2.5.",Umse!$B$11="2.6."),'V Tab'!A567,IF(OR(Umse!$B$11="2.9.",Umse!$B$11="2.10."),'V Tab'!A591,"")))</f>
        <v/>
      </c>
      <c r="C17" s="367" t="str">
        <f>IF(OR(Umse!$B$11="2.1.",Umse!$B$11="2.2."),'V Tab'!B543,IF(OR(Umse!$B$11="2.5.",Umse!$B$11="2.6."),'V Tab'!B567,IF(OR(Umse!$B$11="2.9.",Umse!$B$11="2.10."),'V Tab'!B591,"")))</f>
        <v/>
      </c>
      <c r="D17" s="335" t="str">
        <f>IF(OR(Umse!$B$11="2.1.",Umse!$B$11="2.2."),'V Tab'!C543,IF(OR(Umse!$B$11="2.5.",Umse!$B$11="2.6."),'V Tab'!C567,IF(OR(Umse!$B$11="2.9.",Umse!$B$11="2.10."),'V Tab'!C591,"")))</f>
        <v/>
      </c>
      <c r="E17" s="335" t="str">
        <f>IF(OR(Umse!$B$11="2.1.",Umse!$B$11="2.2."),'V Tab'!D543,IF(OR(Umse!$B$11="2.5.",Umse!$B$11="2.6."),'V Tab'!D567,IF(OR(Umse!$B$11="2.9.",Umse!$B$11="2.10."),'V Tab'!D591,"")))</f>
        <v/>
      </c>
      <c r="F17" s="335" t="str">
        <f>IF(OR(Umse!$B$11="2.1.",Umse!$B$11="2.2."),'V Tab'!E543,IF(OR(Umse!$B$11="2.5.",Umse!$B$11="2.6."),'V Tab'!E567,IF(OR(Umse!$B$11="2.9.",Umse!$B$11="2.10."),'V Tab'!E591,"")))</f>
        <v/>
      </c>
      <c r="G17" s="335" t="str">
        <f>IF(OR(Umse!$B$11="2.1.",Umse!$B$11="2.2."),'V Tab'!F543,IF(OR(Umse!$B$11="2.5.",Umse!$B$11="2.6."),'V Tab'!F567,IF(OR(Umse!$B$11="2.9.",Umse!$B$11="2.10."),'V Tab'!F591,"")))</f>
        <v/>
      </c>
      <c r="H17" s="335" t="str">
        <f>IF(OR(Umse!$B$11="2.1.",Umse!$B$11="2.2."),'V Tab'!G543,IF(OR(Umse!$B$11="2.5.",Umse!$B$11="2.6."),'V Tab'!G567,IF(OR(Umse!$B$11="2.9.",Umse!$B$11="2.10."),'V Tab'!G591,"")))</f>
        <v/>
      </c>
      <c r="I17" s="335" t="str">
        <f>IF(OR(Umse!$B$11="2.1.",Umse!$B$11="2.2."),'V Tab'!H543,IF(OR(Umse!$B$11="2.5.",Umse!$B$11="2.6."),'V Tab'!H567,IF(OR(Umse!$B$11="2.9.",Umse!$B$11="2.10."),'V Tab'!H591,"")))</f>
        <v/>
      </c>
      <c r="K17" s="331" t="str">
        <f>'V Ist'!T16</f>
        <v>EG S</v>
      </c>
      <c r="L17" s="363">
        <f>'V Ist'!U16</f>
        <v>10</v>
      </c>
      <c r="M17" s="335" t="str">
        <f>IF(OR(Umse!$B$11="2.3.",Umse!$B$11="2.4."),'V Tab'!U543,IF(OR(Umse!$B$11="2.7.",Umse!$B$11="2.8."),'V Tab'!U567,IF(OR(Umse!$B$11="2.11.",Umse!$B$11="2.12."),'V Tab'!U591,"")))</f>
        <v/>
      </c>
      <c r="N17" s="335" t="str">
        <f>IF(OR(Umse!$B$11="2.3.",Umse!$B$11="2.4."),'V Tab'!V543,IF(OR(Umse!$B$11="2.7.",Umse!$B$11="2.8."),'V Tab'!V567,IF(OR(Umse!$B$11="2.11.",Umse!$B$11="2.12."),'V Tab'!V591,"")))</f>
        <v/>
      </c>
      <c r="O17" s="335" t="str">
        <f>IF(OR(Umse!$B$11="2.3.",Umse!$B$11="2.4."),'V Tab'!W543,IF(OR(Umse!$B$11="2.7.",Umse!$B$11="2.8."),'V Tab'!W567,IF(OR(Umse!$B$11="2.11.",Umse!$B$11="2.12."),'V Tab'!W591,"")))</f>
        <v/>
      </c>
      <c r="P17" s="335" t="str">
        <f>IF(OR(Umse!$B$11="2.3.",Umse!$B$11="2.4."),'V Tab'!X543,IF(OR(Umse!$B$11="2.7.",Umse!$B$11="2.8."),'V Tab'!X567,IF(OR(Umse!$B$11="2.11.",Umse!$B$11="2.12."),'V Tab'!X591,"")))</f>
        <v/>
      </c>
      <c r="Q17" s="335" t="str">
        <f>IF(OR(Umse!$B$11="2.3.",Umse!$B$11="2.4."),'V Tab'!Y543,IF(OR(Umse!$B$11="2.7.",Umse!$B$11="2.8."),'V Tab'!Y567,IF(OR(Umse!$B$11="2.11.",Umse!$B$11="2.12."),'V Tab'!Y591,"")))</f>
        <v/>
      </c>
      <c r="R17" s="335" t="str">
        <f>IF(OR(Umse!$B$11="2.3.",Umse!$B$11="2.4."),'V Tab'!Z543,IF(OR(Umse!$B$11="2.7.",Umse!$B$11="2.8."),'V Tab'!Z567,IF(OR(Umse!$B$11="2.11.",Umse!$B$11="2.12."),'V Tab'!Z591,"")))</f>
        <v/>
      </c>
    </row>
    <row r="18" spans="2:18" ht="11.25" customHeight="1">
      <c r="B18" s="335" t="str">
        <f>IF(OR(Umse!$B$11="2.1.",Umse!$B$11="2.2."),'V Tab'!A544,IF(OR(Umse!$B$11="2.5.",Umse!$B$11="2.6."),'V Tab'!A568,IF(OR(Umse!$B$11="2.9.",Umse!$B$11="2.10."),'V Tab'!A592,"")))</f>
        <v/>
      </c>
      <c r="C18" s="367" t="str">
        <f>IF(OR(Umse!$B$11="2.1.",Umse!$B$11="2.2."),'V Tab'!B544,IF(OR(Umse!$B$11="2.5.",Umse!$B$11="2.6."),'V Tab'!B568,IF(OR(Umse!$B$11="2.9.",Umse!$B$11="2.10."),'V Tab'!B592,"")))</f>
        <v/>
      </c>
      <c r="D18" s="335" t="str">
        <f>IF(OR(Umse!$B$11="2.1.",Umse!$B$11="2.2."),'V Tab'!C544,IF(OR(Umse!$B$11="2.5.",Umse!$B$11="2.6."),'V Tab'!C568,IF(OR(Umse!$B$11="2.9.",Umse!$B$11="2.10."),'V Tab'!C592,"")))</f>
        <v/>
      </c>
      <c r="E18" s="335" t="str">
        <f>IF(OR(Umse!$B$11="2.1.",Umse!$B$11="2.2."),'V Tab'!D544,IF(OR(Umse!$B$11="2.5.",Umse!$B$11="2.6."),'V Tab'!D568,IF(OR(Umse!$B$11="2.9.",Umse!$B$11="2.10."),'V Tab'!D592,"")))</f>
        <v/>
      </c>
      <c r="F18" s="335" t="str">
        <f>IF(OR(Umse!$B$11="2.1.",Umse!$B$11="2.2."),'V Tab'!E544,IF(OR(Umse!$B$11="2.5.",Umse!$B$11="2.6."),'V Tab'!E568,IF(OR(Umse!$B$11="2.9.",Umse!$B$11="2.10."),'V Tab'!E592,"")))</f>
        <v/>
      </c>
      <c r="G18" s="335" t="str">
        <f>IF(OR(Umse!$B$11="2.1.",Umse!$B$11="2.2."),'V Tab'!F544,IF(OR(Umse!$B$11="2.5.",Umse!$B$11="2.6."),'V Tab'!F568,IF(OR(Umse!$B$11="2.9.",Umse!$B$11="2.10."),'V Tab'!F592,"")))</f>
        <v/>
      </c>
      <c r="H18" s="335" t="str">
        <f>IF(OR(Umse!$B$11="2.1.",Umse!$B$11="2.2."),'V Tab'!G544,IF(OR(Umse!$B$11="2.5.",Umse!$B$11="2.6."),'V Tab'!G568,IF(OR(Umse!$B$11="2.9.",Umse!$B$11="2.10."),'V Tab'!G592,"")))</f>
        <v/>
      </c>
      <c r="I18" s="335" t="str">
        <f>IF(OR(Umse!$B$11="2.1.",Umse!$B$11="2.2."),'V Tab'!H544,IF(OR(Umse!$B$11="2.5.",Umse!$B$11="2.6."),'V Tab'!H568,IF(OR(Umse!$B$11="2.9.",Umse!$B$11="2.10."),'V Tab'!H592,"")))</f>
        <v/>
      </c>
      <c r="K18" s="331" t="str">
        <f>'V Ist'!T17</f>
        <v>EG S</v>
      </c>
      <c r="L18" s="363">
        <f>'V Ist'!U17</f>
        <v>9</v>
      </c>
      <c r="M18" s="335" t="str">
        <f>IF(OR(Umse!$B$11="2.3.",Umse!$B$11="2.4."),'V Tab'!U544,IF(OR(Umse!$B$11="2.7.",Umse!$B$11="2.8."),'V Tab'!U568,IF(OR(Umse!$B$11="2.11.",Umse!$B$11="2.12."),'V Tab'!U592,"")))</f>
        <v/>
      </c>
      <c r="N18" s="335" t="str">
        <f>IF(OR(Umse!$B$11="2.3.",Umse!$B$11="2.4."),'V Tab'!V544,IF(OR(Umse!$B$11="2.7.",Umse!$B$11="2.8."),'V Tab'!V568,IF(OR(Umse!$B$11="2.11.",Umse!$B$11="2.12."),'V Tab'!V592,"")))</f>
        <v/>
      </c>
      <c r="O18" s="335" t="str">
        <f>IF(OR(Umse!$B$11="2.3.",Umse!$B$11="2.4."),'V Tab'!W544,IF(OR(Umse!$B$11="2.7.",Umse!$B$11="2.8."),'V Tab'!W568,IF(OR(Umse!$B$11="2.11.",Umse!$B$11="2.12."),'V Tab'!W592,"")))</f>
        <v/>
      </c>
      <c r="P18" s="335" t="str">
        <f>IF(OR(Umse!$B$11="2.3.",Umse!$B$11="2.4."),'V Tab'!X544,IF(OR(Umse!$B$11="2.7.",Umse!$B$11="2.8."),'V Tab'!X568,IF(OR(Umse!$B$11="2.11.",Umse!$B$11="2.12."),'V Tab'!X592,"")))</f>
        <v/>
      </c>
      <c r="Q18" s="335" t="str">
        <f>IF(OR(Umse!$B$11="2.3.",Umse!$B$11="2.4."),'V Tab'!Y544,IF(OR(Umse!$B$11="2.7.",Umse!$B$11="2.8."),'V Tab'!Y568,IF(OR(Umse!$B$11="2.11.",Umse!$B$11="2.12."),'V Tab'!Y592,"")))</f>
        <v/>
      </c>
      <c r="R18" s="335" t="str">
        <f>IF(OR(Umse!$B$11="2.3.",Umse!$B$11="2.4."),'V Tab'!Z544,IF(OR(Umse!$B$11="2.7.",Umse!$B$11="2.8."),'V Tab'!Z568,IF(OR(Umse!$B$11="2.11.",Umse!$B$11="2.12."),'V Tab'!Z592,"")))</f>
        <v/>
      </c>
    </row>
    <row r="19" spans="2:18" ht="11.25" customHeight="1">
      <c r="B19" s="335" t="str">
        <f>IF(OR(Umse!$B$11="2.1.",Umse!$B$11="2.2."),'V Tab'!A545,IF(OR(Umse!$B$11="2.5.",Umse!$B$11="2.6."),'V Tab'!A569,IF(OR(Umse!$B$11="2.9.",Umse!$B$11="2.10."),'V Tab'!A593,"")))</f>
        <v/>
      </c>
      <c r="C19" s="367" t="str">
        <f>IF(OR(Umse!$B$11="2.1.",Umse!$B$11="2.2."),'V Tab'!B545,IF(OR(Umse!$B$11="2.5.",Umse!$B$11="2.6."),'V Tab'!B569,IF(OR(Umse!$B$11="2.9.",Umse!$B$11="2.10."),'V Tab'!B593,"")))</f>
        <v/>
      </c>
      <c r="D19" s="335" t="str">
        <f>IF(OR(Umse!$B$11="2.1.",Umse!$B$11="2.2."),'V Tab'!C545,IF(OR(Umse!$B$11="2.5.",Umse!$B$11="2.6."),'V Tab'!C569,IF(OR(Umse!$B$11="2.9.",Umse!$B$11="2.10."),'V Tab'!C593,"")))</f>
        <v/>
      </c>
      <c r="E19" s="335" t="str">
        <f>IF(OR(Umse!$B$11="2.1.",Umse!$B$11="2.2."),'V Tab'!D545,IF(OR(Umse!$B$11="2.5.",Umse!$B$11="2.6."),'V Tab'!D569,IF(OR(Umse!$B$11="2.9.",Umse!$B$11="2.10."),'V Tab'!D593,"")))</f>
        <v/>
      </c>
      <c r="F19" s="335" t="str">
        <f>IF(OR(Umse!$B$11="2.1.",Umse!$B$11="2.2."),'V Tab'!E545,IF(OR(Umse!$B$11="2.5.",Umse!$B$11="2.6."),'V Tab'!E569,IF(OR(Umse!$B$11="2.9.",Umse!$B$11="2.10."),'V Tab'!E593,"")))</f>
        <v/>
      </c>
      <c r="G19" s="335" t="str">
        <f>IF(OR(Umse!$B$11="2.1.",Umse!$B$11="2.2."),'V Tab'!F545,IF(OR(Umse!$B$11="2.5.",Umse!$B$11="2.6."),'V Tab'!F569,IF(OR(Umse!$B$11="2.9.",Umse!$B$11="2.10."),'V Tab'!F593,"")))</f>
        <v/>
      </c>
      <c r="H19" s="335" t="str">
        <f>IF(OR(Umse!$B$11="2.1.",Umse!$B$11="2.2."),'V Tab'!G545,IF(OR(Umse!$B$11="2.5.",Umse!$B$11="2.6."),'V Tab'!G569,IF(OR(Umse!$B$11="2.9.",Umse!$B$11="2.10."),'V Tab'!G593,"")))</f>
        <v/>
      </c>
      <c r="I19" s="335" t="str">
        <f>IF(OR(Umse!$B$11="2.1.",Umse!$B$11="2.2."),'V Tab'!H545,IF(OR(Umse!$B$11="2.5.",Umse!$B$11="2.6."),'V Tab'!H569,IF(OR(Umse!$B$11="2.9.",Umse!$B$11="2.10."),'V Tab'!H593,"")))</f>
        <v/>
      </c>
      <c r="K19" s="331" t="str">
        <f>'V Ist'!T18</f>
        <v>EG S</v>
      </c>
      <c r="L19" s="363" t="str">
        <f>'V Ist'!U18</f>
        <v>8b</v>
      </c>
      <c r="M19" s="335" t="str">
        <f>IF(OR(Umse!$B$11="2.3.",Umse!$B$11="2.4."),'V Tab'!U545,IF(OR(Umse!$B$11="2.7.",Umse!$B$11="2.8."),'V Tab'!U569,IF(OR(Umse!$B$11="2.11.",Umse!$B$11="2.12."),'V Tab'!U593,"")))</f>
        <v/>
      </c>
      <c r="N19" s="335" t="str">
        <f>IF(OR(Umse!$B$11="2.3.",Umse!$B$11="2.4."),'V Tab'!V545,IF(OR(Umse!$B$11="2.7.",Umse!$B$11="2.8."),'V Tab'!V569,IF(OR(Umse!$B$11="2.11.",Umse!$B$11="2.12."),'V Tab'!V593,"")))</f>
        <v/>
      </c>
      <c r="O19" s="335" t="str">
        <f>IF(OR(Umse!$B$11="2.3.",Umse!$B$11="2.4."),'V Tab'!W545,IF(OR(Umse!$B$11="2.7.",Umse!$B$11="2.8."),'V Tab'!W569,IF(OR(Umse!$B$11="2.11.",Umse!$B$11="2.12."),'V Tab'!W593,"")))</f>
        <v/>
      </c>
      <c r="P19" s="335" t="str">
        <f>IF(OR(Umse!$B$11="2.3.",Umse!$B$11="2.4."),'V Tab'!X545,IF(OR(Umse!$B$11="2.7.",Umse!$B$11="2.8."),'V Tab'!X569,IF(OR(Umse!$B$11="2.11.",Umse!$B$11="2.12."),'V Tab'!X593,"")))</f>
        <v/>
      </c>
      <c r="Q19" s="335" t="str">
        <f>IF(OR(Umse!$B$11="2.3.",Umse!$B$11="2.4."),'V Tab'!Y545,IF(OR(Umse!$B$11="2.7.",Umse!$B$11="2.8."),'V Tab'!Y569,IF(OR(Umse!$B$11="2.11.",Umse!$B$11="2.12."),'V Tab'!Y593,"")))</f>
        <v/>
      </c>
      <c r="R19" s="335" t="str">
        <f>IF(OR(Umse!$B$11="2.3.",Umse!$B$11="2.4."),'V Tab'!Z545,IF(OR(Umse!$B$11="2.7.",Umse!$B$11="2.8."),'V Tab'!Z569,IF(OR(Umse!$B$11="2.11.",Umse!$B$11="2.12."),'V Tab'!Z593,"")))</f>
        <v/>
      </c>
    </row>
    <row r="20" spans="2:18" ht="11.25" customHeight="1">
      <c r="B20" s="335" t="str">
        <f>IF(OR(Umse!$B$11="2.1.",Umse!$B$11="2.2."),'V Tab'!A546,IF(OR(Umse!$B$11="2.5.",Umse!$B$11="2.6."),'V Tab'!A570,IF(OR(Umse!$B$11="2.9.",Umse!$B$11="2.10."),'V Tab'!A594,"")))</f>
        <v/>
      </c>
      <c r="C20" s="367" t="str">
        <f>IF(OR(Umse!$B$11="2.1.",Umse!$B$11="2.2."),'V Tab'!B546,IF(OR(Umse!$B$11="2.5.",Umse!$B$11="2.6."),'V Tab'!B570,IF(OR(Umse!$B$11="2.9.",Umse!$B$11="2.10."),'V Tab'!B594,"")))</f>
        <v/>
      </c>
      <c r="D20" s="335" t="str">
        <f>IF(OR(Umse!$B$11="2.1.",Umse!$B$11="2.2."),'V Tab'!C546,IF(OR(Umse!$B$11="2.5.",Umse!$B$11="2.6."),'V Tab'!C570,IF(OR(Umse!$B$11="2.9.",Umse!$B$11="2.10."),'V Tab'!C594,"")))</f>
        <v/>
      </c>
      <c r="E20" s="335" t="str">
        <f>IF(OR(Umse!$B$11="2.1.",Umse!$B$11="2.2."),'V Tab'!D546,IF(OR(Umse!$B$11="2.5.",Umse!$B$11="2.6."),'V Tab'!D570,IF(OR(Umse!$B$11="2.9.",Umse!$B$11="2.10."),'V Tab'!D594,"")))</f>
        <v/>
      </c>
      <c r="F20" s="335" t="str">
        <f>IF(OR(Umse!$B$11="2.1.",Umse!$B$11="2.2."),'V Tab'!E546,IF(OR(Umse!$B$11="2.5.",Umse!$B$11="2.6."),'V Tab'!E570,IF(OR(Umse!$B$11="2.9.",Umse!$B$11="2.10."),'V Tab'!E594,"")))</f>
        <v/>
      </c>
      <c r="G20" s="335" t="str">
        <f>IF(OR(Umse!$B$11="2.1.",Umse!$B$11="2.2."),'V Tab'!F546,IF(OR(Umse!$B$11="2.5.",Umse!$B$11="2.6."),'V Tab'!F570,IF(OR(Umse!$B$11="2.9.",Umse!$B$11="2.10."),'V Tab'!F594,"")))</f>
        <v/>
      </c>
      <c r="H20" s="335" t="str">
        <f>IF(OR(Umse!$B$11="2.1.",Umse!$B$11="2.2."),'V Tab'!G546,IF(OR(Umse!$B$11="2.5.",Umse!$B$11="2.6."),'V Tab'!G570,IF(OR(Umse!$B$11="2.9.",Umse!$B$11="2.10."),'V Tab'!G594,"")))</f>
        <v/>
      </c>
      <c r="I20" s="335" t="str">
        <f>IF(OR(Umse!$B$11="2.1.",Umse!$B$11="2.2."),'V Tab'!H546,IF(OR(Umse!$B$11="2.5.",Umse!$B$11="2.6."),'V Tab'!H570,IF(OR(Umse!$B$11="2.9.",Umse!$B$11="2.10."),'V Tab'!H594,"")))</f>
        <v/>
      </c>
      <c r="K20" s="331" t="str">
        <f>'V Ist'!T19</f>
        <v>EG S</v>
      </c>
      <c r="L20" s="363" t="str">
        <f>'V Ist'!U19</f>
        <v>8a</v>
      </c>
      <c r="M20" s="335" t="str">
        <f>IF(OR(Umse!$B$11="2.3.",Umse!$B$11="2.4."),'V Tab'!U546,IF(OR(Umse!$B$11="2.7.",Umse!$B$11="2.8."),'V Tab'!U570,IF(OR(Umse!$B$11="2.11.",Umse!$B$11="2.12."),'V Tab'!U594,"")))</f>
        <v/>
      </c>
      <c r="N20" s="335" t="str">
        <f>IF(OR(Umse!$B$11="2.3.",Umse!$B$11="2.4."),'V Tab'!V546,IF(OR(Umse!$B$11="2.7.",Umse!$B$11="2.8."),'V Tab'!V570,IF(OR(Umse!$B$11="2.11.",Umse!$B$11="2.12."),'V Tab'!V594,"")))</f>
        <v/>
      </c>
      <c r="O20" s="335" t="str">
        <f>IF(OR(Umse!$B$11="2.3.",Umse!$B$11="2.4."),'V Tab'!W546,IF(OR(Umse!$B$11="2.7.",Umse!$B$11="2.8."),'V Tab'!W570,IF(OR(Umse!$B$11="2.11.",Umse!$B$11="2.12."),'V Tab'!W594,"")))</f>
        <v/>
      </c>
      <c r="P20" s="335" t="str">
        <f>IF(OR(Umse!$B$11="2.3.",Umse!$B$11="2.4."),'V Tab'!X546,IF(OR(Umse!$B$11="2.7.",Umse!$B$11="2.8."),'V Tab'!X570,IF(OR(Umse!$B$11="2.11.",Umse!$B$11="2.12."),'V Tab'!X594,"")))</f>
        <v/>
      </c>
      <c r="Q20" s="335" t="str">
        <f>IF(OR(Umse!$B$11="2.3.",Umse!$B$11="2.4."),'V Tab'!Y546,IF(OR(Umse!$B$11="2.7.",Umse!$B$11="2.8."),'V Tab'!Y570,IF(OR(Umse!$B$11="2.11.",Umse!$B$11="2.12."),'V Tab'!Y594,"")))</f>
        <v/>
      </c>
      <c r="R20" s="335" t="str">
        <f>IF(OR(Umse!$B$11="2.3.",Umse!$B$11="2.4."),'V Tab'!Z546,IF(OR(Umse!$B$11="2.7.",Umse!$B$11="2.8."),'V Tab'!Z570,IF(OR(Umse!$B$11="2.11.",Umse!$B$11="2.12."),'V Tab'!Z594,"")))</f>
        <v/>
      </c>
    </row>
    <row r="21" spans="2:18" ht="11.25" customHeight="1">
      <c r="B21" s="335" t="str">
        <f>IF(OR(Umse!$B$11="2.1.",Umse!$B$11="2.2."),'V Tab'!A547,IF(OR(Umse!$B$11="2.5.",Umse!$B$11="2.6."),'V Tab'!A571,IF(OR(Umse!$B$11="2.9.",Umse!$B$11="2.10."),'V Tab'!A595,"")))</f>
        <v/>
      </c>
      <c r="C21" s="367" t="str">
        <f>IF(OR(Umse!$B$11="2.1.",Umse!$B$11="2.2."),'V Tab'!B547,IF(OR(Umse!$B$11="2.5.",Umse!$B$11="2.6."),'V Tab'!B571,IF(OR(Umse!$B$11="2.9.",Umse!$B$11="2.10."),'V Tab'!B595,"")))</f>
        <v/>
      </c>
      <c r="D21" s="335" t="str">
        <f>IF(OR(Umse!$B$11="2.1.",Umse!$B$11="2.2."),'V Tab'!C547,IF(OR(Umse!$B$11="2.5.",Umse!$B$11="2.6."),'V Tab'!C571,IF(OR(Umse!$B$11="2.9.",Umse!$B$11="2.10."),'V Tab'!C595,"")))</f>
        <v/>
      </c>
      <c r="E21" s="335" t="str">
        <f>IF(OR(Umse!$B$11="2.1.",Umse!$B$11="2.2."),'V Tab'!D547,IF(OR(Umse!$B$11="2.5.",Umse!$B$11="2.6."),'V Tab'!D571,IF(OR(Umse!$B$11="2.9.",Umse!$B$11="2.10."),'V Tab'!D595,"")))</f>
        <v/>
      </c>
      <c r="F21" s="335" t="str">
        <f>IF(OR(Umse!$B$11="2.1.",Umse!$B$11="2.2."),'V Tab'!E547,IF(OR(Umse!$B$11="2.5.",Umse!$B$11="2.6."),'V Tab'!E571,IF(OR(Umse!$B$11="2.9.",Umse!$B$11="2.10."),'V Tab'!E595,"")))</f>
        <v/>
      </c>
      <c r="G21" s="335" t="str">
        <f>IF(OR(Umse!$B$11="2.1.",Umse!$B$11="2.2."),'V Tab'!F547,IF(OR(Umse!$B$11="2.5.",Umse!$B$11="2.6."),'V Tab'!F571,IF(OR(Umse!$B$11="2.9.",Umse!$B$11="2.10."),'V Tab'!F595,"")))</f>
        <v/>
      </c>
      <c r="H21" s="335" t="str">
        <f>IF(OR(Umse!$B$11="2.1.",Umse!$B$11="2.2."),'V Tab'!G547,IF(OR(Umse!$B$11="2.5.",Umse!$B$11="2.6."),'V Tab'!G571,IF(OR(Umse!$B$11="2.9.",Umse!$B$11="2.10."),'V Tab'!G595,"")))</f>
        <v/>
      </c>
      <c r="I21" s="335" t="str">
        <f>IF(OR(Umse!$B$11="2.1.",Umse!$B$11="2.2."),'V Tab'!H547,IF(OR(Umse!$B$11="2.5.",Umse!$B$11="2.6."),'V Tab'!H571,IF(OR(Umse!$B$11="2.9.",Umse!$B$11="2.10."),'V Tab'!H595,"")))</f>
        <v/>
      </c>
      <c r="K21" s="331" t="str">
        <f>'V Ist'!T20</f>
        <v>EG S</v>
      </c>
      <c r="L21" s="363">
        <f>'V Ist'!U20</f>
        <v>7</v>
      </c>
      <c r="M21" s="335" t="str">
        <f>IF(OR(Umse!$B$11="2.3.",Umse!$B$11="2.4."),'V Tab'!U547,IF(OR(Umse!$B$11="2.7.",Umse!$B$11="2.8."),'V Tab'!U571,IF(OR(Umse!$B$11="2.11.",Umse!$B$11="2.12."),'V Tab'!U595,"")))</f>
        <v/>
      </c>
      <c r="N21" s="335" t="str">
        <f>IF(OR(Umse!$B$11="2.3.",Umse!$B$11="2.4."),'V Tab'!V547,IF(OR(Umse!$B$11="2.7.",Umse!$B$11="2.8."),'V Tab'!V571,IF(OR(Umse!$B$11="2.11.",Umse!$B$11="2.12."),'V Tab'!V595,"")))</f>
        <v/>
      </c>
      <c r="O21" s="335" t="str">
        <f>IF(OR(Umse!$B$11="2.3.",Umse!$B$11="2.4."),'V Tab'!W547,IF(OR(Umse!$B$11="2.7.",Umse!$B$11="2.8."),'V Tab'!W571,IF(OR(Umse!$B$11="2.11.",Umse!$B$11="2.12."),'V Tab'!W595,"")))</f>
        <v/>
      </c>
      <c r="P21" s="335" t="str">
        <f>IF(OR(Umse!$B$11="2.3.",Umse!$B$11="2.4."),'V Tab'!X547,IF(OR(Umse!$B$11="2.7.",Umse!$B$11="2.8."),'V Tab'!X571,IF(OR(Umse!$B$11="2.11.",Umse!$B$11="2.12."),'V Tab'!X595,"")))</f>
        <v/>
      </c>
      <c r="Q21" s="335" t="str">
        <f>IF(OR(Umse!$B$11="2.3.",Umse!$B$11="2.4."),'V Tab'!Y547,IF(OR(Umse!$B$11="2.7.",Umse!$B$11="2.8."),'V Tab'!Y571,IF(OR(Umse!$B$11="2.11.",Umse!$B$11="2.12."),'V Tab'!Y595,"")))</f>
        <v/>
      </c>
      <c r="R21" s="335" t="str">
        <f>IF(OR(Umse!$B$11="2.3.",Umse!$B$11="2.4."),'V Tab'!Z547,IF(OR(Umse!$B$11="2.7.",Umse!$B$11="2.8."),'V Tab'!Z571,IF(OR(Umse!$B$11="2.11.",Umse!$B$11="2.12."),'V Tab'!Z595,"")))</f>
        <v/>
      </c>
    </row>
    <row r="22" spans="2:18" ht="11.25" customHeight="1">
      <c r="B22" s="335" t="str">
        <f>IF(OR(Umse!$B$11="2.1.",Umse!$B$11="2.2."),'V Tab'!A548,IF(OR(Umse!$B$11="2.5.",Umse!$B$11="2.6."),'V Tab'!A572,IF(OR(Umse!$B$11="2.9.",Umse!$B$11="2.10."),'V Tab'!A596,"")))</f>
        <v/>
      </c>
      <c r="C22" s="367" t="str">
        <f>IF(OR(Umse!$B$11="2.1.",Umse!$B$11="2.2."),'V Tab'!B548,IF(OR(Umse!$B$11="2.5.",Umse!$B$11="2.6."),'V Tab'!B572,IF(OR(Umse!$B$11="2.9.",Umse!$B$11="2.10."),'V Tab'!B596,"")))</f>
        <v/>
      </c>
      <c r="D22" s="335" t="str">
        <f>IF(OR(Umse!$B$11="2.1.",Umse!$B$11="2.2."),'V Tab'!C548,IF(OR(Umse!$B$11="2.5.",Umse!$B$11="2.6."),'V Tab'!C572,IF(OR(Umse!$B$11="2.9.",Umse!$B$11="2.10."),'V Tab'!C596,"")))</f>
        <v/>
      </c>
      <c r="E22" s="335" t="str">
        <f>IF(OR(Umse!$B$11="2.1.",Umse!$B$11="2.2."),'V Tab'!D548,IF(OR(Umse!$B$11="2.5.",Umse!$B$11="2.6."),'V Tab'!D572,IF(OR(Umse!$B$11="2.9.",Umse!$B$11="2.10."),'V Tab'!D596,"")))</f>
        <v/>
      </c>
      <c r="F22" s="335" t="str">
        <f>IF(OR(Umse!$B$11="2.1.",Umse!$B$11="2.2."),'V Tab'!E548,IF(OR(Umse!$B$11="2.5.",Umse!$B$11="2.6."),'V Tab'!E572,IF(OR(Umse!$B$11="2.9.",Umse!$B$11="2.10."),'V Tab'!E596,"")))</f>
        <v/>
      </c>
      <c r="G22" s="335" t="str">
        <f>IF(OR(Umse!$B$11="2.1.",Umse!$B$11="2.2."),'V Tab'!F548,IF(OR(Umse!$B$11="2.5.",Umse!$B$11="2.6."),'V Tab'!F572,IF(OR(Umse!$B$11="2.9.",Umse!$B$11="2.10."),'V Tab'!F596,"")))</f>
        <v/>
      </c>
      <c r="H22" s="335" t="str">
        <f>IF(OR(Umse!$B$11="2.1.",Umse!$B$11="2.2."),'V Tab'!G548,IF(OR(Umse!$B$11="2.5.",Umse!$B$11="2.6."),'V Tab'!G572,IF(OR(Umse!$B$11="2.9.",Umse!$B$11="2.10."),'V Tab'!G596,"")))</f>
        <v/>
      </c>
      <c r="I22" s="335" t="str">
        <f>IF(OR(Umse!$B$11="2.1.",Umse!$B$11="2.2."),'V Tab'!H548,IF(OR(Umse!$B$11="2.5.",Umse!$B$11="2.6."),'V Tab'!H572,IF(OR(Umse!$B$11="2.9.",Umse!$B$11="2.10."),'V Tab'!H596,"")))</f>
        <v/>
      </c>
      <c r="K22" s="331" t="str">
        <f>'V Ist'!T21</f>
        <v>EG S</v>
      </c>
      <c r="L22" s="363">
        <f>'V Ist'!U21</f>
        <v>4</v>
      </c>
      <c r="M22" s="335" t="str">
        <f>IF(OR(Umse!$B$11="2.3.",Umse!$B$11="2.4."),'V Tab'!U548,IF(OR(Umse!$B$11="2.7.",Umse!$B$11="2.8."),'V Tab'!U572,IF(OR(Umse!$B$11="2.11.",Umse!$B$11="2.12."),'V Tab'!U596,"")))</f>
        <v/>
      </c>
      <c r="N22" s="335" t="str">
        <f>IF(OR(Umse!$B$11="2.3.",Umse!$B$11="2.4."),'V Tab'!V548,IF(OR(Umse!$B$11="2.7.",Umse!$B$11="2.8."),'V Tab'!V572,IF(OR(Umse!$B$11="2.11.",Umse!$B$11="2.12."),'V Tab'!V596,"")))</f>
        <v/>
      </c>
      <c r="O22" s="335" t="str">
        <f>IF(OR(Umse!$B$11="2.3.",Umse!$B$11="2.4."),'V Tab'!W548,IF(OR(Umse!$B$11="2.7.",Umse!$B$11="2.8."),'V Tab'!W572,IF(OR(Umse!$B$11="2.11.",Umse!$B$11="2.12."),'V Tab'!W596,"")))</f>
        <v/>
      </c>
      <c r="P22" s="335" t="str">
        <f>IF(OR(Umse!$B$11="2.3.",Umse!$B$11="2.4."),'V Tab'!X548,IF(OR(Umse!$B$11="2.7.",Umse!$B$11="2.8."),'V Tab'!X572,IF(OR(Umse!$B$11="2.11.",Umse!$B$11="2.12."),'V Tab'!X596,"")))</f>
        <v/>
      </c>
      <c r="Q22" s="335" t="str">
        <f>IF(OR(Umse!$B$11="2.3.",Umse!$B$11="2.4."),'V Tab'!Y548,IF(OR(Umse!$B$11="2.7.",Umse!$B$11="2.8."),'V Tab'!Y572,IF(OR(Umse!$B$11="2.11.",Umse!$B$11="2.12."),'V Tab'!Y596,"")))</f>
        <v/>
      </c>
      <c r="R22" s="335" t="str">
        <f>IF(OR(Umse!$B$11="2.3.",Umse!$B$11="2.4."),'V Tab'!Z548,IF(OR(Umse!$B$11="2.7.",Umse!$B$11="2.8."),'V Tab'!Z572,IF(OR(Umse!$B$11="2.11.",Umse!$B$11="2.12."),'V Tab'!Z596,"")))</f>
        <v/>
      </c>
    </row>
    <row r="23" spans="2:18" ht="11.25" customHeight="1">
      <c r="D23" s="135"/>
      <c r="E23" s="135"/>
      <c r="F23" s="135"/>
      <c r="G23" s="135"/>
      <c r="H23" s="135"/>
      <c r="I23" s="135"/>
      <c r="K23" s="331" t="str">
        <f>'V Ist'!T22</f>
        <v>EG S</v>
      </c>
      <c r="L23" s="363">
        <f>'V Ist'!U22</f>
        <v>3</v>
      </c>
      <c r="M23" s="335" t="str">
        <f>IF(OR(Umse!$B$11="2.3.",Umse!$B$11="2.4."),'V Tab'!U549,IF(OR(Umse!$B$11="2.7.",Umse!$B$11="2.8."),'V Tab'!U573,IF(OR(Umse!$B$11="2.11.",Umse!$B$11="2.12."),'V Tab'!U597,"")))</f>
        <v/>
      </c>
      <c r="N23" s="335" t="str">
        <f>IF(OR(Umse!$B$11="2.3.",Umse!$B$11="2.4."),'V Tab'!V549,IF(OR(Umse!$B$11="2.7.",Umse!$B$11="2.8."),'V Tab'!V573,IF(OR(Umse!$B$11="2.11.",Umse!$B$11="2.12."),'V Tab'!V597,"")))</f>
        <v/>
      </c>
      <c r="O23" s="335" t="str">
        <f>IF(OR(Umse!$B$11="2.3.",Umse!$B$11="2.4."),'V Tab'!W549,IF(OR(Umse!$B$11="2.7.",Umse!$B$11="2.8."),'V Tab'!W573,IF(OR(Umse!$B$11="2.11.",Umse!$B$11="2.12."),'V Tab'!W597,"")))</f>
        <v/>
      </c>
      <c r="P23" s="335" t="str">
        <f>IF(OR(Umse!$B$11="2.3.",Umse!$B$11="2.4."),'V Tab'!X549,IF(OR(Umse!$B$11="2.7.",Umse!$B$11="2.8."),'V Tab'!X573,IF(OR(Umse!$B$11="2.11.",Umse!$B$11="2.12."),'V Tab'!X597,"")))</f>
        <v/>
      </c>
      <c r="Q23" s="335" t="str">
        <f>IF(OR(Umse!$B$11="2.3.",Umse!$B$11="2.4."),'V Tab'!Y549,IF(OR(Umse!$B$11="2.7.",Umse!$B$11="2.8."),'V Tab'!Y573,IF(OR(Umse!$B$11="2.11.",Umse!$B$11="2.12."),'V Tab'!Y597,"")))</f>
        <v/>
      </c>
      <c r="R23" s="335" t="str">
        <f>IF(OR(Umse!$B$11="2.3.",Umse!$B$11="2.4."),'V Tab'!Z549,IF(OR(Umse!$B$11="2.7.",Umse!$B$11="2.8."),'V Tab'!Z573,IF(OR(Umse!$B$11="2.11.",Umse!$B$11="2.12."),'V Tab'!Z597,"")))</f>
        <v/>
      </c>
    </row>
    <row r="24" spans="2:18" ht="11.25" customHeight="1">
      <c r="D24" s="135"/>
      <c r="E24" s="135"/>
      <c r="F24" s="135"/>
      <c r="G24" s="135"/>
      <c r="H24" s="135"/>
      <c r="I24" s="135"/>
      <c r="K24" s="331" t="str">
        <f>'V Ist'!T23</f>
        <v>EG S</v>
      </c>
      <c r="L24" s="363">
        <f>'V Ist'!U23</f>
        <v>2</v>
      </c>
      <c r="M24" s="335" t="str">
        <f>IF(OR(Umse!$B$11="2.3.",Umse!$B$11="2.4."),'V Tab'!U550,IF(OR(Umse!$B$11="2.7.",Umse!$B$11="2.8."),'V Tab'!U574,IF(OR(Umse!$B$11="2.11.",Umse!$B$11="2.12."),'V Tab'!U598,"")))</f>
        <v/>
      </c>
      <c r="N24" s="335" t="str">
        <f>IF(OR(Umse!$B$11="2.3.",Umse!$B$11="2.4."),'V Tab'!V550,IF(OR(Umse!$B$11="2.7.",Umse!$B$11="2.8."),'V Tab'!V574,IF(OR(Umse!$B$11="2.11.",Umse!$B$11="2.12."),'V Tab'!V598,"")))</f>
        <v/>
      </c>
      <c r="O24" s="335" t="str">
        <f>IF(OR(Umse!$B$11="2.3.",Umse!$B$11="2.4."),'V Tab'!W550,IF(OR(Umse!$B$11="2.7.",Umse!$B$11="2.8."),'V Tab'!W574,IF(OR(Umse!$B$11="2.11.",Umse!$B$11="2.12."),'V Tab'!W598,"")))</f>
        <v/>
      </c>
      <c r="P24" s="335" t="str">
        <f>IF(OR(Umse!$B$11="2.3.",Umse!$B$11="2.4."),'V Tab'!X550,IF(OR(Umse!$B$11="2.7.",Umse!$B$11="2.8."),'V Tab'!X574,IF(OR(Umse!$B$11="2.11.",Umse!$B$11="2.12."),'V Tab'!X598,"")))</f>
        <v/>
      </c>
      <c r="Q24" s="335" t="str">
        <f>IF(OR(Umse!$B$11="2.3.",Umse!$B$11="2.4."),'V Tab'!Y550,IF(OR(Umse!$B$11="2.7.",Umse!$B$11="2.8."),'V Tab'!Y574,IF(OR(Umse!$B$11="2.11.",Umse!$B$11="2.12."),'V Tab'!Y598,"")))</f>
        <v/>
      </c>
      <c r="R24" s="335" t="str">
        <f>IF(OR(Umse!$B$11="2.3.",Umse!$B$11="2.4."),'V Tab'!Z550,IF(OR(Umse!$B$11="2.7.",Umse!$B$11="2.8."),'V Tab'!Z574,IF(OR(Umse!$B$11="2.11.",Umse!$B$11="2.12."),'V Tab'!Z598,"")))</f>
        <v/>
      </c>
    </row>
    <row r="63" spans="28:28" ht="11.25" customHeight="1">
      <c r="AB63" s="373"/>
    </row>
  </sheetData>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C00000"/>
  </sheetPr>
  <dimension ref="A1:AI598"/>
  <sheetViews>
    <sheetView topLeftCell="R551" zoomScaleNormal="100" workbookViewId="0">
      <selection activeCell="AC530" sqref="AC530:AI598"/>
    </sheetView>
  </sheetViews>
  <sheetFormatPr baseColWidth="10" defaultColWidth="8.5703125" defaultRowHeight="11.25"/>
  <cols>
    <col min="1" max="1" width="23.140625" style="135" customWidth="1"/>
    <col min="2" max="18" width="8.5703125" style="135"/>
    <col min="19" max="19" width="23.140625" style="135" customWidth="1"/>
    <col min="20" max="59" width="8.5703125" style="135"/>
    <col min="60" max="60" width="10" style="135" bestFit="1" customWidth="1"/>
    <col min="61" max="65" width="9.85546875" style="135" bestFit="1" customWidth="1"/>
    <col min="66" max="16384" width="8.5703125" style="135"/>
  </cols>
  <sheetData>
    <row r="1" spans="1:8">
      <c r="A1" s="135" t="s">
        <v>26</v>
      </c>
      <c r="B1" s="75">
        <v>2005</v>
      </c>
      <c r="C1" s="74" t="s">
        <v>7</v>
      </c>
      <c r="D1" s="74" t="s">
        <v>8</v>
      </c>
      <c r="E1" s="74" t="s">
        <v>9</v>
      </c>
      <c r="F1" s="74" t="s">
        <v>10</v>
      </c>
      <c r="G1" s="74" t="s">
        <v>11</v>
      </c>
      <c r="H1" s="74" t="s">
        <v>12</v>
      </c>
    </row>
    <row r="2" spans="1:8">
      <c r="B2" s="74" t="s">
        <v>13</v>
      </c>
      <c r="C2" s="36" t="s">
        <v>15</v>
      </c>
      <c r="D2" s="36">
        <v>4330</v>
      </c>
      <c r="E2" s="36">
        <v>4805</v>
      </c>
      <c r="F2" s="36">
        <v>5255</v>
      </c>
      <c r="G2" s="36">
        <v>5555</v>
      </c>
      <c r="H2" s="36">
        <v>5625</v>
      </c>
    </row>
    <row r="3" spans="1:8">
      <c r="B3" s="74">
        <v>15</v>
      </c>
      <c r="C3" s="36">
        <v>3384</v>
      </c>
      <c r="D3" s="36">
        <v>3760</v>
      </c>
      <c r="E3" s="36">
        <v>3900</v>
      </c>
      <c r="F3" s="36">
        <v>4400</v>
      </c>
      <c r="G3" s="36">
        <v>4780</v>
      </c>
      <c r="H3" s="36">
        <v>5030</v>
      </c>
    </row>
    <row r="4" spans="1:8">
      <c r="B4" s="74">
        <v>14</v>
      </c>
      <c r="C4" s="36">
        <v>3060</v>
      </c>
      <c r="D4" s="36">
        <v>3400</v>
      </c>
      <c r="E4" s="36">
        <v>3600</v>
      </c>
      <c r="F4" s="36">
        <v>3900</v>
      </c>
      <c r="G4" s="36">
        <v>4360</v>
      </c>
      <c r="H4" s="36">
        <v>4610</v>
      </c>
    </row>
    <row r="5" spans="1:8">
      <c r="B5" s="74">
        <v>13</v>
      </c>
      <c r="C5" s="36">
        <v>2817</v>
      </c>
      <c r="D5" s="36">
        <v>3130</v>
      </c>
      <c r="E5" s="36">
        <v>3300</v>
      </c>
      <c r="F5" s="36">
        <v>3630</v>
      </c>
      <c r="G5" s="36">
        <v>4090</v>
      </c>
      <c r="H5" s="36">
        <v>4280</v>
      </c>
    </row>
    <row r="6" spans="1:8">
      <c r="B6" s="74">
        <v>12</v>
      </c>
      <c r="C6" s="36">
        <v>2520</v>
      </c>
      <c r="D6" s="36">
        <v>2800</v>
      </c>
      <c r="E6" s="36">
        <v>3200</v>
      </c>
      <c r="F6" s="36">
        <v>3550</v>
      </c>
      <c r="G6" s="36">
        <v>4000</v>
      </c>
      <c r="H6" s="36">
        <v>4200</v>
      </c>
    </row>
    <row r="7" spans="1:8">
      <c r="B7" s="74">
        <v>11</v>
      </c>
      <c r="C7" s="36">
        <v>2430</v>
      </c>
      <c r="D7" s="36">
        <v>2700</v>
      </c>
      <c r="E7" s="36">
        <v>2900</v>
      </c>
      <c r="F7" s="36">
        <v>3200</v>
      </c>
      <c r="G7" s="36">
        <v>3635</v>
      </c>
      <c r="H7" s="36">
        <v>3835</v>
      </c>
    </row>
    <row r="8" spans="1:8">
      <c r="B8" s="74">
        <v>10</v>
      </c>
      <c r="C8" s="36">
        <v>2340</v>
      </c>
      <c r="D8" s="36">
        <v>2600</v>
      </c>
      <c r="E8" s="36">
        <v>2800</v>
      </c>
      <c r="F8" s="36">
        <v>3000</v>
      </c>
      <c r="G8" s="36">
        <v>3380</v>
      </c>
      <c r="H8" s="36">
        <v>3470</v>
      </c>
    </row>
    <row r="9" spans="1:8">
      <c r="B9" s="74">
        <v>9</v>
      </c>
      <c r="C9" s="36">
        <v>2061</v>
      </c>
      <c r="D9" s="36">
        <v>2290</v>
      </c>
      <c r="E9" s="36">
        <v>2410</v>
      </c>
      <c r="F9" s="36">
        <v>2730</v>
      </c>
      <c r="G9" s="36">
        <v>2980</v>
      </c>
      <c r="H9" s="36">
        <v>3180</v>
      </c>
    </row>
    <row r="10" spans="1:8">
      <c r="B10" s="74">
        <v>8</v>
      </c>
      <c r="C10" s="36">
        <v>1926</v>
      </c>
      <c r="D10" s="36">
        <v>2140</v>
      </c>
      <c r="E10" s="36">
        <v>2240</v>
      </c>
      <c r="F10" s="36">
        <v>2330</v>
      </c>
      <c r="G10" s="36">
        <v>2430</v>
      </c>
      <c r="H10" s="36">
        <v>2493</v>
      </c>
    </row>
    <row r="11" spans="1:8">
      <c r="B11" s="74">
        <v>7</v>
      </c>
      <c r="C11" s="36">
        <v>1800</v>
      </c>
      <c r="D11" s="36">
        <v>2000</v>
      </c>
      <c r="E11" s="36">
        <v>2130</v>
      </c>
      <c r="F11" s="36">
        <v>2230</v>
      </c>
      <c r="G11" s="36">
        <v>2305</v>
      </c>
      <c r="H11" s="36">
        <v>2375</v>
      </c>
    </row>
    <row r="12" spans="1:8">
      <c r="B12" s="74">
        <v>6</v>
      </c>
      <c r="C12" s="36">
        <v>1764</v>
      </c>
      <c r="D12" s="36">
        <v>1960</v>
      </c>
      <c r="E12" s="36">
        <v>2060</v>
      </c>
      <c r="F12" s="36">
        <v>2155</v>
      </c>
      <c r="G12" s="36">
        <v>2220</v>
      </c>
      <c r="H12" s="36">
        <v>2285</v>
      </c>
    </row>
    <row r="13" spans="1:8">
      <c r="B13" s="74">
        <v>5</v>
      </c>
      <c r="C13" s="36">
        <v>1688</v>
      </c>
      <c r="D13" s="36">
        <v>1875</v>
      </c>
      <c r="E13" s="36">
        <v>1970</v>
      </c>
      <c r="F13" s="36">
        <v>2065</v>
      </c>
      <c r="G13" s="36">
        <v>2135</v>
      </c>
      <c r="H13" s="36">
        <v>2185</v>
      </c>
    </row>
    <row r="14" spans="1:8">
      <c r="B14" s="74">
        <v>4</v>
      </c>
      <c r="C14" s="36">
        <v>1602</v>
      </c>
      <c r="D14" s="36">
        <v>1780</v>
      </c>
      <c r="E14" s="36">
        <v>1900</v>
      </c>
      <c r="F14" s="36">
        <v>1970</v>
      </c>
      <c r="G14" s="36">
        <v>2040</v>
      </c>
      <c r="H14" s="36">
        <v>2081</v>
      </c>
    </row>
    <row r="15" spans="1:8">
      <c r="B15" s="74">
        <v>3</v>
      </c>
      <c r="C15" s="36">
        <v>1575</v>
      </c>
      <c r="D15" s="36">
        <v>1750</v>
      </c>
      <c r="E15" s="36">
        <v>1800</v>
      </c>
      <c r="F15" s="36">
        <v>1880</v>
      </c>
      <c r="G15" s="36">
        <v>1940</v>
      </c>
      <c r="H15" s="36">
        <v>1995</v>
      </c>
    </row>
    <row r="16" spans="1:8">
      <c r="B16" s="74" t="s">
        <v>14</v>
      </c>
      <c r="C16" s="36">
        <v>1503</v>
      </c>
      <c r="D16" s="36">
        <v>1670</v>
      </c>
      <c r="E16" s="36">
        <v>1730</v>
      </c>
      <c r="F16" s="36">
        <v>1810</v>
      </c>
      <c r="G16" s="36">
        <v>1865</v>
      </c>
      <c r="H16" s="36">
        <v>1906</v>
      </c>
    </row>
    <row r="17" spans="2:8">
      <c r="B17" s="74">
        <v>2</v>
      </c>
      <c r="C17" s="36">
        <v>1449</v>
      </c>
      <c r="D17" s="36">
        <v>1610</v>
      </c>
      <c r="E17" s="36">
        <v>1660</v>
      </c>
      <c r="F17" s="36">
        <v>1710</v>
      </c>
      <c r="G17" s="36">
        <v>1820</v>
      </c>
      <c r="H17" s="36">
        <v>1935</v>
      </c>
    </row>
    <row r="18" spans="2:8">
      <c r="B18" s="74">
        <v>1</v>
      </c>
      <c r="C18" s="36" t="s">
        <v>15</v>
      </c>
      <c r="D18" s="36">
        <v>1286</v>
      </c>
      <c r="E18" s="36">
        <v>1310</v>
      </c>
      <c r="F18" s="36">
        <v>1340</v>
      </c>
      <c r="G18" s="36">
        <v>1368</v>
      </c>
      <c r="H18" s="36">
        <v>1440</v>
      </c>
    </row>
    <row r="19" spans="2:8">
      <c r="B19" s="74"/>
      <c r="C19" s="36"/>
      <c r="D19" s="36"/>
      <c r="E19" s="36"/>
      <c r="F19" s="36"/>
      <c r="G19" s="36"/>
      <c r="H19" s="36"/>
    </row>
    <row r="20" spans="2:8">
      <c r="B20" s="74"/>
      <c r="C20" s="36"/>
      <c r="D20" s="36"/>
      <c r="E20" s="36"/>
      <c r="F20" s="36"/>
      <c r="G20" s="36"/>
      <c r="H20" s="36"/>
    </row>
    <row r="21" spans="2:8">
      <c r="B21" s="74"/>
      <c r="C21" s="36"/>
      <c r="D21" s="36"/>
      <c r="E21" s="36"/>
      <c r="F21" s="36"/>
      <c r="G21" s="36"/>
      <c r="H21" s="36"/>
    </row>
    <row r="22" spans="2:8">
      <c r="B22" s="135" t="str">
        <f>""</f>
        <v/>
      </c>
      <c r="C22" s="135" t="str">
        <f>""</f>
        <v/>
      </c>
      <c r="D22" s="135" t="str">
        <f>""</f>
        <v/>
      </c>
      <c r="E22" s="135" t="str">
        <f>""</f>
        <v/>
      </c>
      <c r="F22" s="135" t="str">
        <f>""</f>
        <v/>
      </c>
      <c r="G22" s="135" t="str">
        <f>""</f>
        <v/>
      </c>
      <c r="H22" s="135" t="str">
        <f>""</f>
        <v/>
      </c>
    </row>
    <row r="23" spans="2:8">
      <c r="C23" s="153"/>
    </row>
    <row r="24" spans="2:8">
      <c r="B24" s="146">
        <f>Para!C52</f>
        <v>0.94</v>
      </c>
      <c r="C24" s="147"/>
      <c r="D24" s="147"/>
      <c r="E24" s="147"/>
      <c r="F24" s="147"/>
      <c r="G24" s="147"/>
      <c r="H24" s="147"/>
    </row>
    <row r="25" spans="2:8">
      <c r="B25" s="75">
        <v>2005</v>
      </c>
      <c r="C25" s="75" t="str">
        <f t="shared" ref="C25:H25" si="0">C1</f>
        <v>Stufe 1</v>
      </c>
      <c r="D25" s="75" t="str">
        <f t="shared" si="0"/>
        <v>Stufe 2</v>
      </c>
      <c r="E25" s="75" t="str">
        <f t="shared" si="0"/>
        <v>Stufe 3</v>
      </c>
      <c r="F25" s="75" t="str">
        <f t="shared" si="0"/>
        <v>Stufe 4</v>
      </c>
      <c r="G25" s="75" t="str">
        <f t="shared" si="0"/>
        <v>Stufe 5</v>
      </c>
      <c r="H25" s="75" t="str">
        <f t="shared" si="0"/>
        <v>Stufe 6</v>
      </c>
    </row>
    <row r="26" spans="2:8">
      <c r="B26" s="115" t="str">
        <f>B2</f>
        <v>15Ü</v>
      </c>
      <c r="C26" s="72" t="str">
        <f>IF(C2="-","-",ROUND(C2*Para!$C$52,0))</f>
        <v>-</v>
      </c>
      <c r="D26" s="72">
        <f>IF(D2="-","-",ROUND(D2*Para!$C$52,0))</f>
        <v>4070</v>
      </c>
      <c r="E26" s="72">
        <f>IF(E2="-","-",ROUND(E2*Para!$C$52,0))</f>
        <v>4517</v>
      </c>
      <c r="F26" s="72">
        <f>IF(F2="-","-",ROUND(F2*Para!$C$52,0))</f>
        <v>4940</v>
      </c>
      <c r="G26" s="72">
        <f>IF(G2="-","-",ROUND(G2*Para!$C$52,0))</f>
        <v>5222</v>
      </c>
      <c r="H26" s="72">
        <f>IF(H2="-","-",ROUND(H2*Para!$C$52,0))</f>
        <v>5288</v>
      </c>
    </row>
    <row r="27" spans="2:8">
      <c r="B27" s="115">
        <f>B3</f>
        <v>15</v>
      </c>
      <c r="C27" s="72">
        <f>IF(C3="-","-",ROUND(C3*Para!$C$52,0))</f>
        <v>3181</v>
      </c>
      <c r="D27" s="72">
        <f>IF(D3="-","-",ROUND(D3*Para!$C$52,0))</f>
        <v>3534</v>
      </c>
      <c r="E27" s="72">
        <f>IF(E3="-","-",ROUND(E3*Para!$C$52,0))</f>
        <v>3666</v>
      </c>
      <c r="F27" s="72">
        <f>IF(F3="-","-",ROUND(F3*Para!$C$52,0))</f>
        <v>4136</v>
      </c>
      <c r="G27" s="72">
        <f>IF(G3="-","-",ROUND(G3*Para!$C$52,0))</f>
        <v>4493</v>
      </c>
      <c r="H27" s="72">
        <f>IF(H3="-","-",ROUND(H3*Para!$C$52,0))</f>
        <v>4728</v>
      </c>
    </row>
    <row r="28" spans="2:8">
      <c r="B28" s="115">
        <f>B4</f>
        <v>14</v>
      </c>
      <c r="C28" s="72">
        <f>IF(C4="-","-",ROUND(C4*Para!$C$52,0))</f>
        <v>2876</v>
      </c>
      <c r="D28" s="72">
        <f>IF(D4="-","-",ROUND(D4*Para!$C$52,0))</f>
        <v>3196</v>
      </c>
      <c r="E28" s="72">
        <f>IF(E4="-","-",ROUND(E4*Para!$C$52,0))</f>
        <v>3384</v>
      </c>
      <c r="F28" s="72">
        <f>IF(F4="-","-",ROUND(F4*Para!$C$52,0))</f>
        <v>3666</v>
      </c>
      <c r="G28" s="72">
        <f>IF(G4="-","-",ROUND(G4*Para!$C$52,0))</f>
        <v>4098</v>
      </c>
      <c r="H28" s="72">
        <f>IF(H4="-","-",ROUND(H4*Para!$C$52,0))</f>
        <v>4333</v>
      </c>
    </row>
    <row r="29" spans="2:8">
      <c r="B29" s="115">
        <f t="shared" ref="B29:B42" si="1">B5</f>
        <v>13</v>
      </c>
      <c r="C29" s="72">
        <f>IF(C5="-","-",ROUND(C5*Para!$C$52,0))</f>
        <v>2648</v>
      </c>
      <c r="D29" s="72">
        <f>IF(D5="-","-",ROUND(D5*Para!$C$52,0))</f>
        <v>2942</v>
      </c>
      <c r="E29" s="72">
        <f>IF(E5="-","-",ROUND(E5*Para!$C$52,0))</f>
        <v>3102</v>
      </c>
      <c r="F29" s="72">
        <f>IF(F5="-","-",ROUND(F5*Para!$C$52,0))</f>
        <v>3412</v>
      </c>
      <c r="G29" s="72">
        <f>IF(G5="-","-",ROUND(G5*Para!$C$52,0))</f>
        <v>3845</v>
      </c>
      <c r="H29" s="72">
        <f>IF(H5="-","-",ROUND(H5*Para!$C$52,0))</f>
        <v>4023</v>
      </c>
    </row>
    <row r="30" spans="2:8">
      <c r="B30" s="115">
        <f t="shared" si="1"/>
        <v>12</v>
      </c>
      <c r="C30" s="72">
        <f>IF(C6="-","-",ROUND(C6*Para!$C$52,0))</f>
        <v>2369</v>
      </c>
      <c r="D30" s="72">
        <f>IF(D6="-","-",ROUND(D6*Para!$C$52,0))</f>
        <v>2632</v>
      </c>
      <c r="E30" s="72">
        <f>IF(E6="-","-",ROUND(E6*Para!$C$52,0))</f>
        <v>3008</v>
      </c>
      <c r="F30" s="72">
        <f>IF(F6="-","-",ROUND(F6*Para!$C$52,0))</f>
        <v>3337</v>
      </c>
      <c r="G30" s="72">
        <f>IF(G6="-","-",ROUND(G6*Para!$C$52,0))</f>
        <v>3760</v>
      </c>
      <c r="H30" s="72">
        <f>IF(H6="-","-",ROUND(H6*Para!$C$52,0))</f>
        <v>3948</v>
      </c>
    </row>
    <row r="31" spans="2:8">
      <c r="B31" s="115">
        <f t="shared" si="1"/>
        <v>11</v>
      </c>
      <c r="C31" s="72">
        <f>IF(C7="-","-",ROUND(C7*Para!$C$52,0))</f>
        <v>2284</v>
      </c>
      <c r="D31" s="72">
        <f>IF(D7="-","-",ROUND(D7*Para!$C$52,0))</f>
        <v>2538</v>
      </c>
      <c r="E31" s="72">
        <f>IF(E7="-","-",ROUND(E7*Para!$C$52,0))</f>
        <v>2726</v>
      </c>
      <c r="F31" s="72">
        <f>IF(F7="-","-",ROUND(F7*Para!$C$52,0))</f>
        <v>3008</v>
      </c>
      <c r="G31" s="72">
        <f>IF(G7="-","-",ROUND(G7*Para!$C$52,0))</f>
        <v>3417</v>
      </c>
      <c r="H31" s="72">
        <f>IF(H7="-","-",ROUND(H7*Para!$C$52,0))</f>
        <v>3605</v>
      </c>
    </row>
    <row r="32" spans="2:8">
      <c r="B32" s="115">
        <f t="shared" si="1"/>
        <v>10</v>
      </c>
      <c r="C32" s="72">
        <f>IF(C8="-","-",ROUND(C8*Para!$C$52,0))</f>
        <v>2200</v>
      </c>
      <c r="D32" s="72">
        <f>IF(D8="-","-",ROUND(D8*Para!$C$52,0))</f>
        <v>2444</v>
      </c>
      <c r="E32" s="72">
        <f>IF(E8="-","-",ROUND(E8*Para!$C$52,0))</f>
        <v>2632</v>
      </c>
      <c r="F32" s="72">
        <f>IF(F8="-","-",ROUND(F8*Para!$C$52,0))</f>
        <v>2820</v>
      </c>
      <c r="G32" s="72">
        <f>IF(G8="-","-",ROUND(G8*Para!$C$52,0))</f>
        <v>3177</v>
      </c>
      <c r="H32" s="72">
        <f>IF(H8="-","-",ROUND(H8*Para!$C$52,0))</f>
        <v>3262</v>
      </c>
    </row>
    <row r="33" spans="2:8">
      <c r="B33" s="115">
        <f t="shared" si="1"/>
        <v>9</v>
      </c>
      <c r="C33" s="72">
        <f>IF(C9="-","-",ROUND(C9*Para!$C$52,0))</f>
        <v>1937</v>
      </c>
      <c r="D33" s="72">
        <f>IF(D9="-","-",ROUND(D9*Para!$C$52,0))</f>
        <v>2153</v>
      </c>
      <c r="E33" s="72">
        <f>IF(E9="-","-",ROUND(E9*Para!$C$52,0))</f>
        <v>2265</v>
      </c>
      <c r="F33" s="72">
        <f>IF(F9="-","-",ROUND(F9*Para!$C$52,0))</f>
        <v>2566</v>
      </c>
      <c r="G33" s="72">
        <f>IF(G9="-","-",ROUND(G9*Para!$C$52,0))</f>
        <v>2801</v>
      </c>
      <c r="H33" s="72">
        <f>IF(H9="-","-",ROUND(H9*Para!$C$52,0))</f>
        <v>2989</v>
      </c>
    </row>
    <row r="34" spans="2:8">
      <c r="B34" s="115">
        <f t="shared" si="1"/>
        <v>8</v>
      </c>
      <c r="C34" s="72">
        <f>IF(C10="-","-",ROUND(C10*Para!$C$52,0))</f>
        <v>1810</v>
      </c>
      <c r="D34" s="72">
        <f>IF(D10="-","-",ROUND(D10*Para!$C$52,0))</f>
        <v>2012</v>
      </c>
      <c r="E34" s="72">
        <f>IF(E10="-","-",ROUND(E10*Para!$C$52,0))</f>
        <v>2106</v>
      </c>
      <c r="F34" s="72">
        <f>IF(F10="-","-",ROUND(F10*Para!$C$52,0))</f>
        <v>2190</v>
      </c>
      <c r="G34" s="72">
        <f>IF(G10="-","-",ROUND(G10*Para!$C$52,0))</f>
        <v>2284</v>
      </c>
      <c r="H34" s="72">
        <f>IF(H10="-","-",ROUND(H10*Para!$C$52,0))</f>
        <v>2343</v>
      </c>
    </row>
    <row r="35" spans="2:8">
      <c r="B35" s="115">
        <f t="shared" si="1"/>
        <v>7</v>
      </c>
      <c r="C35" s="72">
        <f>IF(C11="-","-",ROUND(C11*Para!$C$52,0))</f>
        <v>1692</v>
      </c>
      <c r="D35" s="72">
        <f>IF(D11="-","-",ROUND(D11*Para!$C$52,0))</f>
        <v>1880</v>
      </c>
      <c r="E35" s="72">
        <f>IF(E11="-","-",ROUND(E11*Para!$C$52,0))</f>
        <v>2002</v>
      </c>
      <c r="F35" s="72">
        <f>IF(F11="-","-",ROUND(F11*Para!$C$52,0))</f>
        <v>2096</v>
      </c>
      <c r="G35" s="72">
        <f>IF(G11="-","-",ROUND(G11*Para!$C$52,0))</f>
        <v>2167</v>
      </c>
      <c r="H35" s="72">
        <f>IF(H11="-","-",ROUND(H11*Para!$C$52,0))</f>
        <v>2233</v>
      </c>
    </row>
    <row r="36" spans="2:8">
      <c r="B36" s="115">
        <f t="shared" si="1"/>
        <v>6</v>
      </c>
      <c r="C36" s="72">
        <f>IF(C12="-","-",ROUND(C12*Para!$C$52,0))</f>
        <v>1658</v>
      </c>
      <c r="D36" s="72">
        <f>IF(D12="-","-",ROUND(D12*Para!$C$52,0))</f>
        <v>1842</v>
      </c>
      <c r="E36" s="72">
        <f>IF(E12="-","-",ROUND(E12*Para!$C$52,0))</f>
        <v>1936</v>
      </c>
      <c r="F36" s="72">
        <f>IF(F12="-","-",ROUND(F12*Para!$C$52,0))</f>
        <v>2026</v>
      </c>
      <c r="G36" s="72">
        <f>IF(G12="-","-",ROUND(G12*Para!$C$52,0))</f>
        <v>2087</v>
      </c>
      <c r="H36" s="72">
        <f>IF(H12="-","-",ROUND(H12*Para!$C$52,0))</f>
        <v>2148</v>
      </c>
    </row>
    <row r="37" spans="2:8">
      <c r="B37" s="115">
        <f t="shared" si="1"/>
        <v>5</v>
      </c>
      <c r="C37" s="72">
        <f>IF(C13="-","-",ROUND(C13*Para!$C$52,0))</f>
        <v>1587</v>
      </c>
      <c r="D37" s="72">
        <f>IF(D13="-","-",ROUND(D13*Para!$C$52,0))</f>
        <v>1763</v>
      </c>
      <c r="E37" s="72">
        <f>IF(E13="-","-",ROUND(E13*Para!$C$52,0))</f>
        <v>1852</v>
      </c>
      <c r="F37" s="72">
        <f>IF(F13="-","-",ROUND(F13*Para!$C$52,0))</f>
        <v>1941</v>
      </c>
      <c r="G37" s="72">
        <f>IF(G13="-","-",ROUND(G13*Para!$C$52,0))</f>
        <v>2007</v>
      </c>
      <c r="H37" s="72">
        <f>IF(H13="-","-",ROUND(H13*Para!$C$52,0))</f>
        <v>2054</v>
      </c>
    </row>
    <row r="38" spans="2:8">
      <c r="B38" s="115">
        <f t="shared" si="1"/>
        <v>4</v>
      </c>
      <c r="C38" s="72">
        <f>IF(C14="-","-",ROUND(C14*Para!$C$52,0))</f>
        <v>1506</v>
      </c>
      <c r="D38" s="72">
        <f>IF(D14="-","-",ROUND(D14*Para!$C$52,0))</f>
        <v>1673</v>
      </c>
      <c r="E38" s="72">
        <f>IF(E14="-","-",ROUND(E14*Para!$C$52,0))</f>
        <v>1786</v>
      </c>
      <c r="F38" s="72">
        <f>IF(F14="-","-",ROUND(F14*Para!$C$52,0))</f>
        <v>1852</v>
      </c>
      <c r="G38" s="72">
        <f>IF(G14="-","-",ROUND(G14*Para!$C$52,0))</f>
        <v>1918</v>
      </c>
      <c r="H38" s="72">
        <f>IF(H14="-","-",ROUND(H14*Para!$C$52,0))</f>
        <v>1956</v>
      </c>
    </row>
    <row r="39" spans="2:8">
      <c r="B39" s="115">
        <f t="shared" si="1"/>
        <v>3</v>
      </c>
      <c r="C39" s="72">
        <f>IF(C15="-","-",ROUND(C15*Para!$C$52,0))</f>
        <v>1481</v>
      </c>
      <c r="D39" s="72">
        <f>IF(D15="-","-",ROUND(D15*Para!$C$52,0))</f>
        <v>1645</v>
      </c>
      <c r="E39" s="72">
        <f>IF(E15="-","-",ROUND(E15*Para!$C$52,0))</f>
        <v>1692</v>
      </c>
      <c r="F39" s="72">
        <f>IF(F15="-","-",ROUND(F15*Para!$C$52,0))</f>
        <v>1767</v>
      </c>
      <c r="G39" s="72">
        <f>IF(G15="-","-",ROUND(G15*Para!$C$52,0))</f>
        <v>1824</v>
      </c>
      <c r="H39" s="72">
        <f>IF(H15="-","-",ROUND(H15*Para!$C$52,0))</f>
        <v>1875</v>
      </c>
    </row>
    <row r="40" spans="2:8">
      <c r="B40" s="115" t="str">
        <f t="shared" si="1"/>
        <v>2Ü</v>
      </c>
      <c r="C40" s="72">
        <f>IF(C16="-","-",ROUND(C16*Para!$C$52,0))</f>
        <v>1413</v>
      </c>
      <c r="D40" s="72">
        <f>IF(D16="-","-",ROUND(D16*Para!$C$52,0))</f>
        <v>1570</v>
      </c>
      <c r="E40" s="72">
        <f>IF(E16="-","-",ROUND(E16*Para!$C$52,0))</f>
        <v>1626</v>
      </c>
      <c r="F40" s="72">
        <f>IF(F16="-","-",ROUND(F16*Para!$C$52,0))</f>
        <v>1701</v>
      </c>
      <c r="G40" s="72">
        <f>IF(G16="-","-",ROUND(G16*Para!$C$52,0))</f>
        <v>1753</v>
      </c>
      <c r="H40" s="72">
        <f>IF(H16="-","-",ROUND(H16*Para!$C$52,0))</f>
        <v>1792</v>
      </c>
    </row>
    <row r="41" spans="2:8">
      <c r="B41" s="115">
        <f t="shared" si="1"/>
        <v>2</v>
      </c>
      <c r="C41" s="72">
        <f>IF(C17="-","-",ROUND(C17*Para!$C$52,0))</f>
        <v>1362</v>
      </c>
      <c r="D41" s="72">
        <f>IF(D17="-","-",ROUND(D17*Para!$C$52,0))</f>
        <v>1513</v>
      </c>
      <c r="E41" s="72">
        <f>IF(E17="-","-",ROUND(E17*Para!$C$52,0))</f>
        <v>1560</v>
      </c>
      <c r="F41" s="72">
        <f>IF(F17="-","-",ROUND(F17*Para!$C$52,0))</f>
        <v>1607</v>
      </c>
      <c r="G41" s="72">
        <f>IF(G17="-","-",ROUND(G17*Para!$C$52,0))</f>
        <v>1711</v>
      </c>
      <c r="H41" s="72">
        <f>IF(H17="-","-",ROUND(H17*Para!$C$52,0))</f>
        <v>1819</v>
      </c>
    </row>
    <row r="42" spans="2:8">
      <c r="B42" s="115">
        <f t="shared" si="1"/>
        <v>1</v>
      </c>
      <c r="C42" s="72" t="str">
        <f>IF(C18="-","-",ROUND(C18*Para!$C$52,0))</f>
        <v>-</v>
      </c>
      <c r="D42" s="72">
        <f>IF(D18="-","-",ROUND(D18*Para!$C$52,0))</f>
        <v>1209</v>
      </c>
      <c r="E42" s="72">
        <f>IF(E18="-","-",ROUND(E18*Para!$C$52,0))</f>
        <v>1231</v>
      </c>
      <c r="F42" s="72">
        <f>IF(F18="-","-",ROUND(F18*Para!$C$52,0))</f>
        <v>1260</v>
      </c>
      <c r="G42" s="72">
        <f>IF(G18="-","-",ROUND(G18*Para!$C$52,0))</f>
        <v>1286</v>
      </c>
      <c r="H42" s="72">
        <f>IF(H18="-","-",ROUND(H18*Para!$C$52,0))</f>
        <v>1354</v>
      </c>
    </row>
    <row r="43" spans="2:8">
      <c r="B43" s="115"/>
      <c r="C43" s="72"/>
      <c r="D43" s="72"/>
      <c r="E43" s="72"/>
      <c r="F43" s="72"/>
      <c r="G43" s="72"/>
      <c r="H43" s="72"/>
    </row>
    <row r="44" spans="2:8">
      <c r="B44" s="115"/>
      <c r="C44" s="72"/>
      <c r="D44" s="72"/>
      <c r="E44" s="72"/>
      <c r="F44" s="72"/>
      <c r="G44" s="72"/>
      <c r="H44" s="72"/>
    </row>
    <row r="45" spans="2:8">
      <c r="B45" s="115"/>
      <c r="C45" s="72"/>
      <c r="D45" s="72"/>
      <c r="E45" s="72"/>
      <c r="F45" s="72"/>
      <c r="G45" s="72"/>
      <c r="H45" s="72"/>
    </row>
    <row r="46" spans="2:8">
      <c r="B46" s="135" t="str">
        <f>""</f>
        <v/>
      </c>
      <c r="C46" s="135" t="str">
        <f>""</f>
        <v/>
      </c>
      <c r="D46" s="135" t="str">
        <f>""</f>
        <v/>
      </c>
      <c r="E46" s="135" t="str">
        <f>""</f>
        <v/>
      </c>
      <c r="F46" s="135" t="str">
        <f>""</f>
        <v/>
      </c>
      <c r="G46" s="135" t="str">
        <f>""</f>
        <v/>
      </c>
      <c r="H46" s="135" t="str">
        <f>""</f>
        <v/>
      </c>
    </row>
    <row r="48" spans="2:8">
      <c r="B48" s="146">
        <f>Para!C53</f>
        <v>0.95499999999999996</v>
      </c>
      <c r="C48" s="147"/>
      <c r="D48" s="147"/>
      <c r="E48" s="147"/>
      <c r="F48" s="147"/>
      <c r="G48" s="147"/>
      <c r="H48" s="147"/>
    </row>
    <row r="49" spans="2:8">
      <c r="B49" s="75">
        <v>2006</v>
      </c>
      <c r="C49" s="75" t="str">
        <f t="shared" ref="C49:H49" si="2">C25</f>
        <v>Stufe 1</v>
      </c>
      <c r="D49" s="75" t="str">
        <f t="shared" si="2"/>
        <v>Stufe 2</v>
      </c>
      <c r="E49" s="75" t="str">
        <f t="shared" si="2"/>
        <v>Stufe 3</v>
      </c>
      <c r="F49" s="75" t="str">
        <f t="shared" si="2"/>
        <v>Stufe 4</v>
      </c>
      <c r="G49" s="75" t="str">
        <f t="shared" si="2"/>
        <v>Stufe 5</v>
      </c>
      <c r="H49" s="75" t="str">
        <f t="shared" si="2"/>
        <v>Stufe 6</v>
      </c>
    </row>
    <row r="50" spans="2:8">
      <c r="B50" s="115" t="str">
        <f>B26</f>
        <v>15Ü</v>
      </c>
      <c r="C50" s="72" t="str">
        <f>IF(C2="-","-",ROUND(C2*Para!$C$53,0))</f>
        <v>-</v>
      </c>
      <c r="D50" s="72">
        <f>IF(D2="-","-",ROUND(D2*Para!$C$53,0))</f>
        <v>4135</v>
      </c>
      <c r="E50" s="72">
        <f>IF(E2="-","-",ROUND(E2*Para!$C$53,0))</f>
        <v>4589</v>
      </c>
      <c r="F50" s="72">
        <f>IF(F2="-","-",ROUND(F2*Para!$C$53,0))</f>
        <v>5019</v>
      </c>
      <c r="G50" s="72">
        <f>IF(G2="-","-",ROUND(G2*Para!$C$53,0))</f>
        <v>5305</v>
      </c>
      <c r="H50" s="72">
        <f>IF(H2="-","-",ROUND(H2*Para!$C$53,0))</f>
        <v>5372</v>
      </c>
    </row>
    <row r="51" spans="2:8">
      <c r="B51" s="115">
        <f>B27</f>
        <v>15</v>
      </c>
      <c r="C51" s="72">
        <f>IF(C3="-","-",ROUND(C3*Para!$C$53,0))</f>
        <v>3232</v>
      </c>
      <c r="D51" s="72">
        <f>IF(D3="-","-",ROUND(D3*Para!$C$53,0))</f>
        <v>3591</v>
      </c>
      <c r="E51" s="72">
        <f>IF(E3="-","-",ROUND(E3*Para!$C$53,0))</f>
        <v>3725</v>
      </c>
      <c r="F51" s="72">
        <f>IF(F3="-","-",ROUND(F3*Para!$C$53,0))</f>
        <v>4202</v>
      </c>
      <c r="G51" s="72">
        <f>IF(G3="-","-",ROUND(G3*Para!$C$53,0))</f>
        <v>4565</v>
      </c>
      <c r="H51" s="72">
        <f>IF(H3="-","-",ROUND(H3*Para!$C$53,0))</f>
        <v>4804</v>
      </c>
    </row>
    <row r="52" spans="2:8">
      <c r="B52" s="115">
        <f>B28</f>
        <v>14</v>
      </c>
      <c r="C52" s="72">
        <f>IF(C4="-","-",ROUND(C4*Para!$C$53,0))</f>
        <v>2922</v>
      </c>
      <c r="D52" s="72">
        <f>IF(D4="-","-",ROUND(D4*Para!$C$53,0))</f>
        <v>3247</v>
      </c>
      <c r="E52" s="72">
        <f>IF(E4="-","-",ROUND(E4*Para!$C$53,0))</f>
        <v>3438</v>
      </c>
      <c r="F52" s="72">
        <f>IF(F4="-","-",ROUND(F4*Para!$C$53,0))</f>
        <v>3725</v>
      </c>
      <c r="G52" s="72">
        <f>IF(G4="-","-",ROUND(G4*Para!$C$53,0))</f>
        <v>4164</v>
      </c>
      <c r="H52" s="72">
        <f>IF(H4="-","-",ROUND(H4*Para!$C$53,0))</f>
        <v>4403</v>
      </c>
    </row>
    <row r="53" spans="2:8">
      <c r="B53" s="115">
        <f t="shared" ref="B53:B66" si="3">B29</f>
        <v>13</v>
      </c>
      <c r="C53" s="72">
        <f>IF(C5="-","-",ROUND(C5*Para!$C$53,0))</f>
        <v>2690</v>
      </c>
      <c r="D53" s="72">
        <f>IF(D5="-","-",ROUND(D5*Para!$C$53,0))</f>
        <v>2989</v>
      </c>
      <c r="E53" s="72">
        <f>IF(E5="-","-",ROUND(E5*Para!$C$53,0))</f>
        <v>3152</v>
      </c>
      <c r="F53" s="72">
        <f>IF(F5="-","-",ROUND(F5*Para!$C$53,0))</f>
        <v>3467</v>
      </c>
      <c r="G53" s="72">
        <f>IF(G5="-","-",ROUND(G5*Para!$C$53,0))</f>
        <v>3906</v>
      </c>
      <c r="H53" s="72">
        <f>IF(H5="-","-",ROUND(H5*Para!$C$53,0))</f>
        <v>4087</v>
      </c>
    </row>
    <row r="54" spans="2:8">
      <c r="B54" s="115">
        <f t="shared" si="3"/>
        <v>12</v>
      </c>
      <c r="C54" s="72">
        <f>IF(C6="-","-",ROUND(C6*Para!$C$53,0))</f>
        <v>2407</v>
      </c>
      <c r="D54" s="72">
        <f>IF(D6="-","-",ROUND(D6*Para!$C$53,0))</f>
        <v>2674</v>
      </c>
      <c r="E54" s="72">
        <f>IF(E6="-","-",ROUND(E6*Para!$C$53,0))</f>
        <v>3056</v>
      </c>
      <c r="F54" s="72">
        <f>IF(F6="-","-",ROUND(F6*Para!$C$53,0))</f>
        <v>3390</v>
      </c>
      <c r="G54" s="72">
        <f>IF(G6="-","-",ROUND(G6*Para!$C$53,0))</f>
        <v>3820</v>
      </c>
      <c r="H54" s="72">
        <f>IF(H6="-","-",ROUND(H6*Para!$C$53,0))</f>
        <v>4011</v>
      </c>
    </row>
    <row r="55" spans="2:8">
      <c r="B55" s="115">
        <f t="shared" si="3"/>
        <v>11</v>
      </c>
      <c r="C55" s="72">
        <f>IF(C7="-","-",ROUND(C7*Para!$C$53,0))</f>
        <v>2321</v>
      </c>
      <c r="D55" s="72">
        <f>IF(D7="-","-",ROUND(D7*Para!$C$53,0))</f>
        <v>2579</v>
      </c>
      <c r="E55" s="72">
        <f>IF(E7="-","-",ROUND(E7*Para!$C$53,0))</f>
        <v>2770</v>
      </c>
      <c r="F55" s="72">
        <f>IF(F7="-","-",ROUND(F7*Para!$C$53,0))</f>
        <v>3056</v>
      </c>
      <c r="G55" s="72">
        <f>IF(G7="-","-",ROUND(G7*Para!$C$53,0))</f>
        <v>3471</v>
      </c>
      <c r="H55" s="72">
        <f>IF(H7="-","-",ROUND(H7*Para!$C$53,0))</f>
        <v>3662</v>
      </c>
    </row>
    <row r="56" spans="2:8">
      <c r="B56" s="115">
        <f t="shared" si="3"/>
        <v>10</v>
      </c>
      <c r="C56" s="72">
        <f>IF(C8="-","-",ROUND(C8*Para!$C$53,0))</f>
        <v>2235</v>
      </c>
      <c r="D56" s="72">
        <f>IF(D8="-","-",ROUND(D8*Para!$C$53,0))</f>
        <v>2483</v>
      </c>
      <c r="E56" s="72">
        <f>IF(E8="-","-",ROUND(E8*Para!$C$53,0))</f>
        <v>2674</v>
      </c>
      <c r="F56" s="72">
        <f>IF(F8="-","-",ROUND(F8*Para!$C$53,0))</f>
        <v>2865</v>
      </c>
      <c r="G56" s="72">
        <f>IF(G8="-","-",ROUND(G8*Para!$C$53,0))</f>
        <v>3228</v>
      </c>
      <c r="H56" s="72">
        <f>IF(H8="-","-",ROUND(H8*Para!$C$53,0))</f>
        <v>3314</v>
      </c>
    </row>
    <row r="57" spans="2:8">
      <c r="B57" s="115">
        <f t="shared" si="3"/>
        <v>9</v>
      </c>
      <c r="C57" s="72">
        <f>IF(C9="-","-",ROUND(C9*Para!$C$53,0))</f>
        <v>1968</v>
      </c>
      <c r="D57" s="72">
        <f>IF(D9="-","-",ROUND(D9*Para!$C$53,0))</f>
        <v>2187</v>
      </c>
      <c r="E57" s="72">
        <f>IF(E9="-","-",ROUND(E9*Para!$C$53,0))</f>
        <v>2302</v>
      </c>
      <c r="F57" s="72">
        <f>IF(F9="-","-",ROUND(F9*Para!$C$53,0))</f>
        <v>2607</v>
      </c>
      <c r="G57" s="72">
        <f>IF(G9="-","-",ROUND(G9*Para!$C$53,0))</f>
        <v>2846</v>
      </c>
      <c r="H57" s="72">
        <f>IF(H9="-","-",ROUND(H9*Para!$C$53,0))</f>
        <v>3037</v>
      </c>
    </row>
    <row r="58" spans="2:8">
      <c r="B58" s="115">
        <f t="shared" si="3"/>
        <v>8</v>
      </c>
      <c r="C58" s="72">
        <f>IF(C10="-","-",ROUND(C10*Para!$C$53,0))</f>
        <v>1839</v>
      </c>
      <c r="D58" s="72">
        <f>IF(D10="-","-",ROUND(D10*Para!$C$53,0))</f>
        <v>2044</v>
      </c>
      <c r="E58" s="72">
        <f>IF(E10="-","-",ROUND(E10*Para!$C$53,0))</f>
        <v>2139</v>
      </c>
      <c r="F58" s="72">
        <f>IF(F10="-","-",ROUND(F10*Para!$C$53,0))</f>
        <v>2225</v>
      </c>
      <c r="G58" s="72">
        <f>IF(G10="-","-",ROUND(G10*Para!$C$53,0))</f>
        <v>2321</v>
      </c>
      <c r="H58" s="72">
        <f>IF(H10="-","-",ROUND(H10*Para!$C$53,0))</f>
        <v>2381</v>
      </c>
    </row>
    <row r="59" spans="2:8">
      <c r="B59" s="115">
        <f t="shared" si="3"/>
        <v>7</v>
      </c>
      <c r="C59" s="72">
        <f>IF(C11="-","-",ROUND(C11*Para!$C$53,0))</f>
        <v>1719</v>
      </c>
      <c r="D59" s="72">
        <f>IF(D11="-","-",ROUND(D11*Para!$C$53,0))</f>
        <v>1910</v>
      </c>
      <c r="E59" s="72">
        <f>IF(E11="-","-",ROUND(E11*Para!$C$53,0))</f>
        <v>2034</v>
      </c>
      <c r="F59" s="72">
        <f>IF(F11="-","-",ROUND(F11*Para!$C$53,0))</f>
        <v>2130</v>
      </c>
      <c r="G59" s="72">
        <f>IF(G11="-","-",ROUND(G11*Para!$C$53,0))</f>
        <v>2201</v>
      </c>
      <c r="H59" s="72">
        <f>IF(H11="-","-",ROUND(H11*Para!$C$53,0))</f>
        <v>2268</v>
      </c>
    </row>
    <row r="60" spans="2:8">
      <c r="B60" s="115">
        <f t="shared" si="3"/>
        <v>6</v>
      </c>
      <c r="C60" s="72">
        <f>IF(C12="-","-",ROUND(C12*Para!$C$53,0))</f>
        <v>1685</v>
      </c>
      <c r="D60" s="72">
        <f>IF(D12="-","-",ROUND(D12*Para!$C$53,0))</f>
        <v>1872</v>
      </c>
      <c r="E60" s="72">
        <f>IF(E12="-","-",ROUND(E12*Para!$C$53,0))</f>
        <v>1967</v>
      </c>
      <c r="F60" s="72">
        <f>IF(F12="-","-",ROUND(F12*Para!$C$53,0))</f>
        <v>2058</v>
      </c>
      <c r="G60" s="72">
        <f>IF(G12="-","-",ROUND(G12*Para!$C$53,0))</f>
        <v>2120</v>
      </c>
      <c r="H60" s="72">
        <f>IF(H12="-","-",ROUND(H12*Para!$C$53,0))</f>
        <v>2182</v>
      </c>
    </row>
    <row r="61" spans="2:8">
      <c r="B61" s="115">
        <f t="shared" si="3"/>
        <v>5</v>
      </c>
      <c r="C61" s="72">
        <f>IF(C13="-","-",ROUND(C13*Para!$C$53,0))</f>
        <v>1612</v>
      </c>
      <c r="D61" s="72">
        <f>IF(D13="-","-",ROUND(D13*Para!$C$53,0))</f>
        <v>1791</v>
      </c>
      <c r="E61" s="72">
        <f>IF(E13="-","-",ROUND(E13*Para!$C$53,0))</f>
        <v>1881</v>
      </c>
      <c r="F61" s="72">
        <f>IF(F13="-","-",ROUND(F13*Para!$C$53,0))</f>
        <v>1972</v>
      </c>
      <c r="G61" s="72">
        <f>IF(G13="-","-",ROUND(G13*Para!$C$53,0))</f>
        <v>2039</v>
      </c>
      <c r="H61" s="72">
        <f>IF(H13="-","-",ROUND(H13*Para!$C$53,0))</f>
        <v>2087</v>
      </c>
    </row>
    <row r="62" spans="2:8">
      <c r="B62" s="115">
        <f t="shared" si="3"/>
        <v>4</v>
      </c>
      <c r="C62" s="72">
        <f>IF(C14="-","-",ROUND(C14*Para!$C$53,0))</f>
        <v>1530</v>
      </c>
      <c r="D62" s="72">
        <f>IF(D14="-","-",ROUND(D14*Para!$C$53,0))</f>
        <v>1700</v>
      </c>
      <c r="E62" s="72">
        <f>IF(E14="-","-",ROUND(E14*Para!$C$53,0))</f>
        <v>1815</v>
      </c>
      <c r="F62" s="72">
        <f>IF(F14="-","-",ROUND(F14*Para!$C$53,0))</f>
        <v>1881</v>
      </c>
      <c r="G62" s="72">
        <f>IF(G14="-","-",ROUND(G14*Para!$C$53,0))</f>
        <v>1948</v>
      </c>
      <c r="H62" s="72">
        <f>IF(H14="-","-",ROUND(H14*Para!$C$53,0))</f>
        <v>1987</v>
      </c>
    </row>
    <row r="63" spans="2:8">
      <c r="B63" s="115">
        <f t="shared" si="3"/>
        <v>3</v>
      </c>
      <c r="C63" s="72">
        <f>IF(C15="-","-",ROUND(C15*Para!$C$53,0))</f>
        <v>1504</v>
      </c>
      <c r="D63" s="72">
        <f>IF(D15="-","-",ROUND(D15*Para!$C$53,0))</f>
        <v>1671</v>
      </c>
      <c r="E63" s="72">
        <f>IF(E15="-","-",ROUND(E15*Para!$C$53,0))</f>
        <v>1719</v>
      </c>
      <c r="F63" s="72">
        <f>IF(F15="-","-",ROUND(F15*Para!$C$53,0))</f>
        <v>1795</v>
      </c>
      <c r="G63" s="72">
        <f>IF(G15="-","-",ROUND(G15*Para!$C$53,0))</f>
        <v>1853</v>
      </c>
      <c r="H63" s="72">
        <f>IF(H15="-","-",ROUND(H15*Para!$C$53,0))</f>
        <v>1905</v>
      </c>
    </row>
    <row r="64" spans="2:8">
      <c r="B64" s="115" t="str">
        <f t="shared" si="3"/>
        <v>2Ü</v>
      </c>
      <c r="C64" s="72">
        <f>IF(C16="-","-",ROUND(C16*Para!$C$53,0))</f>
        <v>1435</v>
      </c>
      <c r="D64" s="72">
        <f>IF(D16="-","-",ROUND(D16*Para!$C$53,0))</f>
        <v>1595</v>
      </c>
      <c r="E64" s="72">
        <f>IF(E16="-","-",ROUND(E16*Para!$C$53,0))</f>
        <v>1652</v>
      </c>
      <c r="F64" s="72">
        <f>IF(F16="-","-",ROUND(F16*Para!$C$53,0))</f>
        <v>1729</v>
      </c>
      <c r="G64" s="72">
        <f>IF(G16="-","-",ROUND(G16*Para!$C$53,0))</f>
        <v>1781</v>
      </c>
      <c r="H64" s="72">
        <f>IF(H16="-","-",ROUND(H16*Para!$C$53,0))</f>
        <v>1820</v>
      </c>
    </row>
    <row r="65" spans="2:8">
      <c r="B65" s="115">
        <f t="shared" si="3"/>
        <v>2</v>
      </c>
      <c r="C65" s="72">
        <f>IF(C17="-","-",ROUND(C17*Para!$C$53,0))</f>
        <v>1384</v>
      </c>
      <c r="D65" s="72">
        <f>IF(D17="-","-",ROUND(D17*Para!$C$53,0))</f>
        <v>1538</v>
      </c>
      <c r="E65" s="72">
        <f>IF(E17="-","-",ROUND(E17*Para!$C$53,0))</f>
        <v>1585</v>
      </c>
      <c r="F65" s="72">
        <f>IF(F17="-","-",ROUND(F17*Para!$C$53,0))</f>
        <v>1633</v>
      </c>
      <c r="G65" s="72">
        <f>IF(G17="-","-",ROUND(G17*Para!$C$53,0))</f>
        <v>1738</v>
      </c>
      <c r="H65" s="72">
        <f>IF(H17="-","-",ROUND(H17*Para!$C$53,0))</f>
        <v>1848</v>
      </c>
    </row>
    <row r="66" spans="2:8">
      <c r="B66" s="115">
        <f t="shared" si="3"/>
        <v>1</v>
      </c>
      <c r="C66" s="72" t="str">
        <f>IF(C18="-","-",ROUND(C18*Para!$C$53,0))</f>
        <v>-</v>
      </c>
      <c r="D66" s="72">
        <f>IF(D18="-","-",ROUND(D18*Para!$C$53,0))</f>
        <v>1228</v>
      </c>
      <c r="E66" s="72">
        <f>IF(E18="-","-",ROUND(E18*Para!$C$53,0))</f>
        <v>1251</v>
      </c>
      <c r="F66" s="72">
        <f>IF(F18="-","-",ROUND(F18*Para!$C$53,0))</f>
        <v>1280</v>
      </c>
      <c r="G66" s="72">
        <f>IF(G18="-","-",ROUND(G18*Para!$C$53,0))</f>
        <v>1306</v>
      </c>
      <c r="H66" s="72">
        <f>IF(H18="-","-",ROUND(H18*Para!$C$53,0))</f>
        <v>1375</v>
      </c>
    </row>
    <row r="67" spans="2:8">
      <c r="B67" s="135" t="str">
        <f>""</f>
        <v/>
      </c>
      <c r="C67" s="135" t="str">
        <f>""</f>
        <v/>
      </c>
      <c r="D67" s="135" t="str">
        <f>""</f>
        <v/>
      </c>
      <c r="E67" s="135" t="str">
        <f>""</f>
        <v/>
      </c>
      <c r="F67" s="135" t="str">
        <f>""</f>
        <v/>
      </c>
      <c r="G67" s="135" t="str">
        <f>""</f>
        <v/>
      </c>
      <c r="H67" s="135" t="str">
        <f>""</f>
        <v/>
      </c>
    </row>
    <row r="72" spans="2:8">
      <c r="B72" s="146">
        <f>Para!C54</f>
        <v>0.97</v>
      </c>
      <c r="C72" s="147"/>
      <c r="D72" s="147"/>
      <c r="E72" s="147"/>
      <c r="F72" s="147"/>
      <c r="G72" s="147"/>
      <c r="H72" s="147"/>
    </row>
    <row r="73" spans="2:8">
      <c r="B73" s="75">
        <v>2007</v>
      </c>
      <c r="C73" s="75" t="str">
        <f t="shared" ref="C73:H73" si="4">C49</f>
        <v>Stufe 1</v>
      </c>
      <c r="D73" s="75" t="str">
        <f t="shared" si="4"/>
        <v>Stufe 2</v>
      </c>
      <c r="E73" s="75" t="str">
        <f t="shared" si="4"/>
        <v>Stufe 3</v>
      </c>
      <c r="F73" s="75" t="str">
        <f t="shared" si="4"/>
        <v>Stufe 4</v>
      </c>
      <c r="G73" s="75" t="str">
        <f t="shared" si="4"/>
        <v>Stufe 5</v>
      </c>
      <c r="H73" s="75" t="str">
        <f t="shared" si="4"/>
        <v>Stufe 6</v>
      </c>
    </row>
    <row r="74" spans="2:8">
      <c r="B74" s="115" t="str">
        <f>B50</f>
        <v>15Ü</v>
      </c>
      <c r="C74" s="72" t="str">
        <f>IF(C2="-","-",ROUND(C2*Para!$C$54,0))</f>
        <v>-</v>
      </c>
      <c r="D74" s="72">
        <f>IF(D2="-","-",ROUND(D2*Para!$C$54,0))</f>
        <v>4200</v>
      </c>
      <c r="E74" s="72">
        <f>IF(E2="-","-",ROUND(E2*Para!$C$54,0))</f>
        <v>4661</v>
      </c>
      <c r="F74" s="72">
        <f>IF(F2="-","-",ROUND(F2*Para!$C$54,0))</f>
        <v>5097</v>
      </c>
      <c r="G74" s="72">
        <f>IF(G2="-","-",ROUND(G2*Para!$C$54,0))</f>
        <v>5388</v>
      </c>
      <c r="H74" s="72">
        <f>IF(H2="-","-",ROUND(H2*Para!$C$54,0))</f>
        <v>5456</v>
      </c>
    </row>
    <row r="75" spans="2:8">
      <c r="B75" s="115">
        <f>B51</f>
        <v>15</v>
      </c>
      <c r="C75" s="72">
        <f>IF(C3="-","-",ROUND(C3*Para!$C$54,0))</f>
        <v>3282</v>
      </c>
      <c r="D75" s="72">
        <f>IF(D3="-","-",ROUND(D3*Para!$C$54,0))</f>
        <v>3647</v>
      </c>
      <c r="E75" s="72">
        <f>IF(E3="-","-",ROUND(E3*Para!$C$54,0))</f>
        <v>3783</v>
      </c>
      <c r="F75" s="72">
        <f>IF(F3="-","-",ROUND(F3*Para!$C$54,0))</f>
        <v>4268</v>
      </c>
      <c r="G75" s="72">
        <f>IF(G3="-","-",ROUND(G3*Para!$C$54,0))</f>
        <v>4637</v>
      </c>
      <c r="H75" s="72">
        <f>IF(H3="-","-",ROUND(H3*Para!$C$54,0))</f>
        <v>4879</v>
      </c>
    </row>
    <row r="76" spans="2:8">
      <c r="B76" s="115">
        <f>B52</f>
        <v>14</v>
      </c>
      <c r="C76" s="72">
        <f>IF(C4="-","-",ROUND(C4*Para!$C$54,0))</f>
        <v>2968</v>
      </c>
      <c r="D76" s="72">
        <f>IF(D4="-","-",ROUND(D4*Para!$C$54,0))</f>
        <v>3298</v>
      </c>
      <c r="E76" s="72">
        <f>IF(E4="-","-",ROUND(E4*Para!$C$54,0))</f>
        <v>3492</v>
      </c>
      <c r="F76" s="72">
        <f>IF(F4="-","-",ROUND(F4*Para!$C$54,0))</f>
        <v>3783</v>
      </c>
      <c r="G76" s="72">
        <f>IF(G4="-","-",ROUND(G4*Para!$C$54,0))</f>
        <v>4229</v>
      </c>
      <c r="H76" s="72">
        <f>IF(H4="-","-",ROUND(H4*Para!$C$54,0))</f>
        <v>4472</v>
      </c>
    </row>
    <row r="77" spans="2:8">
      <c r="B77" s="115">
        <f t="shared" ref="B77:B90" si="5">B53</f>
        <v>13</v>
      </c>
      <c r="C77" s="72">
        <f>IF(C5="-","-",ROUND(C5*Para!$C$54,0))</f>
        <v>2732</v>
      </c>
      <c r="D77" s="72">
        <f>IF(D5="-","-",ROUND(D5*Para!$C$54,0))</f>
        <v>3036</v>
      </c>
      <c r="E77" s="72">
        <f>IF(E5="-","-",ROUND(E5*Para!$C$54,0))</f>
        <v>3201</v>
      </c>
      <c r="F77" s="72">
        <f>IF(F5="-","-",ROUND(F5*Para!$C$54,0))</f>
        <v>3521</v>
      </c>
      <c r="G77" s="72">
        <f>IF(G5="-","-",ROUND(G5*Para!$C$54,0))</f>
        <v>3967</v>
      </c>
      <c r="H77" s="72">
        <f>IF(H5="-","-",ROUND(H5*Para!$C$54,0))</f>
        <v>4152</v>
      </c>
    </row>
    <row r="78" spans="2:8">
      <c r="B78" s="115">
        <f t="shared" si="5"/>
        <v>12</v>
      </c>
      <c r="C78" s="72">
        <f>IF(C6="-","-",ROUND(C6*Para!$C$54,0))</f>
        <v>2444</v>
      </c>
      <c r="D78" s="72">
        <f>IF(D6="-","-",ROUND(D6*Para!$C$54,0))</f>
        <v>2716</v>
      </c>
      <c r="E78" s="72">
        <f>IF(E6="-","-",ROUND(E6*Para!$C$54,0))</f>
        <v>3104</v>
      </c>
      <c r="F78" s="72">
        <f>IF(F6="-","-",ROUND(F6*Para!$C$54,0))</f>
        <v>3444</v>
      </c>
      <c r="G78" s="72">
        <f>IF(G6="-","-",ROUND(G6*Para!$C$54,0))</f>
        <v>3880</v>
      </c>
      <c r="H78" s="72">
        <f>IF(H6="-","-",ROUND(H6*Para!$C$54,0))</f>
        <v>4074</v>
      </c>
    </row>
    <row r="79" spans="2:8">
      <c r="B79" s="115">
        <f t="shared" si="5"/>
        <v>11</v>
      </c>
      <c r="C79" s="72">
        <f>IF(C7="-","-",ROUND(C7*Para!$C$54,0))</f>
        <v>2357</v>
      </c>
      <c r="D79" s="72">
        <f>IF(D7="-","-",ROUND(D7*Para!$C$54,0))</f>
        <v>2619</v>
      </c>
      <c r="E79" s="72">
        <f>IF(E7="-","-",ROUND(E7*Para!$C$54,0))</f>
        <v>2813</v>
      </c>
      <c r="F79" s="72">
        <f>IF(F7="-","-",ROUND(F7*Para!$C$54,0))</f>
        <v>3104</v>
      </c>
      <c r="G79" s="72">
        <f>IF(G7="-","-",ROUND(G7*Para!$C$54,0))</f>
        <v>3526</v>
      </c>
      <c r="H79" s="72">
        <f>IF(H7="-","-",ROUND(H7*Para!$C$54,0))</f>
        <v>3720</v>
      </c>
    </row>
    <row r="80" spans="2:8">
      <c r="B80" s="115">
        <f t="shared" si="5"/>
        <v>10</v>
      </c>
      <c r="C80" s="72">
        <f>IF(C8="-","-",ROUND(C8*Para!$C$54,0))</f>
        <v>2270</v>
      </c>
      <c r="D80" s="72">
        <f>IF(D8="-","-",ROUND(D8*Para!$C$54,0))</f>
        <v>2522</v>
      </c>
      <c r="E80" s="72">
        <f>IF(E8="-","-",ROUND(E8*Para!$C$54,0))</f>
        <v>2716</v>
      </c>
      <c r="F80" s="72">
        <f>IF(F8="-","-",ROUND(F8*Para!$C$54,0))</f>
        <v>2910</v>
      </c>
      <c r="G80" s="72">
        <f>IF(G8="-","-",ROUND(G8*Para!$C$54,0))</f>
        <v>3279</v>
      </c>
      <c r="H80" s="72">
        <f>IF(H8="-","-",ROUND(H8*Para!$C$54,0))</f>
        <v>3366</v>
      </c>
    </row>
    <row r="81" spans="2:8">
      <c r="B81" s="115">
        <f t="shared" si="5"/>
        <v>9</v>
      </c>
      <c r="C81" s="72">
        <f>IF(C9="-","-",ROUND(C9*Para!$C$54,0))</f>
        <v>1999</v>
      </c>
      <c r="D81" s="72">
        <f>IF(D9="-","-",ROUND(D9*Para!$C$54,0))</f>
        <v>2221</v>
      </c>
      <c r="E81" s="72">
        <f>IF(E9="-","-",ROUND(E9*Para!$C$54,0))</f>
        <v>2338</v>
      </c>
      <c r="F81" s="72">
        <f>IF(F9="-","-",ROUND(F9*Para!$C$54,0))</f>
        <v>2648</v>
      </c>
      <c r="G81" s="72">
        <f>IF(G9="-","-",ROUND(G9*Para!$C$54,0))</f>
        <v>2891</v>
      </c>
      <c r="H81" s="72">
        <f>IF(H9="-","-",ROUND(H9*Para!$C$54,0))</f>
        <v>3085</v>
      </c>
    </row>
    <row r="82" spans="2:8">
      <c r="B82" s="115">
        <f t="shared" si="5"/>
        <v>8</v>
      </c>
      <c r="C82" s="72">
        <f>IF(C10="-","-",ROUND(C10*Para!$C$54,0))</f>
        <v>1868</v>
      </c>
      <c r="D82" s="72">
        <f>IF(D10="-","-",ROUND(D10*Para!$C$54,0))</f>
        <v>2076</v>
      </c>
      <c r="E82" s="72">
        <f>IF(E10="-","-",ROUND(E10*Para!$C$54,0))</f>
        <v>2173</v>
      </c>
      <c r="F82" s="72">
        <f>IF(F10="-","-",ROUND(F10*Para!$C$54,0))</f>
        <v>2260</v>
      </c>
      <c r="G82" s="72">
        <f>IF(G10="-","-",ROUND(G10*Para!$C$54,0))</f>
        <v>2357</v>
      </c>
      <c r="H82" s="72">
        <f>IF(H10="-","-",ROUND(H10*Para!$C$54,0))</f>
        <v>2418</v>
      </c>
    </row>
    <row r="83" spans="2:8">
      <c r="B83" s="115">
        <f t="shared" si="5"/>
        <v>7</v>
      </c>
      <c r="C83" s="72">
        <f>IF(C11="-","-",ROUND(C11*Para!$C$54,0))</f>
        <v>1746</v>
      </c>
      <c r="D83" s="72">
        <f>IF(D11="-","-",ROUND(D11*Para!$C$54,0))</f>
        <v>1940</v>
      </c>
      <c r="E83" s="72">
        <f>IF(E11="-","-",ROUND(E11*Para!$C$54,0))</f>
        <v>2066</v>
      </c>
      <c r="F83" s="72">
        <f>IF(F11="-","-",ROUND(F11*Para!$C$54,0))</f>
        <v>2163</v>
      </c>
      <c r="G83" s="72">
        <f>IF(G11="-","-",ROUND(G11*Para!$C$54,0))</f>
        <v>2236</v>
      </c>
      <c r="H83" s="72">
        <f>IF(H11="-","-",ROUND(H11*Para!$C$54,0))</f>
        <v>2304</v>
      </c>
    </row>
    <row r="84" spans="2:8">
      <c r="B84" s="115">
        <f t="shared" si="5"/>
        <v>6</v>
      </c>
      <c r="C84" s="72">
        <f>IF(C12="-","-",ROUND(C12*Para!$C$54,0))</f>
        <v>1711</v>
      </c>
      <c r="D84" s="72">
        <f>IF(D12="-","-",ROUND(D12*Para!$C$54,0))</f>
        <v>1901</v>
      </c>
      <c r="E84" s="72">
        <f>IF(E12="-","-",ROUND(E12*Para!$C$54,0))</f>
        <v>1998</v>
      </c>
      <c r="F84" s="72">
        <f>IF(F12="-","-",ROUND(F12*Para!$C$54,0))</f>
        <v>2090</v>
      </c>
      <c r="G84" s="72">
        <f>IF(G12="-","-",ROUND(G12*Para!$C$54,0))</f>
        <v>2153</v>
      </c>
      <c r="H84" s="72">
        <f>IF(H12="-","-",ROUND(H12*Para!$C$54,0))</f>
        <v>2216</v>
      </c>
    </row>
    <row r="85" spans="2:8">
      <c r="B85" s="115">
        <f t="shared" si="5"/>
        <v>5</v>
      </c>
      <c r="C85" s="72">
        <f>IF(C13="-","-",ROUND(C13*Para!$C$54,0))</f>
        <v>1637</v>
      </c>
      <c r="D85" s="72">
        <f>IF(D13="-","-",ROUND(D13*Para!$C$54,0))</f>
        <v>1819</v>
      </c>
      <c r="E85" s="72">
        <f>IF(E13="-","-",ROUND(E13*Para!$C$54,0))</f>
        <v>1911</v>
      </c>
      <c r="F85" s="72">
        <f>IF(F13="-","-",ROUND(F13*Para!$C$54,0))</f>
        <v>2003</v>
      </c>
      <c r="G85" s="72">
        <f>IF(G13="-","-",ROUND(G13*Para!$C$54,0))</f>
        <v>2071</v>
      </c>
      <c r="H85" s="72">
        <f>IF(H13="-","-",ROUND(H13*Para!$C$54,0))</f>
        <v>2119</v>
      </c>
    </row>
    <row r="86" spans="2:8">
      <c r="B86" s="115">
        <f t="shared" si="5"/>
        <v>4</v>
      </c>
      <c r="C86" s="72">
        <f>IF(C14="-","-",ROUND(C14*Para!$C$54,0))</f>
        <v>1554</v>
      </c>
      <c r="D86" s="72">
        <f>IF(D14="-","-",ROUND(D14*Para!$C$54,0))</f>
        <v>1727</v>
      </c>
      <c r="E86" s="72">
        <f>IF(E14="-","-",ROUND(E14*Para!$C$54,0))</f>
        <v>1843</v>
      </c>
      <c r="F86" s="72">
        <f>IF(F14="-","-",ROUND(F14*Para!$C$54,0))</f>
        <v>1911</v>
      </c>
      <c r="G86" s="72">
        <f>IF(G14="-","-",ROUND(G14*Para!$C$54,0))</f>
        <v>1979</v>
      </c>
      <c r="H86" s="72">
        <f>IF(H14="-","-",ROUND(H14*Para!$C$54,0))</f>
        <v>2019</v>
      </c>
    </row>
    <row r="87" spans="2:8">
      <c r="B87" s="115">
        <f t="shared" si="5"/>
        <v>3</v>
      </c>
      <c r="C87" s="72">
        <f>IF(C15="-","-",ROUND(C15*Para!$C$54,0))</f>
        <v>1528</v>
      </c>
      <c r="D87" s="72">
        <f>IF(D15="-","-",ROUND(D15*Para!$C$54,0))</f>
        <v>1698</v>
      </c>
      <c r="E87" s="72">
        <f>IF(E15="-","-",ROUND(E15*Para!$C$54,0))</f>
        <v>1746</v>
      </c>
      <c r="F87" s="72">
        <f>IF(F15="-","-",ROUND(F15*Para!$C$54,0))</f>
        <v>1824</v>
      </c>
      <c r="G87" s="72">
        <f>IF(G15="-","-",ROUND(G15*Para!$C$54,0))</f>
        <v>1882</v>
      </c>
      <c r="H87" s="72">
        <f>IF(H15="-","-",ROUND(H15*Para!$C$54,0))</f>
        <v>1935</v>
      </c>
    </row>
    <row r="88" spans="2:8">
      <c r="B88" s="115" t="str">
        <f t="shared" si="5"/>
        <v>2Ü</v>
      </c>
      <c r="C88" s="72">
        <f>IF(C16="-","-",ROUND(C16*Para!$C$54,0))</f>
        <v>1458</v>
      </c>
      <c r="D88" s="72">
        <f>IF(D16="-","-",ROUND(D16*Para!$C$54,0))</f>
        <v>1620</v>
      </c>
      <c r="E88" s="72">
        <f>IF(E16="-","-",ROUND(E16*Para!$C$54,0))</f>
        <v>1678</v>
      </c>
      <c r="F88" s="72">
        <f>IF(F16="-","-",ROUND(F16*Para!$C$54,0))</f>
        <v>1756</v>
      </c>
      <c r="G88" s="72">
        <f>IF(G16="-","-",ROUND(G16*Para!$C$54,0))</f>
        <v>1809</v>
      </c>
      <c r="H88" s="72">
        <f>IF(H16="-","-",ROUND(H16*Para!$C$54,0))</f>
        <v>1849</v>
      </c>
    </row>
    <row r="89" spans="2:8">
      <c r="B89" s="115">
        <f t="shared" si="5"/>
        <v>2</v>
      </c>
      <c r="C89" s="72">
        <f>IF(C17="-","-",ROUND(C17*Para!$C$54,0))</f>
        <v>1406</v>
      </c>
      <c r="D89" s="72">
        <f>IF(D17="-","-",ROUND(D17*Para!$C$54,0))</f>
        <v>1562</v>
      </c>
      <c r="E89" s="72">
        <f>IF(E17="-","-",ROUND(E17*Para!$C$54,0))</f>
        <v>1610</v>
      </c>
      <c r="F89" s="72">
        <f>IF(F17="-","-",ROUND(F17*Para!$C$54,0))</f>
        <v>1659</v>
      </c>
      <c r="G89" s="72">
        <f>IF(G17="-","-",ROUND(G17*Para!$C$54,0))</f>
        <v>1765</v>
      </c>
      <c r="H89" s="72">
        <f>IF(H17="-","-",ROUND(H17*Para!$C$54,0))</f>
        <v>1877</v>
      </c>
    </row>
    <row r="90" spans="2:8">
      <c r="B90" s="115">
        <f t="shared" si="5"/>
        <v>1</v>
      </c>
      <c r="C90" s="72" t="str">
        <f>IF(C18="-","-",ROUND(C18*Para!$C$54,0))</f>
        <v>-</v>
      </c>
      <c r="D90" s="72">
        <f>IF(D18="-","-",ROUND(D18*Para!$C$54,0))</f>
        <v>1247</v>
      </c>
      <c r="E90" s="72">
        <f>IF(E18="-","-",ROUND(E18*Para!$C$54,0))</f>
        <v>1271</v>
      </c>
      <c r="F90" s="72">
        <f>IF(F18="-","-",ROUND(F18*Para!$C$54,0))</f>
        <v>1300</v>
      </c>
      <c r="G90" s="72">
        <f>IF(G18="-","-",ROUND(G18*Para!$C$54,0))</f>
        <v>1327</v>
      </c>
      <c r="H90" s="72">
        <f>IF(H18="-","-",ROUND(H18*Para!$C$54,0))</f>
        <v>1397</v>
      </c>
    </row>
    <row r="91" spans="2:8">
      <c r="B91" s="135" t="str">
        <f>""</f>
        <v/>
      </c>
      <c r="C91" s="135" t="str">
        <f>""</f>
        <v/>
      </c>
      <c r="D91" s="135" t="str">
        <f>""</f>
        <v/>
      </c>
      <c r="E91" s="135" t="str">
        <f>""</f>
        <v/>
      </c>
      <c r="F91" s="135" t="str">
        <f>""</f>
        <v/>
      </c>
      <c r="G91" s="135" t="str">
        <f>""</f>
        <v/>
      </c>
      <c r="H91" s="135" t="str">
        <f>""</f>
        <v/>
      </c>
    </row>
    <row r="95" spans="2:8">
      <c r="C95" s="153"/>
    </row>
    <row r="96" spans="2:8">
      <c r="B96" s="146">
        <f>Para!C47</f>
        <v>1</v>
      </c>
      <c r="C96" s="148" t="str">
        <f>Para!F47</f>
        <v>EG 1 - 9 (bis IVb BAT-O)</v>
      </c>
      <c r="D96" s="147"/>
      <c r="E96" s="147"/>
      <c r="F96" s="147"/>
      <c r="G96" s="147"/>
      <c r="H96" s="147"/>
    </row>
    <row r="97" spans="2:8">
      <c r="B97" s="75">
        <v>2008</v>
      </c>
      <c r="C97" s="75" t="str">
        <f t="shared" ref="C97:H97" si="6">C1</f>
        <v>Stufe 1</v>
      </c>
      <c r="D97" s="75" t="str">
        <f t="shared" si="6"/>
        <v>Stufe 2</v>
      </c>
      <c r="E97" s="75" t="str">
        <f t="shared" si="6"/>
        <v>Stufe 3</v>
      </c>
      <c r="F97" s="75" t="str">
        <f t="shared" si="6"/>
        <v>Stufe 4</v>
      </c>
      <c r="G97" s="75" t="str">
        <f t="shared" si="6"/>
        <v>Stufe 5</v>
      </c>
      <c r="H97" s="75" t="str">
        <f t="shared" si="6"/>
        <v>Stufe 6</v>
      </c>
    </row>
    <row r="98" spans="2:8">
      <c r="B98" s="75" t="str">
        <f t="shared" ref="B98:H114" si="7">B2</f>
        <v>15Ü</v>
      </c>
      <c r="C98" s="36" t="str">
        <f t="shared" ref="C98:H98" si="8">C74</f>
        <v>-</v>
      </c>
      <c r="D98" s="36">
        <f t="shared" si="8"/>
        <v>4200</v>
      </c>
      <c r="E98" s="36">
        <f t="shared" si="8"/>
        <v>4661</v>
      </c>
      <c r="F98" s="36">
        <f t="shared" si="8"/>
        <v>5097</v>
      </c>
      <c r="G98" s="36">
        <f t="shared" si="8"/>
        <v>5388</v>
      </c>
      <c r="H98" s="36">
        <f t="shared" si="8"/>
        <v>5456</v>
      </c>
    </row>
    <row r="99" spans="2:8">
      <c r="B99" s="75">
        <f t="shared" si="7"/>
        <v>15</v>
      </c>
      <c r="C99" s="36">
        <f t="shared" ref="C99:H104" si="9">C75</f>
        <v>3282</v>
      </c>
      <c r="D99" s="36">
        <f t="shared" si="9"/>
        <v>3647</v>
      </c>
      <c r="E99" s="36">
        <f t="shared" si="9"/>
        <v>3783</v>
      </c>
      <c r="F99" s="36">
        <f t="shared" si="9"/>
        <v>4268</v>
      </c>
      <c r="G99" s="36">
        <f t="shared" si="9"/>
        <v>4637</v>
      </c>
      <c r="H99" s="36">
        <f t="shared" si="9"/>
        <v>4879</v>
      </c>
    </row>
    <row r="100" spans="2:8">
      <c r="B100" s="75">
        <f t="shared" si="7"/>
        <v>14</v>
      </c>
      <c r="C100" s="36">
        <f t="shared" si="9"/>
        <v>2968</v>
      </c>
      <c r="D100" s="36">
        <f t="shared" si="9"/>
        <v>3298</v>
      </c>
      <c r="E100" s="36">
        <f t="shared" si="9"/>
        <v>3492</v>
      </c>
      <c r="F100" s="36">
        <f t="shared" si="9"/>
        <v>3783</v>
      </c>
      <c r="G100" s="36">
        <f t="shared" si="9"/>
        <v>4229</v>
      </c>
      <c r="H100" s="36">
        <f t="shared" si="9"/>
        <v>4472</v>
      </c>
    </row>
    <row r="101" spans="2:8">
      <c r="B101" s="75">
        <f t="shared" si="7"/>
        <v>13</v>
      </c>
      <c r="C101" s="36">
        <f t="shared" si="9"/>
        <v>2732</v>
      </c>
      <c r="D101" s="36">
        <f t="shared" si="9"/>
        <v>3036</v>
      </c>
      <c r="E101" s="36">
        <f t="shared" si="9"/>
        <v>3201</v>
      </c>
      <c r="F101" s="36">
        <f t="shared" si="9"/>
        <v>3521</v>
      </c>
      <c r="G101" s="36">
        <f t="shared" si="9"/>
        <v>3967</v>
      </c>
      <c r="H101" s="36">
        <f t="shared" si="9"/>
        <v>4152</v>
      </c>
    </row>
    <row r="102" spans="2:8">
      <c r="B102" s="75">
        <f t="shared" si="7"/>
        <v>12</v>
      </c>
      <c r="C102" s="36">
        <f t="shared" si="9"/>
        <v>2444</v>
      </c>
      <c r="D102" s="36">
        <f t="shared" si="9"/>
        <v>2716</v>
      </c>
      <c r="E102" s="36">
        <f t="shared" si="9"/>
        <v>3104</v>
      </c>
      <c r="F102" s="36">
        <f t="shared" si="9"/>
        <v>3444</v>
      </c>
      <c r="G102" s="36">
        <f t="shared" si="9"/>
        <v>3880</v>
      </c>
      <c r="H102" s="36">
        <f t="shared" si="9"/>
        <v>4074</v>
      </c>
    </row>
    <row r="103" spans="2:8">
      <c r="B103" s="75">
        <f t="shared" si="7"/>
        <v>11</v>
      </c>
      <c r="C103" s="36">
        <f t="shared" si="9"/>
        <v>2357</v>
      </c>
      <c r="D103" s="36">
        <f t="shared" si="9"/>
        <v>2619</v>
      </c>
      <c r="E103" s="36">
        <f t="shared" si="9"/>
        <v>2813</v>
      </c>
      <c r="F103" s="36">
        <f t="shared" si="9"/>
        <v>3104</v>
      </c>
      <c r="G103" s="36">
        <f t="shared" si="9"/>
        <v>3526</v>
      </c>
      <c r="H103" s="36">
        <f t="shared" si="9"/>
        <v>3720</v>
      </c>
    </row>
    <row r="104" spans="2:8">
      <c r="B104" s="75">
        <f t="shared" si="7"/>
        <v>10</v>
      </c>
      <c r="C104" s="36">
        <f t="shared" si="9"/>
        <v>2270</v>
      </c>
      <c r="D104" s="36">
        <f t="shared" si="9"/>
        <v>2522</v>
      </c>
      <c r="E104" s="36">
        <f t="shared" si="9"/>
        <v>2716</v>
      </c>
      <c r="F104" s="36">
        <f t="shared" si="9"/>
        <v>2910</v>
      </c>
      <c r="G104" s="36">
        <f t="shared" si="9"/>
        <v>3279</v>
      </c>
      <c r="H104" s="36">
        <f t="shared" si="9"/>
        <v>3366</v>
      </c>
    </row>
    <row r="105" spans="2:8">
      <c r="B105" s="115">
        <f t="shared" si="7"/>
        <v>9</v>
      </c>
      <c r="C105" s="72">
        <f t="shared" ref="C105:H105" si="10">C9</f>
        <v>2061</v>
      </c>
      <c r="D105" s="72">
        <f t="shared" si="10"/>
        <v>2290</v>
      </c>
      <c r="E105" s="72">
        <f t="shared" si="10"/>
        <v>2410</v>
      </c>
      <c r="F105" s="72">
        <f t="shared" si="10"/>
        <v>2730</v>
      </c>
      <c r="G105" s="72">
        <f t="shared" si="10"/>
        <v>2980</v>
      </c>
      <c r="H105" s="72">
        <f t="shared" si="10"/>
        <v>3180</v>
      </c>
    </row>
    <row r="106" spans="2:8">
      <c r="B106" s="115">
        <f t="shared" si="7"/>
        <v>8</v>
      </c>
      <c r="C106" s="72">
        <f t="shared" si="7"/>
        <v>1926</v>
      </c>
      <c r="D106" s="72">
        <f t="shared" si="7"/>
        <v>2140</v>
      </c>
      <c r="E106" s="72">
        <f t="shared" si="7"/>
        <v>2240</v>
      </c>
      <c r="F106" s="72">
        <f t="shared" si="7"/>
        <v>2330</v>
      </c>
      <c r="G106" s="72">
        <f t="shared" si="7"/>
        <v>2430</v>
      </c>
      <c r="H106" s="72">
        <f t="shared" si="7"/>
        <v>2493</v>
      </c>
    </row>
    <row r="107" spans="2:8">
      <c r="B107" s="115">
        <f t="shared" si="7"/>
        <v>7</v>
      </c>
      <c r="C107" s="72">
        <f t="shared" si="7"/>
        <v>1800</v>
      </c>
      <c r="D107" s="72">
        <f t="shared" si="7"/>
        <v>2000</v>
      </c>
      <c r="E107" s="72">
        <f t="shared" si="7"/>
        <v>2130</v>
      </c>
      <c r="F107" s="72">
        <f t="shared" si="7"/>
        <v>2230</v>
      </c>
      <c r="G107" s="72">
        <f t="shared" si="7"/>
        <v>2305</v>
      </c>
      <c r="H107" s="72">
        <f t="shared" si="7"/>
        <v>2375</v>
      </c>
    </row>
    <row r="108" spans="2:8">
      <c r="B108" s="115">
        <f t="shared" si="7"/>
        <v>6</v>
      </c>
      <c r="C108" s="72">
        <f t="shared" si="7"/>
        <v>1764</v>
      </c>
      <c r="D108" s="72">
        <f t="shared" si="7"/>
        <v>1960</v>
      </c>
      <c r="E108" s="72">
        <f t="shared" si="7"/>
        <v>2060</v>
      </c>
      <c r="F108" s="72">
        <f t="shared" si="7"/>
        <v>2155</v>
      </c>
      <c r="G108" s="72">
        <f t="shared" si="7"/>
        <v>2220</v>
      </c>
      <c r="H108" s="72">
        <f t="shared" si="7"/>
        <v>2285</v>
      </c>
    </row>
    <row r="109" spans="2:8">
      <c r="B109" s="115">
        <f t="shared" si="7"/>
        <v>5</v>
      </c>
      <c r="C109" s="72">
        <f t="shared" si="7"/>
        <v>1688</v>
      </c>
      <c r="D109" s="72">
        <f t="shared" si="7"/>
        <v>1875</v>
      </c>
      <c r="E109" s="72">
        <f t="shared" si="7"/>
        <v>1970</v>
      </c>
      <c r="F109" s="72">
        <f t="shared" si="7"/>
        <v>2065</v>
      </c>
      <c r="G109" s="72">
        <f t="shared" si="7"/>
        <v>2135</v>
      </c>
      <c r="H109" s="72">
        <f t="shared" si="7"/>
        <v>2185</v>
      </c>
    </row>
    <row r="110" spans="2:8">
      <c r="B110" s="115">
        <f t="shared" si="7"/>
        <v>4</v>
      </c>
      <c r="C110" s="72">
        <f t="shared" si="7"/>
        <v>1602</v>
      </c>
      <c r="D110" s="72">
        <f t="shared" si="7"/>
        <v>1780</v>
      </c>
      <c r="E110" s="72">
        <f t="shared" si="7"/>
        <v>1900</v>
      </c>
      <c r="F110" s="72">
        <f t="shared" si="7"/>
        <v>1970</v>
      </c>
      <c r="G110" s="72">
        <f t="shared" si="7"/>
        <v>2040</v>
      </c>
      <c r="H110" s="72">
        <f t="shared" si="7"/>
        <v>2081</v>
      </c>
    </row>
    <row r="111" spans="2:8">
      <c r="B111" s="115">
        <f t="shared" si="7"/>
        <v>3</v>
      </c>
      <c r="C111" s="72">
        <f t="shared" si="7"/>
        <v>1575</v>
      </c>
      <c r="D111" s="72">
        <f t="shared" si="7"/>
        <v>1750</v>
      </c>
      <c r="E111" s="72">
        <f t="shared" si="7"/>
        <v>1800</v>
      </c>
      <c r="F111" s="72">
        <f t="shared" si="7"/>
        <v>1880</v>
      </c>
      <c r="G111" s="72">
        <f t="shared" si="7"/>
        <v>1940</v>
      </c>
      <c r="H111" s="72">
        <f t="shared" si="7"/>
        <v>1995</v>
      </c>
    </row>
    <row r="112" spans="2:8">
      <c r="B112" s="115" t="str">
        <f t="shared" si="7"/>
        <v>2Ü</v>
      </c>
      <c r="C112" s="72">
        <f t="shared" si="7"/>
        <v>1503</v>
      </c>
      <c r="D112" s="72">
        <f t="shared" si="7"/>
        <v>1670</v>
      </c>
      <c r="E112" s="72">
        <f t="shared" si="7"/>
        <v>1730</v>
      </c>
      <c r="F112" s="72">
        <f t="shared" si="7"/>
        <v>1810</v>
      </c>
      <c r="G112" s="72">
        <f t="shared" si="7"/>
        <v>1865</v>
      </c>
      <c r="H112" s="72">
        <f t="shared" si="7"/>
        <v>1906</v>
      </c>
    </row>
    <row r="113" spans="2:17">
      <c r="B113" s="115">
        <f t="shared" si="7"/>
        <v>2</v>
      </c>
      <c r="C113" s="72">
        <f t="shared" si="7"/>
        <v>1449</v>
      </c>
      <c r="D113" s="72">
        <f t="shared" si="7"/>
        <v>1610</v>
      </c>
      <c r="E113" s="72">
        <f t="shared" si="7"/>
        <v>1660</v>
      </c>
      <c r="F113" s="72">
        <f t="shared" si="7"/>
        <v>1710</v>
      </c>
      <c r="G113" s="72">
        <f t="shared" si="7"/>
        <v>1820</v>
      </c>
      <c r="H113" s="72">
        <f t="shared" si="7"/>
        <v>1935</v>
      </c>
    </row>
    <row r="114" spans="2:17">
      <c r="B114" s="115">
        <f t="shared" si="7"/>
        <v>1</v>
      </c>
      <c r="C114" s="72" t="str">
        <f t="shared" si="7"/>
        <v>-</v>
      </c>
      <c r="D114" s="72">
        <f t="shared" si="7"/>
        <v>1286</v>
      </c>
      <c r="E114" s="72">
        <f t="shared" si="7"/>
        <v>1310</v>
      </c>
      <c r="F114" s="72">
        <f t="shared" si="7"/>
        <v>1340</v>
      </c>
      <c r="G114" s="72">
        <f t="shared" si="7"/>
        <v>1368</v>
      </c>
      <c r="H114" s="72">
        <f t="shared" si="7"/>
        <v>1440</v>
      </c>
    </row>
    <row r="115" spans="2:17">
      <c r="B115" s="115"/>
      <c r="C115" s="72"/>
      <c r="D115" s="72"/>
      <c r="E115" s="72"/>
      <c r="F115" s="72"/>
      <c r="G115" s="72"/>
      <c r="H115" s="72"/>
      <c r="K115" s="163"/>
      <c r="L115" s="163"/>
      <c r="M115" s="163"/>
      <c r="N115" s="163"/>
      <c r="O115" s="163"/>
      <c r="P115" s="163"/>
      <c r="Q115" s="163"/>
    </row>
    <row r="116" spans="2:17">
      <c r="B116" s="115"/>
      <c r="C116" s="72"/>
      <c r="D116" s="72"/>
      <c r="E116" s="72"/>
      <c r="F116" s="72"/>
      <c r="G116" s="72"/>
      <c r="H116" s="72"/>
      <c r="K116" s="163"/>
      <c r="L116" s="163"/>
      <c r="M116" s="163"/>
      <c r="N116" s="163"/>
      <c r="O116" s="163"/>
      <c r="P116" s="163"/>
      <c r="Q116" s="163"/>
    </row>
    <row r="117" spans="2:17">
      <c r="B117" s="115"/>
      <c r="C117" s="72"/>
      <c r="D117" s="72"/>
      <c r="E117" s="72"/>
      <c r="F117" s="72"/>
      <c r="G117" s="72"/>
      <c r="H117" s="72"/>
      <c r="K117" s="163"/>
      <c r="L117" s="163"/>
      <c r="M117" s="163"/>
      <c r="N117" s="163"/>
      <c r="O117" s="163"/>
      <c r="P117" s="163"/>
      <c r="Q117" s="163"/>
    </row>
    <row r="118" spans="2:17">
      <c r="K118" s="168" t="s">
        <v>119</v>
      </c>
      <c r="L118" s="169"/>
      <c r="M118" s="169"/>
      <c r="N118" s="169"/>
      <c r="O118" s="169"/>
      <c r="P118" s="169"/>
      <c r="Q118" s="170"/>
    </row>
    <row r="120" spans="2:17">
      <c r="B120" s="147" t="s">
        <v>114</v>
      </c>
      <c r="K120" s="147" t="s">
        <v>118</v>
      </c>
    </row>
    <row r="121" spans="2:17">
      <c r="B121" s="75">
        <v>2008</v>
      </c>
      <c r="C121" s="75" t="str">
        <f t="shared" ref="C121:H121" si="11">C1</f>
        <v>Stufe 1</v>
      </c>
      <c r="D121" s="75" t="str">
        <f t="shared" si="11"/>
        <v>Stufe 2</v>
      </c>
      <c r="E121" s="75" t="str">
        <f t="shared" si="11"/>
        <v>Stufe 3</v>
      </c>
      <c r="F121" s="75" t="str">
        <f t="shared" si="11"/>
        <v>Stufe 4</v>
      </c>
      <c r="G121" s="75" t="str">
        <f t="shared" si="11"/>
        <v>Stufe 5</v>
      </c>
      <c r="H121" s="75" t="str">
        <f t="shared" si="11"/>
        <v>Stufe 6</v>
      </c>
      <c r="K121" s="75">
        <v>2008</v>
      </c>
      <c r="L121" s="75" t="str">
        <f t="shared" ref="L121:Q121" si="12">C1</f>
        <v>Stufe 1</v>
      </c>
      <c r="M121" s="75" t="str">
        <f t="shared" si="12"/>
        <v>Stufe 2</v>
      </c>
      <c r="N121" s="75" t="str">
        <f t="shared" si="12"/>
        <v>Stufe 3</v>
      </c>
      <c r="O121" s="75" t="str">
        <f t="shared" si="12"/>
        <v>Stufe 4</v>
      </c>
      <c r="P121" s="75" t="str">
        <f t="shared" si="12"/>
        <v>Stufe 5</v>
      </c>
      <c r="Q121" s="75" t="str">
        <f t="shared" si="12"/>
        <v>Stufe 6</v>
      </c>
    </row>
    <row r="122" spans="2:17">
      <c r="B122" s="75" t="str">
        <f t="shared" ref="B122:B138" si="13">B2</f>
        <v>15Ü</v>
      </c>
      <c r="C122" s="37" t="str">
        <f t="shared" ref="C122:H122" si="14">IF(C2="-","-",ROUND((C2+50)*1.031,2))</f>
        <v>-</v>
      </c>
      <c r="D122" s="37">
        <f t="shared" si="14"/>
        <v>4515.78</v>
      </c>
      <c r="E122" s="37">
        <f t="shared" si="14"/>
        <v>5005.51</v>
      </c>
      <c r="F122" s="37">
        <f t="shared" si="14"/>
        <v>5469.46</v>
      </c>
      <c r="G122" s="37">
        <f t="shared" si="14"/>
        <v>5778.76</v>
      </c>
      <c r="H122" s="37">
        <f t="shared" si="14"/>
        <v>5850.93</v>
      </c>
      <c r="K122" s="75" t="str">
        <f>B2</f>
        <v>15Ü</v>
      </c>
      <c r="L122" s="37" t="str">
        <f>IF(C2="-","-",ROUND((C2+50)*1.016,2))</f>
        <v>-</v>
      </c>
      <c r="M122" s="37">
        <f t="shared" ref="M122:Q137" si="15">IF(D2="-","-",ROUND((D2+50)*1.016,2))</f>
        <v>4450.08</v>
      </c>
      <c r="N122" s="37">
        <f t="shared" si="15"/>
        <v>4932.68</v>
      </c>
      <c r="O122" s="37">
        <f t="shared" si="15"/>
        <v>5389.88</v>
      </c>
      <c r="P122" s="37">
        <f t="shared" si="15"/>
        <v>5694.68</v>
      </c>
      <c r="Q122" s="37">
        <f t="shared" si="15"/>
        <v>5765.8</v>
      </c>
    </row>
    <row r="123" spans="2:17">
      <c r="B123" s="75">
        <f t="shared" si="13"/>
        <v>15</v>
      </c>
      <c r="C123" s="37">
        <f t="shared" ref="C123:H123" si="16">IF(C3="-","-",ROUND((C3+50)*1.031,2))</f>
        <v>3540.45</v>
      </c>
      <c r="D123" s="37">
        <f t="shared" si="16"/>
        <v>3928.11</v>
      </c>
      <c r="E123" s="37">
        <f t="shared" si="16"/>
        <v>4072.45</v>
      </c>
      <c r="F123" s="37">
        <f t="shared" si="16"/>
        <v>4587.95</v>
      </c>
      <c r="G123" s="37">
        <f t="shared" si="16"/>
        <v>4979.7299999999996</v>
      </c>
      <c r="H123" s="37">
        <f t="shared" si="16"/>
        <v>5237.4799999999996</v>
      </c>
      <c r="K123" s="75">
        <f t="shared" ref="K123:K138" si="17">B3</f>
        <v>15</v>
      </c>
      <c r="L123" s="37">
        <f t="shared" ref="L123:L138" si="18">IF(C3="-","-",ROUND((C3+50)*1.016,2))</f>
        <v>3488.94</v>
      </c>
      <c r="M123" s="37">
        <f t="shared" si="15"/>
        <v>3870.96</v>
      </c>
      <c r="N123" s="37">
        <f t="shared" si="15"/>
        <v>4013.2</v>
      </c>
      <c r="O123" s="37">
        <f t="shared" si="15"/>
        <v>4521.2</v>
      </c>
      <c r="P123" s="37">
        <f t="shared" si="15"/>
        <v>4907.28</v>
      </c>
      <c r="Q123" s="37">
        <f t="shared" si="15"/>
        <v>5161.28</v>
      </c>
    </row>
    <row r="124" spans="2:17">
      <c r="B124" s="75">
        <f t="shared" si="13"/>
        <v>14</v>
      </c>
      <c r="C124" s="37">
        <f t="shared" ref="C124:H124" si="19">IF(C4="-","-",ROUND((C4+50)*1.031,2))</f>
        <v>3206.41</v>
      </c>
      <c r="D124" s="37">
        <f t="shared" si="19"/>
        <v>3556.95</v>
      </c>
      <c r="E124" s="37">
        <f t="shared" si="19"/>
        <v>3763.15</v>
      </c>
      <c r="F124" s="37">
        <f t="shared" si="19"/>
        <v>4072.45</v>
      </c>
      <c r="G124" s="37">
        <f t="shared" si="19"/>
        <v>4546.71</v>
      </c>
      <c r="H124" s="37">
        <f t="shared" si="19"/>
        <v>4804.46</v>
      </c>
      <c r="K124" s="75">
        <f t="shared" si="17"/>
        <v>14</v>
      </c>
      <c r="L124" s="37">
        <f t="shared" si="18"/>
        <v>3159.76</v>
      </c>
      <c r="M124" s="37">
        <f t="shared" si="15"/>
        <v>3505.2</v>
      </c>
      <c r="N124" s="37">
        <f t="shared" si="15"/>
        <v>3708.4</v>
      </c>
      <c r="O124" s="37">
        <f t="shared" si="15"/>
        <v>4013.2</v>
      </c>
      <c r="P124" s="37">
        <f t="shared" si="15"/>
        <v>4480.5600000000004</v>
      </c>
      <c r="Q124" s="37">
        <f t="shared" si="15"/>
        <v>4734.5600000000004</v>
      </c>
    </row>
    <row r="125" spans="2:17">
      <c r="B125" s="75">
        <f t="shared" si="13"/>
        <v>13</v>
      </c>
      <c r="C125" s="37">
        <f t="shared" ref="C125:H125" si="20">IF(C5="-","-",ROUND((C5+50)*1.031,2))</f>
        <v>2955.88</v>
      </c>
      <c r="D125" s="37">
        <f t="shared" si="20"/>
        <v>3278.58</v>
      </c>
      <c r="E125" s="37">
        <f t="shared" si="20"/>
        <v>3453.85</v>
      </c>
      <c r="F125" s="37">
        <f t="shared" si="20"/>
        <v>3794.08</v>
      </c>
      <c r="G125" s="37">
        <f t="shared" si="20"/>
        <v>4268.34</v>
      </c>
      <c r="H125" s="37">
        <f t="shared" si="20"/>
        <v>4464.2299999999996</v>
      </c>
      <c r="K125" s="75">
        <f t="shared" si="17"/>
        <v>13</v>
      </c>
      <c r="L125" s="37">
        <f t="shared" si="18"/>
        <v>2912.87</v>
      </c>
      <c r="M125" s="37">
        <f t="shared" si="15"/>
        <v>3230.88</v>
      </c>
      <c r="N125" s="37">
        <f t="shared" si="15"/>
        <v>3403.6</v>
      </c>
      <c r="O125" s="37">
        <f t="shared" si="15"/>
        <v>3738.88</v>
      </c>
      <c r="P125" s="37">
        <f t="shared" si="15"/>
        <v>4206.24</v>
      </c>
      <c r="Q125" s="37">
        <f t="shared" si="15"/>
        <v>4399.28</v>
      </c>
    </row>
    <row r="126" spans="2:17">
      <c r="B126" s="75">
        <f t="shared" si="13"/>
        <v>12</v>
      </c>
      <c r="C126" s="37">
        <f t="shared" ref="C126:H126" si="21">IF(C6="-","-",ROUND((C6+50)*1.031,2))</f>
        <v>2649.67</v>
      </c>
      <c r="D126" s="37">
        <f t="shared" si="21"/>
        <v>2938.35</v>
      </c>
      <c r="E126" s="37">
        <f t="shared" si="21"/>
        <v>3350.75</v>
      </c>
      <c r="F126" s="37">
        <f t="shared" si="21"/>
        <v>3711.6</v>
      </c>
      <c r="G126" s="37">
        <f t="shared" si="21"/>
        <v>4175.55</v>
      </c>
      <c r="H126" s="37">
        <f t="shared" si="21"/>
        <v>4381.75</v>
      </c>
      <c r="K126" s="75">
        <f t="shared" si="17"/>
        <v>12</v>
      </c>
      <c r="L126" s="37">
        <f t="shared" si="18"/>
        <v>2611.12</v>
      </c>
      <c r="M126" s="37">
        <f t="shared" si="15"/>
        <v>2895.6</v>
      </c>
      <c r="N126" s="37">
        <f t="shared" si="15"/>
        <v>3302</v>
      </c>
      <c r="O126" s="37">
        <f t="shared" si="15"/>
        <v>3657.6</v>
      </c>
      <c r="P126" s="37">
        <f t="shared" si="15"/>
        <v>4114.8</v>
      </c>
      <c r="Q126" s="37">
        <f t="shared" si="15"/>
        <v>4318</v>
      </c>
    </row>
    <row r="127" spans="2:17">
      <c r="B127" s="75">
        <f t="shared" si="13"/>
        <v>11</v>
      </c>
      <c r="C127" s="37">
        <f t="shared" ref="C127:H127" si="22">IF(C7="-","-",ROUND((C7+50)*1.031,2))</f>
        <v>2556.88</v>
      </c>
      <c r="D127" s="37">
        <f t="shared" si="22"/>
        <v>2835.25</v>
      </c>
      <c r="E127" s="37">
        <f t="shared" si="22"/>
        <v>3041.45</v>
      </c>
      <c r="F127" s="37">
        <f t="shared" si="22"/>
        <v>3350.75</v>
      </c>
      <c r="G127" s="37">
        <f t="shared" si="22"/>
        <v>3799.24</v>
      </c>
      <c r="H127" s="37">
        <f t="shared" si="22"/>
        <v>4005.44</v>
      </c>
      <c r="K127" s="75">
        <f t="shared" si="17"/>
        <v>11</v>
      </c>
      <c r="L127" s="37">
        <f t="shared" si="18"/>
        <v>2519.6799999999998</v>
      </c>
      <c r="M127" s="37">
        <f t="shared" si="15"/>
        <v>2794</v>
      </c>
      <c r="N127" s="37">
        <f t="shared" si="15"/>
        <v>2997.2</v>
      </c>
      <c r="O127" s="37">
        <f t="shared" si="15"/>
        <v>3302</v>
      </c>
      <c r="P127" s="37">
        <f t="shared" si="15"/>
        <v>3743.96</v>
      </c>
      <c r="Q127" s="37">
        <f t="shared" si="15"/>
        <v>3947.16</v>
      </c>
    </row>
    <row r="128" spans="2:17">
      <c r="B128" s="75">
        <f t="shared" si="13"/>
        <v>10</v>
      </c>
      <c r="C128" s="37">
        <f t="shared" ref="C128:H128" si="23">IF(C8="-","-",ROUND((C8+50)*1.031,2))</f>
        <v>2464.09</v>
      </c>
      <c r="D128" s="37">
        <f t="shared" si="23"/>
        <v>2732.15</v>
      </c>
      <c r="E128" s="37">
        <f t="shared" si="23"/>
        <v>2938.35</v>
      </c>
      <c r="F128" s="37">
        <f t="shared" si="23"/>
        <v>3144.55</v>
      </c>
      <c r="G128" s="37">
        <f t="shared" si="23"/>
        <v>3536.33</v>
      </c>
      <c r="H128" s="37">
        <f t="shared" si="23"/>
        <v>3629.12</v>
      </c>
      <c r="K128" s="75">
        <f t="shared" si="17"/>
        <v>10</v>
      </c>
      <c r="L128" s="37">
        <f t="shared" si="18"/>
        <v>2428.2399999999998</v>
      </c>
      <c r="M128" s="37">
        <f t="shared" si="15"/>
        <v>2692.4</v>
      </c>
      <c r="N128" s="37">
        <f t="shared" si="15"/>
        <v>2895.6</v>
      </c>
      <c r="O128" s="37">
        <f t="shared" si="15"/>
        <v>3098.8</v>
      </c>
      <c r="P128" s="37">
        <f t="shared" si="15"/>
        <v>3484.88</v>
      </c>
      <c r="Q128" s="37">
        <f t="shared" si="15"/>
        <v>3576.32</v>
      </c>
    </row>
    <row r="129" spans="2:17">
      <c r="B129" s="75">
        <f t="shared" si="13"/>
        <v>9</v>
      </c>
      <c r="C129" s="37">
        <f t="shared" ref="C129:H129" si="24">IF(C9="-","-",ROUND((C9+50)*1.031,2))</f>
        <v>2176.44</v>
      </c>
      <c r="D129" s="37">
        <f t="shared" si="24"/>
        <v>2412.54</v>
      </c>
      <c r="E129" s="37">
        <f t="shared" si="24"/>
        <v>2536.2600000000002</v>
      </c>
      <c r="F129" s="37">
        <f t="shared" si="24"/>
        <v>2866.18</v>
      </c>
      <c r="G129" s="37">
        <f t="shared" si="24"/>
        <v>3123.93</v>
      </c>
      <c r="H129" s="37">
        <f t="shared" si="24"/>
        <v>3330.13</v>
      </c>
      <c r="K129" s="75">
        <f t="shared" si="17"/>
        <v>9</v>
      </c>
      <c r="L129" s="37">
        <f t="shared" si="18"/>
        <v>2144.7800000000002</v>
      </c>
      <c r="M129" s="37">
        <f t="shared" si="15"/>
        <v>2377.44</v>
      </c>
      <c r="N129" s="37">
        <f t="shared" si="15"/>
        <v>2499.36</v>
      </c>
      <c r="O129" s="37">
        <f t="shared" si="15"/>
        <v>2824.48</v>
      </c>
      <c r="P129" s="37">
        <f t="shared" si="15"/>
        <v>3078.48</v>
      </c>
      <c r="Q129" s="37">
        <f t="shared" si="15"/>
        <v>3281.68</v>
      </c>
    </row>
    <row r="130" spans="2:17">
      <c r="B130" s="75">
        <f t="shared" si="13"/>
        <v>8</v>
      </c>
      <c r="C130" s="37">
        <f t="shared" ref="C130:H130" si="25">IF(C10="-","-",ROUND((C10+50)*1.031,2))</f>
        <v>2037.26</v>
      </c>
      <c r="D130" s="37">
        <f t="shared" si="25"/>
        <v>2257.89</v>
      </c>
      <c r="E130" s="37">
        <f t="shared" si="25"/>
        <v>2360.9899999999998</v>
      </c>
      <c r="F130" s="37">
        <f t="shared" si="25"/>
        <v>2453.7800000000002</v>
      </c>
      <c r="G130" s="37">
        <f t="shared" si="25"/>
        <v>2556.88</v>
      </c>
      <c r="H130" s="37">
        <f t="shared" si="25"/>
        <v>2621.83</v>
      </c>
      <c r="K130" s="75">
        <f t="shared" si="17"/>
        <v>8</v>
      </c>
      <c r="L130" s="37">
        <f t="shared" si="18"/>
        <v>2007.62</v>
      </c>
      <c r="M130" s="37">
        <f t="shared" si="15"/>
        <v>2225.04</v>
      </c>
      <c r="N130" s="37">
        <f t="shared" si="15"/>
        <v>2326.64</v>
      </c>
      <c r="O130" s="37">
        <f t="shared" si="15"/>
        <v>2418.08</v>
      </c>
      <c r="P130" s="37">
        <f t="shared" si="15"/>
        <v>2519.6799999999998</v>
      </c>
      <c r="Q130" s="37">
        <f t="shared" si="15"/>
        <v>2583.69</v>
      </c>
    </row>
    <row r="131" spans="2:17">
      <c r="B131" s="75">
        <f t="shared" si="13"/>
        <v>7</v>
      </c>
      <c r="C131" s="37">
        <f t="shared" ref="C131:H131" si="26">IF(C11="-","-",ROUND((C11+50)*1.031,2))</f>
        <v>1907.35</v>
      </c>
      <c r="D131" s="37">
        <f t="shared" si="26"/>
        <v>2113.5500000000002</v>
      </c>
      <c r="E131" s="37">
        <f t="shared" si="26"/>
        <v>2247.58</v>
      </c>
      <c r="F131" s="37">
        <f t="shared" si="26"/>
        <v>2350.6799999999998</v>
      </c>
      <c r="G131" s="37">
        <f t="shared" si="26"/>
        <v>2428.0100000000002</v>
      </c>
      <c r="H131" s="37">
        <f t="shared" si="26"/>
        <v>2500.1799999999998</v>
      </c>
      <c r="K131" s="75">
        <f t="shared" si="17"/>
        <v>7</v>
      </c>
      <c r="L131" s="37">
        <f t="shared" si="18"/>
        <v>1879.6</v>
      </c>
      <c r="M131" s="37">
        <f t="shared" si="15"/>
        <v>2082.8000000000002</v>
      </c>
      <c r="N131" s="37">
        <f t="shared" si="15"/>
        <v>2214.88</v>
      </c>
      <c r="O131" s="37">
        <f t="shared" si="15"/>
        <v>2316.48</v>
      </c>
      <c r="P131" s="37">
        <f t="shared" si="15"/>
        <v>2392.6799999999998</v>
      </c>
      <c r="Q131" s="37">
        <f t="shared" si="15"/>
        <v>2463.8000000000002</v>
      </c>
    </row>
    <row r="132" spans="2:17">
      <c r="B132" s="75">
        <f t="shared" si="13"/>
        <v>6</v>
      </c>
      <c r="C132" s="37">
        <f t="shared" ref="C132:H132" si="27">IF(C12="-","-",ROUND((C12+50)*1.031,2))</f>
        <v>1870.23</v>
      </c>
      <c r="D132" s="37">
        <f t="shared" si="27"/>
        <v>2072.31</v>
      </c>
      <c r="E132" s="37">
        <f t="shared" si="27"/>
        <v>2175.41</v>
      </c>
      <c r="F132" s="37">
        <f t="shared" si="27"/>
        <v>2273.36</v>
      </c>
      <c r="G132" s="37">
        <f t="shared" si="27"/>
        <v>2340.37</v>
      </c>
      <c r="H132" s="37">
        <f t="shared" si="27"/>
        <v>2407.39</v>
      </c>
      <c r="K132" s="75">
        <f t="shared" si="17"/>
        <v>6</v>
      </c>
      <c r="L132" s="37">
        <f t="shared" si="18"/>
        <v>1843.02</v>
      </c>
      <c r="M132" s="37">
        <f t="shared" si="15"/>
        <v>2042.16</v>
      </c>
      <c r="N132" s="37">
        <f t="shared" si="15"/>
        <v>2143.7600000000002</v>
      </c>
      <c r="O132" s="37">
        <f t="shared" si="15"/>
        <v>2240.2800000000002</v>
      </c>
      <c r="P132" s="37">
        <f t="shared" si="15"/>
        <v>2306.3200000000002</v>
      </c>
      <c r="Q132" s="37">
        <f t="shared" si="15"/>
        <v>2372.36</v>
      </c>
    </row>
    <row r="133" spans="2:17">
      <c r="B133" s="75">
        <f t="shared" si="13"/>
        <v>5</v>
      </c>
      <c r="C133" s="37">
        <f t="shared" ref="C133:H133" si="28">IF(C13="-","-",ROUND((C13+50)*1.031,2))</f>
        <v>1791.88</v>
      </c>
      <c r="D133" s="37">
        <f t="shared" si="28"/>
        <v>1984.68</v>
      </c>
      <c r="E133" s="37">
        <f t="shared" si="28"/>
        <v>2082.62</v>
      </c>
      <c r="F133" s="37">
        <f t="shared" si="28"/>
        <v>2180.5700000000002</v>
      </c>
      <c r="G133" s="37">
        <f t="shared" si="28"/>
        <v>2252.7399999999998</v>
      </c>
      <c r="H133" s="37">
        <f t="shared" si="28"/>
        <v>2304.29</v>
      </c>
      <c r="K133" s="75">
        <f t="shared" si="17"/>
        <v>5</v>
      </c>
      <c r="L133" s="37">
        <f t="shared" si="18"/>
        <v>1765.81</v>
      </c>
      <c r="M133" s="37">
        <f t="shared" si="15"/>
        <v>1955.8</v>
      </c>
      <c r="N133" s="37">
        <f t="shared" si="15"/>
        <v>2052.3200000000002</v>
      </c>
      <c r="O133" s="37">
        <f t="shared" si="15"/>
        <v>2148.84</v>
      </c>
      <c r="P133" s="37">
        <f t="shared" si="15"/>
        <v>2219.96</v>
      </c>
      <c r="Q133" s="37">
        <f t="shared" si="15"/>
        <v>2270.7600000000002</v>
      </c>
    </row>
    <row r="134" spans="2:17">
      <c r="B134" s="75">
        <f t="shared" si="13"/>
        <v>4</v>
      </c>
      <c r="C134" s="37">
        <f t="shared" ref="C134:H134" si="29">IF(C14="-","-",ROUND((C14+50)*1.031,2))</f>
        <v>1703.21</v>
      </c>
      <c r="D134" s="37">
        <f t="shared" si="29"/>
        <v>1886.73</v>
      </c>
      <c r="E134" s="37">
        <f t="shared" si="29"/>
        <v>2010.45</v>
      </c>
      <c r="F134" s="37">
        <f t="shared" si="29"/>
        <v>2082.62</v>
      </c>
      <c r="G134" s="37">
        <f t="shared" si="29"/>
        <v>2154.79</v>
      </c>
      <c r="H134" s="37">
        <f t="shared" si="29"/>
        <v>2197.06</v>
      </c>
      <c r="K134" s="75">
        <f t="shared" si="17"/>
        <v>4</v>
      </c>
      <c r="L134" s="37">
        <f t="shared" si="18"/>
        <v>1678.43</v>
      </c>
      <c r="M134" s="37">
        <f t="shared" si="15"/>
        <v>1859.28</v>
      </c>
      <c r="N134" s="37">
        <f t="shared" si="15"/>
        <v>1981.2</v>
      </c>
      <c r="O134" s="37">
        <f t="shared" si="15"/>
        <v>2052.3200000000002</v>
      </c>
      <c r="P134" s="37">
        <f t="shared" si="15"/>
        <v>2123.44</v>
      </c>
      <c r="Q134" s="37">
        <f t="shared" si="15"/>
        <v>2165.1</v>
      </c>
    </row>
    <row r="135" spans="2:17">
      <c r="B135" s="75">
        <f t="shared" si="13"/>
        <v>3</v>
      </c>
      <c r="C135" s="37">
        <f t="shared" ref="C135:H135" si="30">IF(C15="-","-",ROUND((C15+50)*1.031,2))</f>
        <v>1675.38</v>
      </c>
      <c r="D135" s="37">
        <f t="shared" si="30"/>
        <v>1855.8</v>
      </c>
      <c r="E135" s="37">
        <f t="shared" si="30"/>
        <v>1907.35</v>
      </c>
      <c r="F135" s="37">
        <f t="shared" si="30"/>
        <v>1989.83</v>
      </c>
      <c r="G135" s="37">
        <f t="shared" si="30"/>
        <v>2051.69</v>
      </c>
      <c r="H135" s="37">
        <f t="shared" si="30"/>
        <v>2108.4</v>
      </c>
      <c r="K135" s="75">
        <f t="shared" si="17"/>
        <v>3</v>
      </c>
      <c r="L135" s="37">
        <f t="shared" si="18"/>
        <v>1651</v>
      </c>
      <c r="M135" s="37">
        <f t="shared" si="15"/>
        <v>1828.8</v>
      </c>
      <c r="N135" s="37">
        <f t="shared" si="15"/>
        <v>1879.6</v>
      </c>
      <c r="O135" s="37">
        <f t="shared" si="15"/>
        <v>1960.88</v>
      </c>
      <c r="P135" s="37">
        <f t="shared" si="15"/>
        <v>2021.84</v>
      </c>
      <c r="Q135" s="37">
        <f t="shared" si="15"/>
        <v>2077.7199999999998</v>
      </c>
    </row>
    <row r="136" spans="2:17">
      <c r="B136" s="75" t="str">
        <f t="shared" si="13"/>
        <v>2Ü</v>
      </c>
      <c r="C136" s="37">
        <f t="shared" ref="C136:H136" si="31">IF(C16="-","-",ROUND((C16+50)*1.031,2))</f>
        <v>1601.14</v>
      </c>
      <c r="D136" s="37">
        <f t="shared" si="31"/>
        <v>1773.32</v>
      </c>
      <c r="E136" s="37">
        <f t="shared" si="31"/>
        <v>1835.18</v>
      </c>
      <c r="F136" s="37">
        <f t="shared" si="31"/>
        <v>1917.66</v>
      </c>
      <c r="G136" s="37">
        <f t="shared" si="31"/>
        <v>1974.37</v>
      </c>
      <c r="H136" s="37">
        <f t="shared" si="31"/>
        <v>2016.64</v>
      </c>
      <c r="K136" s="75" t="str">
        <f t="shared" si="17"/>
        <v>2Ü</v>
      </c>
      <c r="L136" s="37">
        <f t="shared" si="18"/>
        <v>1577.85</v>
      </c>
      <c r="M136" s="37">
        <f t="shared" si="15"/>
        <v>1747.52</v>
      </c>
      <c r="N136" s="37">
        <f t="shared" si="15"/>
        <v>1808.48</v>
      </c>
      <c r="O136" s="37">
        <f t="shared" si="15"/>
        <v>1889.76</v>
      </c>
      <c r="P136" s="37">
        <f t="shared" si="15"/>
        <v>1945.64</v>
      </c>
      <c r="Q136" s="37">
        <f t="shared" si="15"/>
        <v>1987.3</v>
      </c>
    </row>
    <row r="137" spans="2:17">
      <c r="B137" s="75">
        <f t="shared" si="13"/>
        <v>2</v>
      </c>
      <c r="C137" s="37">
        <f t="shared" ref="C137:H137" si="32">IF(C17="-","-",ROUND((C17+50)*1.031,2))</f>
        <v>1545.47</v>
      </c>
      <c r="D137" s="37">
        <f t="shared" si="32"/>
        <v>1711.46</v>
      </c>
      <c r="E137" s="37">
        <f t="shared" si="32"/>
        <v>1763.01</v>
      </c>
      <c r="F137" s="37">
        <f t="shared" si="32"/>
        <v>1814.56</v>
      </c>
      <c r="G137" s="37">
        <f t="shared" si="32"/>
        <v>1927.97</v>
      </c>
      <c r="H137" s="37">
        <f t="shared" si="32"/>
        <v>2046.54</v>
      </c>
      <c r="K137" s="75">
        <f t="shared" si="17"/>
        <v>2</v>
      </c>
      <c r="L137" s="37">
        <f t="shared" si="18"/>
        <v>1522.98</v>
      </c>
      <c r="M137" s="37">
        <f t="shared" si="15"/>
        <v>1686.56</v>
      </c>
      <c r="N137" s="37">
        <f t="shared" si="15"/>
        <v>1737.36</v>
      </c>
      <c r="O137" s="37">
        <f t="shared" si="15"/>
        <v>1788.16</v>
      </c>
      <c r="P137" s="37">
        <f t="shared" si="15"/>
        <v>1899.92</v>
      </c>
      <c r="Q137" s="37">
        <f t="shared" si="15"/>
        <v>2016.76</v>
      </c>
    </row>
    <row r="138" spans="2:17">
      <c r="B138" s="75">
        <f t="shared" si="13"/>
        <v>1</v>
      </c>
      <c r="C138" s="37" t="str">
        <f t="shared" ref="C138:H138" si="33">IF(C18="-","-",ROUND((C18+50)*1.031,2))</f>
        <v>-</v>
      </c>
      <c r="D138" s="37">
        <f t="shared" si="33"/>
        <v>1377.42</v>
      </c>
      <c r="E138" s="37">
        <f t="shared" si="33"/>
        <v>1402.16</v>
      </c>
      <c r="F138" s="37">
        <f t="shared" si="33"/>
        <v>1433.09</v>
      </c>
      <c r="G138" s="37">
        <f t="shared" si="33"/>
        <v>1461.96</v>
      </c>
      <c r="H138" s="37">
        <f t="shared" si="33"/>
        <v>1536.19</v>
      </c>
      <c r="K138" s="75">
        <f t="shared" si="17"/>
        <v>1</v>
      </c>
      <c r="L138" s="37" t="str">
        <f t="shared" si="18"/>
        <v>-</v>
      </c>
      <c r="M138" s="37">
        <f>IF(D18="-","-",ROUND((D18+50)*1.016,2))</f>
        <v>1357.38</v>
      </c>
      <c r="N138" s="37">
        <f>IF(E18="-","-",ROUND((E18+50)*1.016,2))</f>
        <v>1381.76</v>
      </c>
      <c r="O138" s="37">
        <f>IF(F18="-","-",ROUND((F18+50)*1.016,2))</f>
        <v>1412.24</v>
      </c>
      <c r="P138" s="37">
        <f>IF(G18="-","-",ROUND((G18+50)*1.016,2))</f>
        <v>1440.69</v>
      </c>
      <c r="Q138" s="37">
        <f>IF(H18="-","-",ROUND((H18+50)*1.016,2))</f>
        <v>1513.84</v>
      </c>
    </row>
    <row r="144" spans="2:17">
      <c r="B144" s="146">
        <f>B96</f>
        <v>1</v>
      </c>
      <c r="C144" s="148" t="str">
        <f>C96</f>
        <v>EG 1 - 9 (bis IVb BAT-O)</v>
      </c>
      <c r="K144" s="146">
        <f>B96</f>
        <v>1</v>
      </c>
      <c r="L144" s="148" t="str">
        <f>C96</f>
        <v>EG 1 - 9 (bis IVb BAT-O)</v>
      </c>
    </row>
    <row r="145" spans="2:17">
      <c r="B145" s="75">
        <v>2008</v>
      </c>
      <c r="C145" s="75" t="str">
        <f t="shared" ref="C145:H145" si="34">C1</f>
        <v>Stufe 1</v>
      </c>
      <c r="D145" s="75" t="str">
        <f t="shared" si="34"/>
        <v>Stufe 2</v>
      </c>
      <c r="E145" s="75" t="str">
        <f t="shared" si="34"/>
        <v>Stufe 3</v>
      </c>
      <c r="F145" s="75" t="str">
        <f t="shared" si="34"/>
        <v>Stufe 4</v>
      </c>
      <c r="G145" s="75" t="str">
        <f t="shared" si="34"/>
        <v>Stufe 5</v>
      </c>
      <c r="H145" s="75" t="str">
        <f t="shared" si="34"/>
        <v>Stufe 6</v>
      </c>
      <c r="K145" s="75">
        <v>2008</v>
      </c>
      <c r="L145" s="75" t="str">
        <f t="shared" ref="L145:Q145" si="35">C1</f>
        <v>Stufe 1</v>
      </c>
      <c r="M145" s="75" t="str">
        <f t="shared" si="35"/>
        <v>Stufe 2</v>
      </c>
      <c r="N145" s="75" t="str">
        <f t="shared" si="35"/>
        <v>Stufe 3</v>
      </c>
      <c r="O145" s="75" t="str">
        <f t="shared" si="35"/>
        <v>Stufe 4</v>
      </c>
      <c r="P145" s="75" t="str">
        <f t="shared" si="35"/>
        <v>Stufe 5</v>
      </c>
      <c r="Q145" s="75" t="str">
        <f t="shared" si="35"/>
        <v>Stufe 6</v>
      </c>
    </row>
    <row r="146" spans="2:17">
      <c r="B146" s="75" t="str">
        <f t="shared" ref="B146:B162" si="36">B2</f>
        <v>15Ü</v>
      </c>
      <c r="C146" s="37" t="str">
        <f t="shared" ref="C146:H146" si="37">IF(C122="-","-",ROUND(C122*0.97,2))</f>
        <v>-</v>
      </c>
      <c r="D146" s="37">
        <f t="shared" si="37"/>
        <v>4380.3100000000004</v>
      </c>
      <c r="E146" s="37">
        <f t="shared" si="37"/>
        <v>4855.34</v>
      </c>
      <c r="F146" s="37">
        <f t="shared" si="37"/>
        <v>5305.38</v>
      </c>
      <c r="G146" s="37">
        <f t="shared" si="37"/>
        <v>5605.4</v>
      </c>
      <c r="H146" s="37">
        <f t="shared" si="37"/>
        <v>5675.4</v>
      </c>
      <c r="K146" s="75" t="str">
        <f>B2</f>
        <v>15Ü</v>
      </c>
      <c r="L146" s="37" t="str">
        <f t="shared" ref="L146:Q146" si="38">IF(L122="-","-",ROUND(L122*0.97,2))</f>
        <v>-</v>
      </c>
      <c r="M146" s="37">
        <f t="shared" si="38"/>
        <v>4316.58</v>
      </c>
      <c r="N146" s="37">
        <f t="shared" si="38"/>
        <v>4784.7</v>
      </c>
      <c r="O146" s="37">
        <f t="shared" si="38"/>
        <v>5228.18</v>
      </c>
      <c r="P146" s="37">
        <f t="shared" si="38"/>
        <v>5523.84</v>
      </c>
      <c r="Q146" s="37">
        <f t="shared" si="38"/>
        <v>5592.83</v>
      </c>
    </row>
    <row r="147" spans="2:17">
      <c r="B147" s="75">
        <f t="shared" si="36"/>
        <v>15</v>
      </c>
      <c r="C147" s="37">
        <f t="shared" ref="C147:H147" si="39">IF(C123="-","-",ROUND(C123*0.97,2))</f>
        <v>3434.24</v>
      </c>
      <c r="D147" s="37">
        <f t="shared" si="39"/>
        <v>3810.27</v>
      </c>
      <c r="E147" s="37">
        <f t="shared" si="39"/>
        <v>3950.28</v>
      </c>
      <c r="F147" s="37">
        <f t="shared" si="39"/>
        <v>4450.3100000000004</v>
      </c>
      <c r="G147" s="37">
        <f t="shared" si="39"/>
        <v>4830.34</v>
      </c>
      <c r="H147" s="37">
        <f t="shared" si="39"/>
        <v>5080.3599999999997</v>
      </c>
      <c r="K147" s="75">
        <f t="shared" ref="K147:K162" si="40">B3</f>
        <v>15</v>
      </c>
      <c r="L147" s="37">
        <f t="shared" ref="L147:Q147" si="41">IF(L123="-","-",ROUND(L123*0.97,2))</f>
        <v>3384.27</v>
      </c>
      <c r="M147" s="37">
        <f t="shared" si="41"/>
        <v>3754.83</v>
      </c>
      <c r="N147" s="37">
        <f t="shared" si="41"/>
        <v>3892.8</v>
      </c>
      <c r="O147" s="37">
        <f t="shared" si="41"/>
        <v>4385.5600000000004</v>
      </c>
      <c r="P147" s="37">
        <f t="shared" si="41"/>
        <v>4760.0600000000004</v>
      </c>
      <c r="Q147" s="37">
        <f t="shared" si="41"/>
        <v>5006.4399999999996</v>
      </c>
    </row>
    <row r="148" spans="2:17">
      <c r="B148" s="75">
        <f t="shared" si="36"/>
        <v>14</v>
      </c>
      <c r="C148" s="37">
        <f t="shared" ref="C148:H148" si="42">IF(C124="-","-",ROUND(C124*0.97,2))</f>
        <v>3110.22</v>
      </c>
      <c r="D148" s="37">
        <f t="shared" si="42"/>
        <v>3450.24</v>
      </c>
      <c r="E148" s="37">
        <f t="shared" si="42"/>
        <v>3650.26</v>
      </c>
      <c r="F148" s="37">
        <f t="shared" si="42"/>
        <v>3950.28</v>
      </c>
      <c r="G148" s="37">
        <f t="shared" si="42"/>
        <v>4410.3100000000004</v>
      </c>
      <c r="H148" s="37">
        <f t="shared" si="42"/>
        <v>4660.33</v>
      </c>
      <c r="K148" s="75">
        <f t="shared" si="40"/>
        <v>14</v>
      </c>
      <c r="L148" s="37">
        <f t="shared" ref="L148:Q148" si="43">IF(L124="-","-",ROUND(L124*0.97,2))</f>
        <v>3064.97</v>
      </c>
      <c r="M148" s="37">
        <f t="shared" si="43"/>
        <v>3400.04</v>
      </c>
      <c r="N148" s="37">
        <f t="shared" si="43"/>
        <v>3597.15</v>
      </c>
      <c r="O148" s="37">
        <f t="shared" si="43"/>
        <v>3892.8</v>
      </c>
      <c r="P148" s="37">
        <f t="shared" si="43"/>
        <v>4346.1400000000003</v>
      </c>
      <c r="Q148" s="37">
        <f t="shared" si="43"/>
        <v>4592.5200000000004</v>
      </c>
    </row>
    <row r="149" spans="2:17">
      <c r="B149" s="75">
        <f t="shared" si="36"/>
        <v>13</v>
      </c>
      <c r="C149" s="37">
        <f t="shared" ref="C149:H149" si="44">IF(C125="-","-",ROUND(C125*0.97,2))</f>
        <v>2867.2</v>
      </c>
      <c r="D149" s="37">
        <f t="shared" si="44"/>
        <v>3180.22</v>
      </c>
      <c r="E149" s="37">
        <f t="shared" si="44"/>
        <v>3350.23</v>
      </c>
      <c r="F149" s="37">
        <f t="shared" si="44"/>
        <v>3680.26</v>
      </c>
      <c r="G149" s="37">
        <f t="shared" si="44"/>
        <v>4140.29</v>
      </c>
      <c r="H149" s="37">
        <f t="shared" si="44"/>
        <v>4330.3</v>
      </c>
      <c r="K149" s="75">
        <f t="shared" si="40"/>
        <v>13</v>
      </c>
      <c r="L149" s="37">
        <f t="shared" ref="L149:Q149" si="45">IF(L125="-","-",ROUND(L125*0.97,2))</f>
        <v>2825.48</v>
      </c>
      <c r="M149" s="37">
        <f t="shared" si="45"/>
        <v>3133.95</v>
      </c>
      <c r="N149" s="37">
        <f t="shared" si="45"/>
        <v>3301.49</v>
      </c>
      <c r="O149" s="37">
        <f t="shared" si="45"/>
        <v>3626.71</v>
      </c>
      <c r="P149" s="37">
        <f t="shared" si="45"/>
        <v>4080.05</v>
      </c>
      <c r="Q149" s="37">
        <f t="shared" si="45"/>
        <v>4267.3</v>
      </c>
    </row>
    <row r="150" spans="2:17">
      <c r="B150" s="75">
        <f t="shared" si="36"/>
        <v>12</v>
      </c>
      <c r="C150" s="37">
        <f t="shared" ref="C150:H150" si="46">IF(C126="-","-",ROUND(C126*0.97,2))</f>
        <v>2570.1799999999998</v>
      </c>
      <c r="D150" s="37">
        <f t="shared" si="46"/>
        <v>2850.2</v>
      </c>
      <c r="E150" s="37">
        <f t="shared" si="46"/>
        <v>3250.23</v>
      </c>
      <c r="F150" s="37">
        <f t="shared" si="46"/>
        <v>3600.25</v>
      </c>
      <c r="G150" s="37">
        <f t="shared" si="46"/>
        <v>4050.28</v>
      </c>
      <c r="H150" s="37">
        <f t="shared" si="46"/>
        <v>4250.3</v>
      </c>
      <c r="K150" s="75">
        <f t="shared" si="40"/>
        <v>12</v>
      </c>
      <c r="L150" s="37">
        <f t="shared" ref="L150:Q150" si="47">IF(L126="-","-",ROUND(L126*0.97,2))</f>
        <v>2532.79</v>
      </c>
      <c r="M150" s="37">
        <f t="shared" si="47"/>
        <v>2808.73</v>
      </c>
      <c r="N150" s="37">
        <f t="shared" si="47"/>
        <v>3202.94</v>
      </c>
      <c r="O150" s="37">
        <f t="shared" si="47"/>
        <v>3547.87</v>
      </c>
      <c r="P150" s="37">
        <f t="shared" si="47"/>
        <v>3991.36</v>
      </c>
      <c r="Q150" s="37">
        <f t="shared" si="47"/>
        <v>4188.46</v>
      </c>
    </row>
    <row r="151" spans="2:17">
      <c r="B151" s="75">
        <f t="shared" si="36"/>
        <v>11</v>
      </c>
      <c r="C151" s="37">
        <f t="shared" ref="C151:H151" si="48">IF(C127="-","-",ROUND(C127*0.97,2))</f>
        <v>2480.17</v>
      </c>
      <c r="D151" s="37">
        <f t="shared" si="48"/>
        <v>2750.19</v>
      </c>
      <c r="E151" s="37">
        <f t="shared" si="48"/>
        <v>2950.21</v>
      </c>
      <c r="F151" s="37">
        <f t="shared" si="48"/>
        <v>3250.23</v>
      </c>
      <c r="G151" s="37">
        <f t="shared" si="48"/>
        <v>3685.26</v>
      </c>
      <c r="H151" s="37">
        <f t="shared" si="48"/>
        <v>3885.28</v>
      </c>
      <c r="K151" s="75">
        <f t="shared" si="40"/>
        <v>11</v>
      </c>
      <c r="L151" s="37">
        <f t="shared" ref="L151:Q151" si="49">IF(L127="-","-",ROUND(L127*0.97,2))</f>
        <v>2444.09</v>
      </c>
      <c r="M151" s="37">
        <f t="shared" si="49"/>
        <v>2710.18</v>
      </c>
      <c r="N151" s="37">
        <f t="shared" si="49"/>
        <v>2907.28</v>
      </c>
      <c r="O151" s="37">
        <f t="shared" si="49"/>
        <v>3202.94</v>
      </c>
      <c r="P151" s="37">
        <f t="shared" si="49"/>
        <v>3631.64</v>
      </c>
      <c r="Q151" s="37">
        <f t="shared" si="49"/>
        <v>3828.75</v>
      </c>
    </row>
    <row r="152" spans="2:17">
      <c r="B152" s="75">
        <f t="shared" si="36"/>
        <v>10</v>
      </c>
      <c r="C152" s="37">
        <f t="shared" ref="C152:H152" si="50">IF(C128="-","-",ROUND(C128*0.97,2))</f>
        <v>2390.17</v>
      </c>
      <c r="D152" s="37">
        <f t="shared" si="50"/>
        <v>2650.19</v>
      </c>
      <c r="E152" s="37">
        <f t="shared" si="50"/>
        <v>2850.2</v>
      </c>
      <c r="F152" s="37">
        <f t="shared" si="50"/>
        <v>3050.21</v>
      </c>
      <c r="G152" s="37">
        <f t="shared" si="50"/>
        <v>3430.24</v>
      </c>
      <c r="H152" s="37">
        <f t="shared" si="50"/>
        <v>3520.25</v>
      </c>
      <c r="K152" s="75">
        <f t="shared" si="40"/>
        <v>10</v>
      </c>
      <c r="L152" s="37">
        <f t="shared" ref="L152:Q152" si="51">IF(L128="-","-",ROUND(L128*0.97,2))</f>
        <v>2355.39</v>
      </c>
      <c r="M152" s="37">
        <f t="shared" si="51"/>
        <v>2611.63</v>
      </c>
      <c r="N152" s="37">
        <f t="shared" si="51"/>
        <v>2808.73</v>
      </c>
      <c r="O152" s="37">
        <f t="shared" si="51"/>
        <v>3005.84</v>
      </c>
      <c r="P152" s="37">
        <f t="shared" si="51"/>
        <v>3380.33</v>
      </c>
      <c r="Q152" s="37">
        <f t="shared" si="51"/>
        <v>3469.03</v>
      </c>
    </row>
    <row r="153" spans="2:17">
      <c r="B153" s="115">
        <f t="shared" si="36"/>
        <v>9</v>
      </c>
      <c r="C153" s="116">
        <f t="shared" ref="C153:H153" si="52">C129</f>
        <v>2176.44</v>
      </c>
      <c r="D153" s="116">
        <f t="shared" si="52"/>
        <v>2412.54</v>
      </c>
      <c r="E153" s="116">
        <f t="shared" si="52"/>
        <v>2536.2600000000002</v>
      </c>
      <c r="F153" s="116">
        <f t="shared" si="52"/>
        <v>2866.18</v>
      </c>
      <c r="G153" s="116">
        <f t="shared" si="52"/>
        <v>3123.93</v>
      </c>
      <c r="H153" s="116">
        <f t="shared" si="52"/>
        <v>3330.13</v>
      </c>
      <c r="K153" s="115">
        <f t="shared" si="40"/>
        <v>9</v>
      </c>
      <c r="L153" s="116">
        <f t="shared" ref="L153:Q153" si="53">L129</f>
        <v>2144.7800000000002</v>
      </c>
      <c r="M153" s="116">
        <f t="shared" si="53"/>
        <v>2377.44</v>
      </c>
      <c r="N153" s="116">
        <f t="shared" si="53"/>
        <v>2499.36</v>
      </c>
      <c r="O153" s="116">
        <f t="shared" si="53"/>
        <v>2824.48</v>
      </c>
      <c r="P153" s="116">
        <f t="shared" si="53"/>
        <v>3078.48</v>
      </c>
      <c r="Q153" s="116">
        <f t="shared" si="53"/>
        <v>3281.68</v>
      </c>
    </row>
    <row r="154" spans="2:17">
      <c r="B154" s="115">
        <f t="shared" si="36"/>
        <v>8</v>
      </c>
      <c r="C154" s="116">
        <f t="shared" ref="C154:H154" si="54">C130</f>
        <v>2037.26</v>
      </c>
      <c r="D154" s="116">
        <f t="shared" si="54"/>
        <v>2257.89</v>
      </c>
      <c r="E154" s="116">
        <f t="shared" si="54"/>
        <v>2360.9899999999998</v>
      </c>
      <c r="F154" s="116">
        <f t="shared" si="54"/>
        <v>2453.7800000000002</v>
      </c>
      <c r="G154" s="116">
        <f t="shared" si="54"/>
        <v>2556.88</v>
      </c>
      <c r="H154" s="116">
        <f t="shared" si="54"/>
        <v>2621.83</v>
      </c>
      <c r="K154" s="115">
        <f t="shared" si="40"/>
        <v>8</v>
      </c>
      <c r="L154" s="116">
        <f t="shared" ref="L154:Q154" si="55">L130</f>
        <v>2007.62</v>
      </c>
      <c r="M154" s="116">
        <f t="shared" si="55"/>
        <v>2225.04</v>
      </c>
      <c r="N154" s="116">
        <f t="shared" si="55"/>
        <v>2326.64</v>
      </c>
      <c r="O154" s="116">
        <f t="shared" si="55"/>
        <v>2418.08</v>
      </c>
      <c r="P154" s="116">
        <f t="shared" si="55"/>
        <v>2519.6799999999998</v>
      </c>
      <c r="Q154" s="116">
        <f t="shared" si="55"/>
        <v>2583.69</v>
      </c>
    </row>
    <row r="155" spans="2:17">
      <c r="B155" s="115">
        <f t="shared" si="36"/>
        <v>7</v>
      </c>
      <c r="C155" s="116">
        <f t="shared" ref="C155:H155" si="56">C131</f>
        <v>1907.35</v>
      </c>
      <c r="D155" s="116">
        <f t="shared" si="56"/>
        <v>2113.5500000000002</v>
      </c>
      <c r="E155" s="116">
        <f t="shared" si="56"/>
        <v>2247.58</v>
      </c>
      <c r="F155" s="116">
        <f t="shared" si="56"/>
        <v>2350.6799999999998</v>
      </c>
      <c r="G155" s="116">
        <f t="shared" si="56"/>
        <v>2428.0100000000002</v>
      </c>
      <c r="H155" s="116">
        <f t="shared" si="56"/>
        <v>2500.1799999999998</v>
      </c>
      <c r="K155" s="115">
        <f t="shared" si="40"/>
        <v>7</v>
      </c>
      <c r="L155" s="116">
        <f t="shared" ref="L155:Q155" si="57">L131</f>
        <v>1879.6</v>
      </c>
      <c r="M155" s="116">
        <f t="shared" si="57"/>
        <v>2082.8000000000002</v>
      </c>
      <c r="N155" s="116">
        <f t="shared" si="57"/>
        <v>2214.88</v>
      </c>
      <c r="O155" s="116">
        <f t="shared" si="57"/>
        <v>2316.48</v>
      </c>
      <c r="P155" s="116">
        <f t="shared" si="57"/>
        <v>2392.6799999999998</v>
      </c>
      <c r="Q155" s="116">
        <f t="shared" si="57"/>
        <v>2463.8000000000002</v>
      </c>
    </row>
    <row r="156" spans="2:17">
      <c r="B156" s="115">
        <f t="shared" si="36"/>
        <v>6</v>
      </c>
      <c r="C156" s="116">
        <f t="shared" ref="C156:H156" si="58">C132</f>
        <v>1870.23</v>
      </c>
      <c r="D156" s="116">
        <f t="shared" si="58"/>
        <v>2072.31</v>
      </c>
      <c r="E156" s="116">
        <f t="shared" si="58"/>
        <v>2175.41</v>
      </c>
      <c r="F156" s="116">
        <f t="shared" si="58"/>
        <v>2273.36</v>
      </c>
      <c r="G156" s="116">
        <f t="shared" si="58"/>
        <v>2340.37</v>
      </c>
      <c r="H156" s="116">
        <f t="shared" si="58"/>
        <v>2407.39</v>
      </c>
      <c r="K156" s="115">
        <f t="shared" si="40"/>
        <v>6</v>
      </c>
      <c r="L156" s="116">
        <f t="shared" ref="L156:Q156" si="59">L132</f>
        <v>1843.02</v>
      </c>
      <c r="M156" s="116">
        <f t="shared" si="59"/>
        <v>2042.16</v>
      </c>
      <c r="N156" s="116">
        <f t="shared" si="59"/>
        <v>2143.7600000000002</v>
      </c>
      <c r="O156" s="116">
        <f t="shared" si="59"/>
        <v>2240.2800000000002</v>
      </c>
      <c r="P156" s="116">
        <f t="shared" si="59"/>
        <v>2306.3200000000002</v>
      </c>
      <c r="Q156" s="116">
        <f t="shared" si="59"/>
        <v>2372.36</v>
      </c>
    </row>
    <row r="157" spans="2:17">
      <c r="B157" s="115">
        <f t="shared" si="36"/>
        <v>5</v>
      </c>
      <c r="C157" s="116">
        <f t="shared" ref="C157:H157" si="60">C133</f>
        <v>1791.88</v>
      </c>
      <c r="D157" s="116">
        <f t="shared" si="60"/>
        <v>1984.68</v>
      </c>
      <c r="E157" s="116">
        <f t="shared" si="60"/>
        <v>2082.62</v>
      </c>
      <c r="F157" s="116">
        <f t="shared" si="60"/>
        <v>2180.5700000000002</v>
      </c>
      <c r="G157" s="116">
        <f t="shared" si="60"/>
        <v>2252.7399999999998</v>
      </c>
      <c r="H157" s="116">
        <f t="shared" si="60"/>
        <v>2304.29</v>
      </c>
      <c r="K157" s="115">
        <f t="shared" si="40"/>
        <v>5</v>
      </c>
      <c r="L157" s="116">
        <f t="shared" ref="L157:Q157" si="61">L133</f>
        <v>1765.81</v>
      </c>
      <c r="M157" s="116">
        <f t="shared" si="61"/>
        <v>1955.8</v>
      </c>
      <c r="N157" s="116">
        <f t="shared" si="61"/>
        <v>2052.3200000000002</v>
      </c>
      <c r="O157" s="116">
        <f t="shared" si="61"/>
        <v>2148.84</v>
      </c>
      <c r="P157" s="116">
        <f t="shared" si="61"/>
        <v>2219.96</v>
      </c>
      <c r="Q157" s="116">
        <f t="shared" si="61"/>
        <v>2270.7600000000002</v>
      </c>
    </row>
    <row r="158" spans="2:17">
      <c r="B158" s="115">
        <f t="shared" si="36"/>
        <v>4</v>
      </c>
      <c r="C158" s="116">
        <f t="shared" ref="C158:H158" si="62">C134</f>
        <v>1703.21</v>
      </c>
      <c r="D158" s="116">
        <f t="shared" si="62"/>
        <v>1886.73</v>
      </c>
      <c r="E158" s="116">
        <f t="shared" si="62"/>
        <v>2010.45</v>
      </c>
      <c r="F158" s="116">
        <f t="shared" si="62"/>
        <v>2082.62</v>
      </c>
      <c r="G158" s="116">
        <f t="shared" si="62"/>
        <v>2154.79</v>
      </c>
      <c r="H158" s="116">
        <f t="shared" si="62"/>
        <v>2197.06</v>
      </c>
      <c r="K158" s="115">
        <f t="shared" si="40"/>
        <v>4</v>
      </c>
      <c r="L158" s="116">
        <f t="shared" ref="L158:Q158" si="63">L134</f>
        <v>1678.43</v>
      </c>
      <c r="M158" s="116">
        <f t="shared" si="63"/>
        <v>1859.28</v>
      </c>
      <c r="N158" s="116">
        <f t="shared" si="63"/>
        <v>1981.2</v>
      </c>
      <c r="O158" s="116">
        <f t="shared" si="63"/>
        <v>2052.3200000000002</v>
      </c>
      <c r="P158" s="116">
        <f t="shared" si="63"/>
        <v>2123.44</v>
      </c>
      <c r="Q158" s="116">
        <f t="shared" si="63"/>
        <v>2165.1</v>
      </c>
    </row>
    <row r="159" spans="2:17">
      <c r="B159" s="115">
        <f t="shared" si="36"/>
        <v>3</v>
      </c>
      <c r="C159" s="116">
        <f t="shared" ref="C159:H159" si="64">C135</f>
        <v>1675.38</v>
      </c>
      <c r="D159" s="116">
        <f t="shared" si="64"/>
        <v>1855.8</v>
      </c>
      <c r="E159" s="116">
        <f t="shared" si="64"/>
        <v>1907.35</v>
      </c>
      <c r="F159" s="116">
        <f t="shared" si="64"/>
        <v>1989.83</v>
      </c>
      <c r="G159" s="116">
        <f t="shared" si="64"/>
        <v>2051.69</v>
      </c>
      <c r="H159" s="116">
        <f t="shared" si="64"/>
        <v>2108.4</v>
      </c>
      <c r="K159" s="115">
        <f t="shared" si="40"/>
        <v>3</v>
      </c>
      <c r="L159" s="116">
        <f t="shared" ref="L159:Q159" si="65">L135</f>
        <v>1651</v>
      </c>
      <c r="M159" s="116">
        <f t="shared" si="65"/>
        <v>1828.8</v>
      </c>
      <c r="N159" s="116">
        <f t="shared" si="65"/>
        <v>1879.6</v>
      </c>
      <c r="O159" s="116">
        <f t="shared" si="65"/>
        <v>1960.88</v>
      </c>
      <c r="P159" s="116">
        <f t="shared" si="65"/>
        <v>2021.84</v>
      </c>
      <c r="Q159" s="116">
        <f t="shared" si="65"/>
        <v>2077.7199999999998</v>
      </c>
    </row>
    <row r="160" spans="2:17">
      <c r="B160" s="115" t="str">
        <f t="shared" si="36"/>
        <v>2Ü</v>
      </c>
      <c r="C160" s="116">
        <f t="shared" ref="C160:H160" si="66">C136</f>
        <v>1601.14</v>
      </c>
      <c r="D160" s="116">
        <f t="shared" si="66"/>
        <v>1773.32</v>
      </c>
      <c r="E160" s="116">
        <f t="shared" si="66"/>
        <v>1835.18</v>
      </c>
      <c r="F160" s="116">
        <f t="shared" si="66"/>
        <v>1917.66</v>
      </c>
      <c r="G160" s="116">
        <f t="shared" si="66"/>
        <v>1974.37</v>
      </c>
      <c r="H160" s="116">
        <f t="shared" si="66"/>
        <v>2016.64</v>
      </c>
      <c r="K160" s="115" t="str">
        <f t="shared" si="40"/>
        <v>2Ü</v>
      </c>
      <c r="L160" s="116">
        <f t="shared" ref="L160:Q160" si="67">L136</f>
        <v>1577.85</v>
      </c>
      <c r="M160" s="116">
        <f t="shared" si="67"/>
        <v>1747.52</v>
      </c>
      <c r="N160" s="116">
        <f t="shared" si="67"/>
        <v>1808.48</v>
      </c>
      <c r="O160" s="116">
        <f t="shared" si="67"/>
        <v>1889.76</v>
      </c>
      <c r="P160" s="116">
        <f t="shared" si="67"/>
        <v>1945.64</v>
      </c>
      <c r="Q160" s="116">
        <f t="shared" si="67"/>
        <v>1987.3</v>
      </c>
    </row>
    <row r="161" spans="2:17">
      <c r="B161" s="115">
        <f t="shared" si="36"/>
        <v>2</v>
      </c>
      <c r="C161" s="116">
        <f t="shared" ref="C161:H161" si="68">C137</f>
        <v>1545.47</v>
      </c>
      <c r="D161" s="116">
        <f t="shared" si="68"/>
        <v>1711.46</v>
      </c>
      <c r="E161" s="116">
        <f t="shared" si="68"/>
        <v>1763.01</v>
      </c>
      <c r="F161" s="116">
        <f t="shared" si="68"/>
        <v>1814.56</v>
      </c>
      <c r="G161" s="116">
        <f t="shared" si="68"/>
        <v>1927.97</v>
      </c>
      <c r="H161" s="116">
        <f t="shared" si="68"/>
        <v>2046.54</v>
      </c>
      <c r="K161" s="115">
        <f t="shared" si="40"/>
        <v>2</v>
      </c>
      <c r="L161" s="116">
        <f t="shared" ref="L161:Q161" si="69">L137</f>
        <v>1522.98</v>
      </c>
      <c r="M161" s="116">
        <f t="shared" si="69"/>
        <v>1686.56</v>
      </c>
      <c r="N161" s="116">
        <f t="shared" si="69"/>
        <v>1737.36</v>
      </c>
      <c r="O161" s="116">
        <f t="shared" si="69"/>
        <v>1788.16</v>
      </c>
      <c r="P161" s="116">
        <f t="shared" si="69"/>
        <v>1899.92</v>
      </c>
      <c r="Q161" s="116">
        <f t="shared" si="69"/>
        <v>2016.76</v>
      </c>
    </row>
    <row r="162" spans="2:17">
      <c r="B162" s="115">
        <f t="shared" si="36"/>
        <v>1</v>
      </c>
      <c r="C162" s="116" t="str">
        <f t="shared" ref="C162:H162" si="70">C138</f>
        <v>-</v>
      </c>
      <c r="D162" s="116">
        <f t="shared" si="70"/>
        <v>1377.42</v>
      </c>
      <c r="E162" s="116">
        <f t="shared" si="70"/>
        <v>1402.16</v>
      </c>
      <c r="F162" s="116">
        <f t="shared" si="70"/>
        <v>1433.09</v>
      </c>
      <c r="G162" s="116">
        <f t="shared" si="70"/>
        <v>1461.96</v>
      </c>
      <c r="H162" s="116">
        <f t="shared" si="70"/>
        <v>1536.19</v>
      </c>
      <c r="K162" s="115">
        <f t="shared" si="40"/>
        <v>1</v>
      </c>
      <c r="L162" s="116" t="str">
        <f t="shared" ref="L162:Q162" si="71">L138</f>
        <v>-</v>
      </c>
      <c r="M162" s="116">
        <f t="shared" si="71"/>
        <v>1357.38</v>
      </c>
      <c r="N162" s="116">
        <f t="shared" si="71"/>
        <v>1381.76</v>
      </c>
      <c r="O162" s="116">
        <f t="shared" si="71"/>
        <v>1412.24</v>
      </c>
      <c r="P162" s="116">
        <f t="shared" si="71"/>
        <v>1440.69</v>
      </c>
      <c r="Q162" s="116">
        <f t="shared" si="71"/>
        <v>1513.84</v>
      </c>
    </row>
    <row r="168" spans="2:17">
      <c r="B168" s="154" t="s">
        <v>115</v>
      </c>
      <c r="K168" s="154" t="s">
        <v>124</v>
      </c>
    </row>
    <row r="169" spans="2:17">
      <c r="B169" s="75">
        <v>2009</v>
      </c>
      <c r="C169" s="75" t="str">
        <f t="shared" ref="C169:H169" si="72">C1</f>
        <v>Stufe 1</v>
      </c>
      <c r="D169" s="75" t="str">
        <f t="shared" si="72"/>
        <v>Stufe 2</v>
      </c>
      <c r="E169" s="75" t="str">
        <f t="shared" si="72"/>
        <v>Stufe 3</v>
      </c>
      <c r="F169" s="75" t="str">
        <f t="shared" si="72"/>
        <v>Stufe 4</v>
      </c>
      <c r="G169" s="75" t="str">
        <f t="shared" si="72"/>
        <v>Stufe 5</v>
      </c>
      <c r="H169" s="75" t="str">
        <f t="shared" si="72"/>
        <v>Stufe 6</v>
      </c>
      <c r="K169" s="75">
        <v>2009</v>
      </c>
      <c r="L169" s="75" t="str">
        <f t="shared" ref="L169:Q169" si="73">C1</f>
        <v>Stufe 1</v>
      </c>
      <c r="M169" s="75" t="str">
        <f t="shared" si="73"/>
        <v>Stufe 2</v>
      </c>
      <c r="N169" s="75" t="str">
        <f t="shared" si="73"/>
        <v>Stufe 3</v>
      </c>
      <c r="O169" s="75" t="str">
        <f t="shared" si="73"/>
        <v>Stufe 4</v>
      </c>
      <c r="P169" s="75" t="str">
        <f t="shared" si="73"/>
        <v>Stufe 5</v>
      </c>
      <c r="Q169" s="75" t="str">
        <f t="shared" si="73"/>
        <v>Stufe 6</v>
      </c>
    </row>
    <row r="170" spans="2:17">
      <c r="B170" s="75" t="str">
        <f t="shared" ref="B170:B186" si="74">B2</f>
        <v>15Ü</v>
      </c>
      <c r="C170" s="37" t="str">
        <f t="shared" ref="C170:H170" si="75">IF(C122="-","-",ROUND(C122*1.028,2))</f>
        <v>-</v>
      </c>
      <c r="D170" s="37">
        <f t="shared" si="75"/>
        <v>4642.22</v>
      </c>
      <c r="E170" s="37">
        <f t="shared" si="75"/>
        <v>5145.66</v>
      </c>
      <c r="F170" s="37">
        <f t="shared" si="75"/>
        <v>5622.6</v>
      </c>
      <c r="G170" s="37">
        <f t="shared" si="75"/>
        <v>5940.57</v>
      </c>
      <c r="H170" s="37">
        <f t="shared" si="75"/>
        <v>6014.76</v>
      </c>
      <c r="K170" s="75" t="str">
        <f>B2</f>
        <v>15Ü</v>
      </c>
      <c r="L170" s="37" t="str">
        <f>IF(C170="-","-",C170)</f>
        <v>-</v>
      </c>
      <c r="M170" s="37">
        <f t="shared" ref="M170:Q185" si="76">IF(D170="-","-",D170)</f>
        <v>4642.22</v>
      </c>
      <c r="N170" s="37">
        <f t="shared" si="76"/>
        <v>5145.66</v>
      </c>
      <c r="O170" s="37">
        <f t="shared" si="76"/>
        <v>5622.6</v>
      </c>
      <c r="P170" s="37">
        <f t="shared" si="76"/>
        <v>5940.57</v>
      </c>
      <c r="Q170" s="37">
        <f t="shared" si="76"/>
        <v>6014.76</v>
      </c>
    </row>
    <row r="171" spans="2:17">
      <c r="B171" s="75">
        <f t="shared" si="74"/>
        <v>15</v>
      </c>
      <c r="C171" s="37">
        <f t="shared" ref="C171:H171" si="77">IF(C123="-","-",ROUND(C123*1.028,2))</f>
        <v>3639.58</v>
      </c>
      <c r="D171" s="37">
        <f t="shared" si="77"/>
        <v>4038.1</v>
      </c>
      <c r="E171" s="37">
        <f t="shared" si="77"/>
        <v>4186.4799999999996</v>
      </c>
      <c r="F171" s="37">
        <f t="shared" si="77"/>
        <v>4716.41</v>
      </c>
      <c r="G171" s="37">
        <f t="shared" si="77"/>
        <v>5119.16</v>
      </c>
      <c r="H171" s="37">
        <f t="shared" si="77"/>
        <v>5384.13</v>
      </c>
      <c r="K171" s="75">
        <f t="shared" ref="K171:K186" si="78">B3</f>
        <v>15</v>
      </c>
      <c r="L171" s="37">
        <f t="shared" ref="L171:L186" si="79">IF(C171="-","-",C171)</f>
        <v>3639.58</v>
      </c>
      <c r="M171" s="37">
        <f t="shared" si="76"/>
        <v>4038.1</v>
      </c>
      <c r="N171" s="37">
        <f t="shared" si="76"/>
        <v>4186.4799999999996</v>
      </c>
      <c r="O171" s="37">
        <f t="shared" si="76"/>
        <v>4716.41</v>
      </c>
      <c r="P171" s="37">
        <f t="shared" si="76"/>
        <v>5119.16</v>
      </c>
      <c r="Q171" s="37">
        <f t="shared" si="76"/>
        <v>5384.13</v>
      </c>
    </row>
    <row r="172" spans="2:17">
      <c r="B172" s="75">
        <f t="shared" si="74"/>
        <v>14</v>
      </c>
      <c r="C172" s="37">
        <f t="shared" ref="C172:H172" si="80">IF(C124="-","-",ROUND(C124*1.028,2))</f>
        <v>3296.19</v>
      </c>
      <c r="D172" s="37">
        <f t="shared" si="80"/>
        <v>3656.54</v>
      </c>
      <c r="E172" s="37">
        <f t="shared" si="80"/>
        <v>3868.52</v>
      </c>
      <c r="F172" s="37">
        <f t="shared" si="80"/>
        <v>4186.4799999999996</v>
      </c>
      <c r="G172" s="37">
        <f t="shared" si="80"/>
        <v>4674.0200000000004</v>
      </c>
      <c r="H172" s="37">
        <f t="shared" si="80"/>
        <v>4938.9799999999996</v>
      </c>
      <c r="K172" s="75">
        <f t="shared" si="78"/>
        <v>14</v>
      </c>
      <c r="L172" s="37">
        <f t="shared" si="79"/>
        <v>3296.19</v>
      </c>
      <c r="M172" s="37">
        <f t="shared" si="76"/>
        <v>3656.54</v>
      </c>
      <c r="N172" s="37">
        <f t="shared" si="76"/>
        <v>3868.52</v>
      </c>
      <c r="O172" s="37">
        <f t="shared" si="76"/>
        <v>4186.4799999999996</v>
      </c>
      <c r="P172" s="37">
        <f t="shared" si="76"/>
        <v>4674.0200000000004</v>
      </c>
      <c r="Q172" s="37">
        <f t="shared" si="76"/>
        <v>4938.9799999999996</v>
      </c>
    </row>
    <row r="173" spans="2:17">
      <c r="B173" s="75">
        <f t="shared" si="74"/>
        <v>13</v>
      </c>
      <c r="C173" s="37">
        <f t="shared" ref="C173:H173" si="81">IF(C125="-","-",ROUND(C125*1.028,2))</f>
        <v>3038.64</v>
      </c>
      <c r="D173" s="37">
        <f t="shared" si="81"/>
        <v>3370.38</v>
      </c>
      <c r="E173" s="37">
        <f t="shared" si="81"/>
        <v>3550.56</v>
      </c>
      <c r="F173" s="37">
        <f t="shared" si="81"/>
        <v>3900.31</v>
      </c>
      <c r="G173" s="37">
        <f t="shared" si="81"/>
        <v>4387.8500000000004</v>
      </c>
      <c r="H173" s="37">
        <f t="shared" si="81"/>
        <v>4589.2299999999996</v>
      </c>
      <c r="K173" s="75">
        <f t="shared" si="78"/>
        <v>13</v>
      </c>
      <c r="L173" s="37">
        <f t="shared" si="79"/>
        <v>3038.64</v>
      </c>
      <c r="M173" s="37">
        <f t="shared" si="76"/>
        <v>3370.38</v>
      </c>
      <c r="N173" s="37">
        <f t="shared" si="76"/>
        <v>3550.56</v>
      </c>
      <c r="O173" s="37">
        <f t="shared" si="76"/>
        <v>3900.31</v>
      </c>
      <c r="P173" s="37">
        <f t="shared" si="76"/>
        <v>4387.8500000000004</v>
      </c>
      <c r="Q173" s="37">
        <f t="shared" si="76"/>
        <v>4589.2299999999996</v>
      </c>
    </row>
    <row r="174" spans="2:17">
      <c r="B174" s="75">
        <f t="shared" si="74"/>
        <v>12</v>
      </c>
      <c r="C174" s="37">
        <f t="shared" ref="C174:H174" si="82">IF(C126="-","-",ROUND(C126*1.028,2))</f>
        <v>2723.86</v>
      </c>
      <c r="D174" s="37">
        <f t="shared" si="82"/>
        <v>3020.62</v>
      </c>
      <c r="E174" s="37">
        <f t="shared" si="82"/>
        <v>3444.57</v>
      </c>
      <c r="F174" s="37">
        <f t="shared" si="82"/>
        <v>3815.52</v>
      </c>
      <c r="G174" s="37">
        <f t="shared" si="82"/>
        <v>4292.47</v>
      </c>
      <c r="H174" s="37">
        <f t="shared" si="82"/>
        <v>4504.4399999999996</v>
      </c>
      <c r="K174" s="75">
        <f t="shared" si="78"/>
        <v>12</v>
      </c>
      <c r="L174" s="37">
        <f t="shared" si="79"/>
        <v>2723.86</v>
      </c>
      <c r="M174" s="37">
        <f t="shared" si="76"/>
        <v>3020.62</v>
      </c>
      <c r="N174" s="37">
        <f t="shared" si="76"/>
        <v>3444.57</v>
      </c>
      <c r="O174" s="37">
        <f t="shared" si="76"/>
        <v>3815.52</v>
      </c>
      <c r="P174" s="37">
        <f t="shared" si="76"/>
        <v>4292.47</v>
      </c>
      <c r="Q174" s="37">
        <f t="shared" si="76"/>
        <v>4504.4399999999996</v>
      </c>
    </row>
    <row r="175" spans="2:17">
      <c r="B175" s="75">
        <f t="shared" si="74"/>
        <v>11</v>
      </c>
      <c r="C175" s="37">
        <f t="shared" ref="C175:H175" si="83">IF(C127="-","-",ROUND(C127*1.028,2))</f>
        <v>2628.47</v>
      </c>
      <c r="D175" s="37">
        <f t="shared" si="83"/>
        <v>2914.64</v>
      </c>
      <c r="E175" s="37">
        <f t="shared" si="83"/>
        <v>3126.61</v>
      </c>
      <c r="F175" s="37">
        <f t="shared" si="83"/>
        <v>3444.57</v>
      </c>
      <c r="G175" s="37">
        <f t="shared" si="83"/>
        <v>3905.62</v>
      </c>
      <c r="H175" s="37">
        <f t="shared" si="83"/>
        <v>4117.59</v>
      </c>
      <c r="K175" s="75">
        <f t="shared" si="78"/>
        <v>11</v>
      </c>
      <c r="L175" s="37">
        <f t="shared" si="79"/>
        <v>2628.47</v>
      </c>
      <c r="M175" s="37">
        <f t="shared" si="76"/>
        <v>2914.64</v>
      </c>
      <c r="N175" s="37">
        <f t="shared" si="76"/>
        <v>3126.61</v>
      </c>
      <c r="O175" s="37">
        <f t="shared" si="76"/>
        <v>3444.57</v>
      </c>
      <c r="P175" s="37">
        <f t="shared" si="76"/>
        <v>3905.62</v>
      </c>
      <c r="Q175" s="37">
        <f t="shared" si="76"/>
        <v>4117.59</v>
      </c>
    </row>
    <row r="176" spans="2:17">
      <c r="B176" s="75">
        <f t="shared" si="74"/>
        <v>10</v>
      </c>
      <c r="C176" s="37">
        <f t="shared" ref="C176:H176" si="84">IF(C128="-","-",ROUND(C128*1.028,2))</f>
        <v>2533.08</v>
      </c>
      <c r="D176" s="37">
        <f t="shared" si="84"/>
        <v>2808.65</v>
      </c>
      <c r="E176" s="37">
        <f t="shared" si="84"/>
        <v>3020.62</v>
      </c>
      <c r="F176" s="37">
        <f t="shared" si="84"/>
        <v>3232.6</v>
      </c>
      <c r="G176" s="37">
        <f t="shared" si="84"/>
        <v>3635.35</v>
      </c>
      <c r="H176" s="37">
        <f t="shared" si="84"/>
        <v>3730.74</v>
      </c>
      <c r="K176" s="75">
        <f t="shared" si="78"/>
        <v>10</v>
      </c>
      <c r="L176" s="37">
        <f t="shared" si="79"/>
        <v>2533.08</v>
      </c>
      <c r="M176" s="37">
        <f t="shared" si="76"/>
        <v>2808.65</v>
      </c>
      <c r="N176" s="37">
        <f t="shared" si="76"/>
        <v>3020.62</v>
      </c>
      <c r="O176" s="37">
        <f t="shared" si="76"/>
        <v>3232.6</v>
      </c>
      <c r="P176" s="37">
        <f t="shared" si="76"/>
        <v>3635.35</v>
      </c>
      <c r="Q176" s="37">
        <f t="shared" si="76"/>
        <v>3730.74</v>
      </c>
    </row>
    <row r="177" spans="2:35">
      <c r="B177" s="75">
        <f t="shared" si="74"/>
        <v>9</v>
      </c>
      <c r="C177" s="37">
        <f t="shared" ref="C177:H177" si="85">IF(C129="-","-",ROUND(C129*1.028,2))</f>
        <v>2237.38</v>
      </c>
      <c r="D177" s="37">
        <f t="shared" si="85"/>
        <v>2480.09</v>
      </c>
      <c r="E177" s="37">
        <f t="shared" si="85"/>
        <v>2607.2800000000002</v>
      </c>
      <c r="F177" s="37">
        <f t="shared" si="85"/>
        <v>2946.43</v>
      </c>
      <c r="G177" s="37">
        <f t="shared" si="85"/>
        <v>3211.4</v>
      </c>
      <c r="H177" s="37">
        <f t="shared" si="85"/>
        <v>3423.37</v>
      </c>
      <c r="K177" s="75">
        <f t="shared" si="78"/>
        <v>9</v>
      </c>
      <c r="L177" s="37">
        <f t="shared" si="79"/>
        <v>2237.38</v>
      </c>
      <c r="M177" s="37">
        <f t="shared" si="76"/>
        <v>2480.09</v>
      </c>
      <c r="N177" s="37">
        <f t="shared" si="76"/>
        <v>2607.2800000000002</v>
      </c>
      <c r="O177" s="37">
        <f t="shared" si="76"/>
        <v>2946.43</v>
      </c>
      <c r="P177" s="37">
        <f t="shared" si="76"/>
        <v>3211.4</v>
      </c>
      <c r="Q177" s="37">
        <f t="shared" si="76"/>
        <v>3423.37</v>
      </c>
    </row>
    <row r="178" spans="2:35">
      <c r="B178" s="75">
        <f t="shared" si="74"/>
        <v>8</v>
      </c>
      <c r="C178" s="37">
        <f t="shared" ref="C178:H178" si="86">IF(C130="-","-",ROUND(C130*1.028,2))</f>
        <v>2094.3000000000002</v>
      </c>
      <c r="D178" s="37">
        <f t="shared" si="86"/>
        <v>2321.11</v>
      </c>
      <c r="E178" s="37">
        <f t="shared" si="86"/>
        <v>2427.1</v>
      </c>
      <c r="F178" s="37">
        <f t="shared" si="86"/>
        <v>2522.4899999999998</v>
      </c>
      <c r="G178" s="37">
        <f t="shared" si="86"/>
        <v>2628.47</v>
      </c>
      <c r="H178" s="37">
        <f t="shared" si="86"/>
        <v>2695.24</v>
      </c>
      <c r="K178" s="75">
        <f t="shared" si="78"/>
        <v>8</v>
      </c>
      <c r="L178" s="37">
        <f t="shared" si="79"/>
        <v>2094.3000000000002</v>
      </c>
      <c r="M178" s="37">
        <f t="shared" si="76"/>
        <v>2321.11</v>
      </c>
      <c r="N178" s="37">
        <f t="shared" si="76"/>
        <v>2427.1</v>
      </c>
      <c r="O178" s="37">
        <f t="shared" si="76"/>
        <v>2522.4899999999998</v>
      </c>
      <c r="P178" s="37">
        <f t="shared" si="76"/>
        <v>2628.47</v>
      </c>
      <c r="Q178" s="37">
        <f t="shared" si="76"/>
        <v>2695.24</v>
      </c>
    </row>
    <row r="179" spans="2:35">
      <c r="B179" s="75">
        <f t="shared" si="74"/>
        <v>7</v>
      </c>
      <c r="C179" s="37">
        <f t="shared" ref="C179:H179" si="87">IF(C131="-","-",ROUND(C131*1.028,2))</f>
        <v>1960.76</v>
      </c>
      <c r="D179" s="37">
        <f t="shared" si="87"/>
        <v>2172.73</v>
      </c>
      <c r="E179" s="37">
        <f t="shared" si="87"/>
        <v>2310.5100000000002</v>
      </c>
      <c r="F179" s="37">
        <f t="shared" si="87"/>
        <v>2416.5</v>
      </c>
      <c r="G179" s="37">
        <f t="shared" si="87"/>
        <v>2495.9899999999998</v>
      </c>
      <c r="H179" s="37">
        <f t="shared" si="87"/>
        <v>2570.19</v>
      </c>
      <c r="K179" s="75">
        <f t="shared" si="78"/>
        <v>7</v>
      </c>
      <c r="L179" s="37">
        <f t="shared" si="79"/>
        <v>1960.76</v>
      </c>
      <c r="M179" s="37">
        <f t="shared" si="76"/>
        <v>2172.73</v>
      </c>
      <c r="N179" s="37">
        <f t="shared" si="76"/>
        <v>2310.5100000000002</v>
      </c>
      <c r="O179" s="37">
        <f t="shared" si="76"/>
        <v>2416.5</v>
      </c>
      <c r="P179" s="37">
        <f t="shared" si="76"/>
        <v>2495.9899999999998</v>
      </c>
      <c r="Q179" s="37">
        <f t="shared" si="76"/>
        <v>2570.19</v>
      </c>
    </row>
    <row r="180" spans="2:35">
      <c r="B180" s="75">
        <f t="shared" si="74"/>
        <v>6</v>
      </c>
      <c r="C180" s="37">
        <f t="shared" ref="C180:H180" si="88">IF(C132="-","-",ROUND(C132*1.028,2))</f>
        <v>1922.6</v>
      </c>
      <c r="D180" s="37">
        <f t="shared" si="88"/>
        <v>2130.33</v>
      </c>
      <c r="E180" s="37">
        <f t="shared" si="88"/>
        <v>2236.3200000000002</v>
      </c>
      <c r="F180" s="37">
        <f t="shared" si="88"/>
        <v>2337.0100000000002</v>
      </c>
      <c r="G180" s="37">
        <f t="shared" si="88"/>
        <v>2405.9</v>
      </c>
      <c r="H180" s="37">
        <f t="shared" si="88"/>
        <v>2474.8000000000002</v>
      </c>
      <c r="K180" s="75">
        <f t="shared" si="78"/>
        <v>6</v>
      </c>
      <c r="L180" s="37">
        <f t="shared" si="79"/>
        <v>1922.6</v>
      </c>
      <c r="M180" s="37">
        <f t="shared" si="76"/>
        <v>2130.33</v>
      </c>
      <c r="N180" s="37">
        <f t="shared" si="76"/>
        <v>2236.3200000000002</v>
      </c>
      <c r="O180" s="37">
        <f t="shared" si="76"/>
        <v>2337.0100000000002</v>
      </c>
      <c r="P180" s="37">
        <f t="shared" si="76"/>
        <v>2405.9</v>
      </c>
      <c r="Q180" s="37">
        <f t="shared" si="76"/>
        <v>2474.8000000000002</v>
      </c>
    </row>
    <row r="181" spans="2:35">
      <c r="B181" s="75">
        <f t="shared" si="74"/>
        <v>5</v>
      </c>
      <c r="C181" s="37">
        <f t="shared" ref="C181:H181" si="89">IF(C133="-","-",ROUND(C133*1.028,2))</f>
        <v>1842.05</v>
      </c>
      <c r="D181" s="37">
        <f t="shared" si="89"/>
        <v>2040.25</v>
      </c>
      <c r="E181" s="37">
        <f t="shared" si="89"/>
        <v>2140.9299999999998</v>
      </c>
      <c r="F181" s="37">
        <f t="shared" si="89"/>
        <v>2241.63</v>
      </c>
      <c r="G181" s="37">
        <f t="shared" si="89"/>
        <v>2315.8200000000002</v>
      </c>
      <c r="H181" s="37">
        <f t="shared" si="89"/>
        <v>2368.81</v>
      </c>
      <c r="K181" s="75">
        <f t="shared" si="78"/>
        <v>5</v>
      </c>
      <c r="L181" s="37">
        <f t="shared" si="79"/>
        <v>1842.05</v>
      </c>
      <c r="M181" s="37">
        <f t="shared" si="76"/>
        <v>2040.25</v>
      </c>
      <c r="N181" s="37">
        <f t="shared" si="76"/>
        <v>2140.9299999999998</v>
      </c>
      <c r="O181" s="37">
        <f t="shared" si="76"/>
        <v>2241.63</v>
      </c>
      <c r="P181" s="37">
        <f t="shared" si="76"/>
        <v>2315.8200000000002</v>
      </c>
      <c r="Q181" s="37">
        <f t="shared" si="76"/>
        <v>2368.81</v>
      </c>
    </row>
    <row r="182" spans="2:35">
      <c r="B182" s="75">
        <f t="shared" si="74"/>
        <v>4</v>
      </c>
      <c r="C182" s="37">
        <f t="shared" ref="C182:H182" si="90">IF(C134="-","-",ROUND(C134*1.028,2))</f>
        <v>1750.9</v>
      </c>
      <c r="D182" s="37">
        <f t="shared" si="90"/>
        <v>1939.56</v>
      </c>
      <c r="E182" s="37">
        <f t="shared" si="90"/>
        <v>2066.7399999999998</v>
      </c>
      <c r="F182" s="37">
        <f t="shared" si="90"/>
        <v>2140.9299999999998</v>
      </c>
      <c r="G182" s="37">
        <f t="shared" si="90"/>
        <v>2215.12</v>
      </c>
      <c r="H182" s="37">
        <f t="shared" si="90"/>
        <v>2258.58</v>
      </c>
      <c r="K182" s="75">
        <f t="shared" si="78"/>
        <v>4</v>
      </c>
      <c r="L182" s="37">
        <f t="shared" si="79"/>
        <v>1750.9</v>
      </c>
      <c r="M182" s="37">
        <f t="shared" si="76"/>
        <v>1939.56</v>
      </c>
      <c r="N182" s="37">
        <f t="shared" si="76"/>
        <v>2066.7399999999998</v>
      </c>
      <c r="O182" s="37">
        <f t="shared" si="76"/>
        <v>2140.9299999999998</v>
      </c>
      <c r="P182" s="37">
        <f t="shared" si="76"/>
        <v>2215.12</v>
      </c>
      <c r="Q182" s="37">
        <f t="shared" si="76"/>
        <v>2258.58</v>
      </c>
    </row>
    <row r="183" spans="2:35">
      <c r="B183" s="75">
        <f t="shared" si="74"/>
        <v>3</v>
      </c>
      <c r="C183" s="37">
        <f t="shared" ref="C183:H183" si="91">IF(C135="-","-",ROUND(C135*1.028,2))</f>
        <v>1722.29</v>
      </c>
      <c r="D183" s="37">
        <f t="shared" si="91"/>
        <v>1907.76</v>
      </c>
      <c r="E183" s="37">
        <f t="shared" si="91"/>
        <v>1960.76</v>
      </c>
      <c r="F183" s="37">
        <f t="shared" si="91"/>
        <v>2045.55</v>
      </c>
      <c r="G183" s="37">
        <f t="shared" si="91"/>
        <v>2109.14</v>
      </c>
      <c r="H183" s="37">
        <f t="shared" si="91"/>
        <v>2167.44</v>
      </c>
      <c r="K183" s="75">
        <f t="shared" si="78"/>
        <v>3</v>
      </c>
      <c r="L183" s="37">
        <f t="shared" si="79"/>
        <v>1722.29</v>
      </c>
      <c r="M183" s="37">
        <f t="shared" si="76"/>
        <v>1907.76</v>
      </c>
      <c r="N183" s="37">
        <f t="shared" si="76"/>
        <v>1960.76</v>
      </c>
      <c r="O183" s="37">
        <f t="shared" si="76"/>
        <v>2045.55</v>
      </c>
      <c r="P183" s="37">
        <f t="shared" si="76"/>
        <v>2109.14</v>
      </c>
      <c r="Q183" s="37">
        <f t="shared" si="76"/>
        <v>2167.44</v>
      </c>
    </row>
    <row r="184" spans="2:35">
      <c r="B184" s="75" t="str">
        <f t="shared" si="74"/>
        <v>2Ü</v>
      </c>
      <c r="C184" s="37">
        <f t="shared" ref="C184:H184" si="92">IF(C136="-","-",ROUND(C136*1.028,2))</f>
        <v>1645.97</v>
      </c>
      <c r="D184" s="37">
        <f t="shared" si="92"/>
        <v>1822.97</v>
      </c>
      <c r="E184" s="37">
        <f t="shared" si="92"/>
        <v>1886.57</v>
      </c>
      <c r="F184" s="37">
        <f t="shared" si="92"/>
        <v>1971.35</v>
      </c>
      <c r="G184" s="37">
        <f t="shared" si="92"/>
        <v>2029.65</v>
      </c>
      <c r="H184" s="37">
        <f t="shared" si="92"/>
        <v>2073.11</v>
      </c>
      <c r="K184" s="75" t="str">
        <f t="shared" si="78"/>
        <v>2Ü</v>
      </c>
      <c r="L184" s="37">
        <f t="shared" si="79"/>
        <v>1645.97</v>
      </c>
      <c r="M184" s="37">
        <f t="shared" si="76"/>
        <v>1822.97</v>
      </c>
      <c r="N184" s="37">
        <f t="shared" si="76"/>
        <v>1886.57</v>
      </c>
      <c r="O184" s="37">
        <f t="shared" si="76"/>
        <v>1971.35</v>
      </c>
      <c r="P184" s="37">
        <f t="shared" si="76"/>
        <v>2029.65</v>
      </c>
      <c r="Q184" s="37">
        <f t="shared" si="76"/>
        <v>2073.11</v>
      </c>
    </row>
    <row r="185" spans="2:35">
      <c r="B185" s="75">
        <f t="shared" si="74"/>
        <v>2</v>
      </c>
      <c r="C185" s="37">
        <f t="shared" ref="C185:H185" si="93">IF(C137="-","-",ROUND(C137*1.028,2))</f>
        <v>1588.74</v>
      </c>
      <c r="D185" s="37">
        <f t="shared" si="93"/>
        <v>1759.38</v>
      </c>
      <c r="E185" s="37">
        <f t="shared" si="93"/>
        <v>1812.37</v>
      </c>
      <c r="F185" s="37">
        <f t="shared" si="93"/>
        <v>1865.37</v>
      </c>
      <c r="G185" s="37">
        <f t="shared" si="93"/>
        <v>1981.95</v>
      </c>
      <c r="H185" s="37">
        <f t="shared" si="93"/>
        <v>2103.84</v>
      </c>
      <c r="K185" s="75">
        <f t="shared" si="78"/>
        <v>2</v>
      </c>
      <c r="L185" s="37">
        <f t="shared" si="79"/>
        <v>1588.74</v>
      </c>
      <c r="M185" s="37">
        <f t="shared" si="76"/>
        <v>1759.38</v>
      </c>
      <c r="N185" s="37">
        <f t="shared" si="76"/>
        <v>1812.37</v>
      </c>
      <c r="O185" s="37">
        <f t="shared" si="76"/>
        <v>1865.37</v>
      </c>
      <c r="P185" s="37">
        <f t="shared" si="76"/>
        <v>1981.95</v>
      </c>
      <c r="Q185" s="37">
        <f t="shared" si="76"/>
        <v>2103.84</v>
      </c>
    </row>
    <row r="186" spans="2:35">
      <c r="B186" s="75">
        <f t="shared" si="74"/>
        <v>1</v>
      </c>
      <c r="C186" s="37" t="str">
        <f t="shared" ref="C186:H186" si="94">IF(C138="-","-",ROUND(C138*1.028,2))</f>
        <v>-</v>
      </c>
      <c r="D186" s="37">
        <f t="shared" si="94"/>
        <v>1415.99</v>
      </c>
      <c r="E186" s="37">
        <f t="shared" si="94"/>
        <v>1441.42</v>
      </c>
      <c r="F186" s="37">
        <f t="shared" si="94"/>
        <v>1473.22</v>
      </c>
      <c r="G186" s="37">
        <f t="shared" si="94"/>
        <v>1502.89</v>
      </c>
      <c r="H186" s="37">
        <f t="shared" si="94"/>
        <v>1579.2</v>
      </c>
      <c r="K186" s="75">
        <f t="shared" si="78"/>
        <v>1</v>
      </c>
      <c r="L186" s="37" t="str">
        <f t="shared" si="79"/>
        <v>-</v>
      </c>
      <c r="M186" s="37">
        <f>IF(D186="-","-",D186)</f>
        <v>1415.99</v>
      </c>
      <c r="N186" s="37">
        <f>IF(E186="-","-",E186)</f>
        <v>1441.42</v>
      </c>
      <c r="O186" s="37">
        <f>IF(F186="-","-",F186)</f>
        <v>1473.22</v>
      </c>
      <c r="P186" s="37">
        <f>IF(G186="-","-",G186)</f>
        <v>1502.89</v>
      </c>
      <c r="Q186" s="37">
        <f>IF(H186="-","-",H186)</f>
        <v>1579.2</v>
      </c>
    </row>
    <row r="191" spans="2:35">
      <c r="T191" s="168" t="s">
        <v>222</v>
      </c>
      <c r="U191" s="169"/>
      <c r="V191" s="169"/>
      <c r="W191" s="169"/>
      <c r="X191" s="169"/>
      <c r="Y191" s="169"/>
      <c r="Z191" s="170"/>
      <c r="AC191" s="168" t="s">
        <v>169</v>
      </c>
      <c r="AD191" s="169"/>
      <c r="AE191" s="169"/>
      <c r="AF191" s="169"/>
      <c r="AG191" s="169"/>
      <c r="AH191" s="169"/>
      <c r="AI191" s="170"/>
    </row>
    <row r="192" spans="2:35">
      <c r="B192" s="146">
        <f>B96</f>
        <v>1</v>
      </c>
      <c r="C192" s="148" t="str">
        <f>C144</f>
        <v>EG 1 - 9 (bis IVb BAT-O)</v>
      </c>
      <c r="K192" s="146">
        <f>B96</f>
        <v>1</v>
      </c>
      <c r="L192" s="148" t="str">
        <f>C192</f>
        <v>EG 1 - 9 (bis IVb BAT-O)</v>
      </c>
      <c r="U192" s="171" t="s">
        <v>149</v>
      </c>
      <c r="AD192" s="181"/>
    </row>
    <row r="193" spans="2:35">
      <c r="B193" s="75">
        <v>2009</v>
      </c>
      <c r="C193" s="75" t="str">
        <f t="shared" ref="C193:H193" si="95">C49</f>
        <v>Stufe 1</v>
      </c>
      <c r="D193" s="75" t="str">
        <f t="shared" si="95"/>
        <v>Stufe 2</v>
      </c>
      <c r="E193" s="75" t="str">
        <f t="shared" si="95"/>
        <v>Stufe 3</v>
      </c>
      <c r="F193" s="75" t="str">
        <f t="shared" si="95"/>
        <v>Stufe 4</v>
      </c>
      <c r="G193" s="75" t="str">
        <f t="shared" si="95"/>
        <v>Stufe 5</v>
      </c>
      <c r="H193" s="75" t="str">
        <f t="shared" si="95"/>
        <v>Stufe 6</v>
      </c>
      <c r="K193" s="75">
        <v>2009</v>
      </c>
      <c r="L193" s="75" t="str">
        <f t="shared" ref="L193:Q193" si="96">C1</f>
        <v>Stufe 1</v>
      </c>
      <c r="M193" s="75" t="str">
        <f t="shared" si="96"/>
        <v>Stufe 2</v>
      </c>
      <c r="N193" s="75" t="str">
        <f t="shared" si="96"/>
        <v>Stufe 3</v>
      </c>
      <c r="O193" s="75" t="str">
        <f t="shared" si="96"/>
        <v>Stufe 4</v>
      </c>
      <c r="P193" s="75" t="str">
        <f t="shared" si="96"/>
        <v>Stufe 5</v>
      </c>
      <c r="Q193" s="75" t="str">
        <f t="shared" si="96"/>
        <v>Stufe 6</v>
      </c>
      <c r="T193" s="75">
        <v>2009</v>
      </c>
      <c r="U193" s="75" t="str">
        <f t="shared" ref="U193:Z193" si="97">C1</f>
        <v>Stufe 1</v>
      </c>
      <c r="V193" s="75" t="str">
        <f t="shared" si="97"/>
        <v>Stufe 2</v>
      </c>
      <c r="W193" s="75" t="str">
        <f t="shared" si="97"/>
        <v>Stufe 3</v>
      </c>
      <c r="X193" s="75" t="str">
        <f t="shared" si="97"/>
        <v>Stufe 4</v>
      </c>
      <c r="Y193" s="75" t="str">
        <f t="shared" si="97"/>
        <v>Stufe 5</v>
      </c>
      <c r="Z193" s="75" t="str">
        <f t="shared" si="97"/>
        <v>Stufe 6</v>
      </c>
      <c r="AC193" s="75">
        <v>2009</v>
      </c>
      <c r="AD193" s="75" t="str">
        <f t="shared" ref="AD193:AI193" si="98">C1</f>
        <v>Stufe 1</v>
      </c>
      <c r="AE193" s="75" t="str">
        <f t="shared" si="98"/>
        <v>Stufe 2</v>
      </c>
      <c r="AF193" s="75" t="str">
        <f t="shared" si="98"/>
        <v>Stufe 3</v>
      </c>
      <c r="AG193" s="75" t="str">
        <f t="shared" si="98"/>
        <v>Stufe 4</v>
      </c>
      <c r="AH193" s="75" t="str">
        <f t="shared" si="98"/>
        <v>Stufe 5</v>
      </c>
      <c r="AI193" s="75" t="str">
        <f t="shared" si="98"/>
        <v>Stufe 6</v>
      </c>
    </row>
    <row r="194" spans="2:35">
      <c r="B194" s="75" t="str">
        <f t="shared" ref="B194:B210" si="99">B50</f>
        <v>15Ü</v>
      </c>
      <c r="C194" s="37" t="str">
        <f t="shared" ref="C194:H194" si="100">IF(C170="-","-",ROUND(C170*0.97,2))</f>
        <v>-</v>
      </c>
      <c r="D194" s="37">
        <f t="shared" si="100"/>
        <v>4502.95</v>
      </c>
      <c r="E194" s="37">
        <f t="shared" si="100"/>
        <v>4991.29</v>
      </c>
      <c r="F194" s="37">
        <f t="shared" si="100"/>
        <v>5453.92</v>
      </c>
      <c r="G194" s="37">
        <f t="shared" si="100"/>
        <v>5762.35</v>
      </c>
      <c r="H194" s="37">
        <f t="shared" si="100"/>
        <v>5834.32</v>
      </c>
      <c r="K194" s="75" t="str">
        <f>B2</f>
        <v>15Ü</v>
      </c>
      <c r="L194" s="37" t="str">
        <f t="shared" ref="L194:Q194" si="101">IF(L170="-","-",ROUND(L170*0.97,2))</f>
        <v>-</v>
      </c>
      <c r="M194" s="37">
        <f t="shared" si="101"/>
        <v>4502.95</v>
      </c>
      <c r="N194" s="37">
        <f t="shared" si="101"/>
        <v>4991.29</v>
      </c>
      <c r="O194" s="37">
        <f t="shared" si="101"/>
        <v>5453.92</v>
      </c>
      <c r="P194" s="37">
        <f t="shared" si="101"/>
        <v>5762.35</v>
      </c>
      <c r="Q194" s="37">
        <f t="shared" si="101"/>
        <v>5834.32</v>
      </c>
      <c r="T194" s="75" t="s">
        <v>167</v>
      </c>
      <c r="U194" s="37">
        <v>3000</v>
      </c>
      <c r="V194" s="37">
        <v>3100</v>
      </c>
      <c r="W194" s="37">
        <v>3500</v>
      </c>
      <c r="X194" s="37">
        <v>3800</v>
      </c>
      <c r="Y194" s="37">
        <v>4250</v>
      </c>
      <c r="Z194" s="37">
        <v>4525</v>
      </c>
      <c r="AC194" s="75">
        <f t="shared" ref="AC194:AC206" si="102">B3</f>
        <v>15</v>
      </c>
      <c r="AD194" s="37">
        <v>4201.0200000000004</v>
      </c>
      <c r="AE194" s="37">
        <v>4667.8100000000004</v>
      </c>
      <c r="AF194" s="37">
        <v>5115.91</v>
      </c>
      <c r="AG194" s="37">
        <v>5532.9</v>
      </c>
      <c r="AH194" s="37">
        <v>5918.78</v>
      </c>
      <c r="AI194" s="37">
        <v>6273.52</v>
      </c>
    </row>
    <row r="195" spans="2:35">
      <c r="B195" s="75">
        <f t="shared" si="99"/>
        <v>15</v>
      </c>
      <c r="C195" s="37">
        <f t="shared" ref="C195:H195" si="103">IF(C171="-","-",ROUND(C171*0.97,2))</f>
        <v>3530.39</v>
      </c>
      <c r="D195" s="37">
        <f t="shared" si="103"/>
        <v>3916.96</v>
      </c>
      <c r="E195" s="37">
        <f t="shared" si="103"/>
        <v>4060.89</v>
      </c>
      <c r="F195" s="37">
        <f t="shared" si="103"/>
        <v>4574.92</v>
      </c>
      <c r="G195" s="37">
        <f t="shared" si="103"/>
        <v>4965.59</v>
      </c>
      <c r="H195" s="37">
        <f t="shared" si="103"/>
        <v>5222.6099999999997</v>
      </c>
      <c r="K195" s="75">
        <f t="shared" ref="K195:K210" si="104">B3</f>
        <v>15</v>
      </c>
      <c r="L195" s="37">
        <f t="shared" ref="L195:Q195" si="105">IF(L171="-","-",ROUND(L171*0.97,2))</f>
        <v>3530.39</v>
      </c>
      <c r="M195" s="37">
        <f t="shared" si="105"/>
        <v>3916.96</v>
      </c>
      <c r="N195" s="37">
        <f t="shared" si="105"/>
        <v>4060.89</v>
      </c>
      <c r="O195" s="37">
        <f t="shared" si="105"/>
        <v>4574.92</v>
      </c>
      <c r="P195" s="37">
        <f t="shared" si="105"/>
        <v>4965.59</v>
      </c>
      <c r="Q195" s="37">
        <f t="shared" si="105"/>
        <v>5222.6099999999997</v>
      </c>
      <c r="T195" s="75" t="s">
        <v>166</v>
      </c>
      <c r="U195" s="37">
        <v>2700</v>
      </c>
      <c r="V195" s="37">
        <v>2975</v>
      </c>
      <c r="W195" s="37">
        <v>3300</v>
      </c>
      <c r="X195" s="37">
        <v>3500</v>
      </c>
      <c r="Y195" s="37">
        <v>3900</v>
      </c>
      <c r="Z195" s="37">
        <v>4135</v>
      </c>
      <c r="AC195" s="75">
        <f t="shared" si="102"/>
        <v>14</v>
      </c>
      <c r="AD195" s="37">
        <v>3920.95</v>
      </c>
      <c r="AE195" s="37">
        <v>4319.28</v>
      </c>
      <c r="AF195" s="37">
        <v>4705.16</v>
      </c>
      <c r="AG195" s="37">
        <v>5078.58</v>
      </c>
      <c r="AH195" s="37">
        <v>5433.33</v>
      </c>
      <c r="AI195" s="37">
        <v>5756.97</v>
      </c>
    </row>
    <row r="196" spans="2:35">
      <c r="B196" s="75">
        <f t="shared" si="99"/>
        <v>14</v>
      </c>
      <c r="C196" s="37">
        <f t="shared" ref="C196:H196" si="106">IF(C172="-","-",ROUND(C172*0.97,2))</f>
        <v>3197.3</v>
      </c>
      <c r="D196" s="37">
        <f t="shared" si="106"/>
        <v>3546.84</v>
      </c>
      <c r="E196" s="37">
        <f t="shared" si="106"/>
        <v>3752.46</v>
      </c>
      <c r="F196" s="37">
        <f t="shared" si="106"/>
        <v>4060.89</v>
      </c>
      <c r="G196" s="37">
        <f t="shared" si="106"/>
        <v>4533.8</v>
      </c>
      <c r="H196" s="37">
        <f t="shared" si="106"/>
        <v>4790.8100000000004</v>
      </c>
      <c r="K196" s="75">
        <f t="shared" si="104"/>
        <v>14</v>
      </c>
      <c r="L196" s="37">
        <f t="shared" ref="L196:Q196" si="107">IF(L172="-","-",ROUND(L172*0.97,2))</f>
        <v>3197.3</v>
      </c>
      <c r="M196" s="37">
        <f t="shared" si="107"/>
        <v>3546.84</v>
      </c>
      <c r="N196" s="37">
        <f t="shared" si="107"/>
        <v>3752.46</v>
      </c>
      <c r="O196" s="37">
        <f t="shared" si="107"/>
        <v>4060.89</v>
      </c>
      <c r="P196" s="37">
        <f t="shared" si="107"/>
        <v>4533.8</v>
      </c>
      <c r="Q196" s="37">
        <f t="shared" si="107"/>
        <v>4790.8100000000004</v>
      </c>
      <c r="T196" s="75" t="s">
        <v>165</v>
      </c>
      <c r="U196" s="37" t="s">
        <v>15</v>
      </c>
      <c r="V196" s="37" t="s">
        <v>15</v>
      </c>
      <c r="W196" s="37">
        <v>3245</v>
      </c>
      <c r="X196" s="37">
        <v>3600</v>
      </c>
      <c r="Y196" s="37">
        <v>3820</v>
      </c>
      <c r="Z196" s="37" t="s">
        <v>15</v>
      </c>
      <c r="AC196" s="75">
        <f t="shared" si="102"/>
        <v>13</v>
      </c>
      <c r="AD196" s="37">
        <v>3672.01</v>
      </c>
      <c r="AE196" s="37">
        <v>4045.44</v>
      </c>
      <c r="AF196" s="37">
        <v>4406.41</v>
      </c>
      <c r="AG196" s="37">
        <v>4761.16</v>
      </c>
      <c r="AH196" s="37">
        <v>5035</v>
      </c>
      <c r="AI196" s="37">
        <v>5259.07</v>
      </c>
    </row>
    <row r="197" spans="2:35">
      <c r="B197" s="75">
        <f t="shared" si="99"/>
        <v>13</v>
      </c>
      <c r="C197" s="37">
        <f t="shared" ref="C197:H197" si="108">IF(C173="-","-",ROUND(C173*0.97,2))</f>
        <v>2947.48</v>
      </c>
      <c r="D197" s="37">
        <f t="shared" si="108"/>
        <v>3269.27</v>
      </c>
      <c r="E197" s="37">
        <f t="shared" si="108"/>
        <v>3444.04</v>
      </c>
      <c r="F197" s="37">
        <f t="shared" si="108"/>
        <v>3783.3</v>
      </c>
      <c r="G197" s="37">
        <f t="shared" si="108"/>
        <v>4256.21</v>
      </c>
      <c r="H197" s="37">
        <f t="shared" si="108"/>
        <v>4451.55</v>
      </c>
      <c r="K197" s="75">
        <f t="shared" si="104"/>
        <v>13</v>
      </c>
      <c r="L197" s="37">
        <f t="shared" ref="L197:Q197" si="109">IF(L173="-","-",ROUND(L173*0.97,2))</f>
        <v>2947.48</v>
      </c>
      <c r="M197" s="37">
        <f t="shared" si="109"/>
        <v>3269.27</v>
      </c>
      <c r="N197" s="37">
        <f t="shared" si="109"/>
        <v>3444.04</v>
      </c>
      <c r="O197" s="37">
        <f t="shared" si="109"/>
        <v>3783.3</v>
      </c>
      <c r="P197" s="37">
        <f t="shared" si="109"/>
        <v>4256.21</v>
      </c>
      <c r="Q197" s="37">
        <f t="shared" si="109"/>
        <v>4451.55</v>
      </c>
      <c r="T197" s="75" t="s">
        <v>164</v>
      </c>
      <c r="U197" s="37">
        <v>2630</v>
      </c>
      <c r="V197" s="37">
        <v>2910</v>
      </c>
      <c r="W197" s="37">
        <v>3130</v>
      </c>
      <c r="X197" s="37">
        <v>3400</v>
      </c>
      <c r="Y197" s="37">
        <v>3700</v>
      </c>
      <c r="Z197" s="37">
        <v>3880</v>
      </c>
      <c r="AC197" s="75">
        <f t="shared" si="102"/>
        <v>12</v>
      </c>
      <c r="AD197" s="37">
        <v>3423.06</v>
      </c>
      <c r="AE197" s="37">
        <v>3752.92</v>
      </c>
      <c r="AF197" s="37">
        <v>4082.76</v>
      </c>
      <c r="AG197" s="37">
        <v>4362.84</v>
      </c>
      <c r="AH197" s="37">
        <v>4636.7</v>
      </c>
      <c r="AI197" s="37">
        <v>4829.51</v>
      </c>
    </row>
    <row r="198" spans="2:35">
      <c r="B198" s="75">
        <f t="shared" si="99"/>
        <v>12</v>
      </c>
      <c r="C198" s="37">
        <f t="shared" ref="C198:H198" si="110">IF(C174="-","-",ROUND(C174*0.97,2))</f>
        <v>2642.14</v>
      </c>
      <c r="D198" s="37">
        <f t="shared" si="110"/>
        <v>2930</v>
      </c>
      <c r="E198" s="37">
        <f t="shared" si="110"/>
        <v>3341.23</v>
      </c>
      <c r="F198" s="37">
        <f t="shared" si="110"/>
        <v>3701.05</v>
      </c>
      <c r="G198" s="37">
        <f t="shared" si="110"/>
        <v>4163.7</v>
      </c>
      <c r="H198" s="37">
        <f t="shared" si="110"/>
        <v>4369.3100000000004</v>
      </c>
      <c r="K198" s="75">
        <f t="shared" si="104"/>
        <v>12</v>
      </c>
      <c r="L198" s="37">
        <f t="shared" ref="L198:Q198" si="111">IF(L174="-","-",ROUND(L174*0.97,2))</f>
        <v>2642.14</v>
      </c>
      <c r="M198" s="37">
        <f t="shared" si="111"/>
        <v>2930</v>
      </c>
      <c r="N198" s="37">
        <f t="shared" si="111"/>
        <v>3341.23</v>
      </c>
      <c r="O198" s="37">
        <f t="shared" si="111"/>
        <v>3701.05</v>
      </c>
      <c r="P198" s="37">
        <f t="shared" si="111"/>
        <v>4163.7</v>
      </c>
      <c r="Q198" s="37">
        <f t="shared" si="111"/>
        <v>4369.3100000000004</v>
      </c>
      <c r="T198" s="75" t="s">
        <v>163</v>
      </c>
      <c r="U198" s="37">
        <v>2530</v>
      </c>
      <c r="V198" s="37">
        <v>2800</v>
      </c>
      <c r="W198" s="37">
        <v>3000</v>
      </c>
      <c r="X198" s="37">
        <v>3230</v>
      </c>
      <c r="Y198" s="37">
        <v>3600</v>
      </c>
      <c r="Z198" s="37">
        <v>3760</v>
      </c>
      <c r="AC198" s="75">
        <f t="shared" si="102"/>
        <v>11</v>
      </c>
      <c r="AD198" s="37">
        <v>3205.21</v>
      </c>
      <c r="AE198" s="37">
        <v>3510.19</v>
      </c>
      <c r="AF198" s="37">
        <v>3777.81</v>
      </c>
      <c r="AG198" s="37">
        <v>4008.11</v>
      </c>
      <c r="AH198" s="37">
        <v>4201.0200000000004</v>
      </c>
      <c r="AI198" s="37">
        <v>4362.84</v>
      </c>
    </row>
    <row r="199" spans="2:35">
      <c r="B199" s="75">
        <f t="shared" si="99"/>
        <v>11</v>
      </c>
      <c r="C199" s="37">
        <f t="shared" ref="C199:H199" si="112">IF(C175="-","-",ROUND(C175*0.97,2))</f>
        <v>2549.62</v>
      </c>
      <c r="D199" s="37">
        <f t="shared" si="112"/>
        <v>2827.2</v>
      </c>
      <c r="E199" s="37">
        <f t="shared" si="112"/>
        <v>3032.81</v>
      </c>
      <c r="F199" s="37">
        <f t="shared" si="112"/>
        <v>3341.23</v>
      </c>
      <c r="G199" s="37">
        <f t="shared" si="112"/>
        <v>3788.45</v>
      </c>
      <c r="H199" s="37">
        <f t="shared" si="112"/>
        <v>3994.06</v>
      </c>
      <c r="K199" s="75">
        <f t="shared" si="104"/>
        <v>11</v>
      </c>
      <c r="L199" s="37">
        <f t="shared" ref="L199:Q199" si="113">IF(L175="-","-",ROUND(L175*0.97,2))</f>
        <v>2549.62</v>
      </c>
      <c r="M199" s="37">
        <f t="shared" si="113"/>
        <v>2827.2</v>
      </c>
      <c r="N199" s="37">
        <f t="shared" si="113"/>
        <v>3032.81</v>
      </c>
      <c r="O199" s="37">
        <f t="shared" si="113"/>
        <v>3341.23</v>
      </c>
      <c r="P199" s="37">
        <f t="shared" si="113"/>
        <v>3788.45</v>
      </c>
      <c r="Q199" s="37">
        <f t="shared" si="113"/>
        <v>3994.06</v>
      </c>
      <c r="T199" s="75" t="s">
        <v>162</v>
      </c>
      <c r="U199" s="37">
        <v>2500</v>
      </c>
      <c r="V199" s="37">
        <v>2700</v>
      </c>
      <c r="W199" s="37">
        <v>2950</v>
      </c>
      <c r="X199" s="37">
        <v>3150</v>
      </c>
      <c r="Y199" s="37">
        <v>3400</v>
      </c>
      <c r="Z199" s="37">
        <v>3575</v>
      </c>
      <c r="AC199" s="75">
        <f t="shared" si="102"/>
        <v>10</v>
      </c>
      <c r="AD199" s="37">
        <v>2987.4</v>
      </c>
      <c r="AE199" s="37">
        <v>3273.68</v>
      </c>
      <c r="AF199" s="37">
        <v>3553.75</v>
      </c>
      <c r="AG199" s="37">
        <v>3740.46</v>
      </c>
      <c r="AH199" s="37">
        <v>3871.16</v>
      </c>
      <c r="AI199" s="37">
        <v>3964.5</v>
      </c>
    </row>
    <row r="200" spans="2:35">
      <c r="B200" s="75">
        <f t="shared" si="99"/>
        <v>10</v>
      </c>
      <c r="C200" s="37">
        <f t="shared" ref="C200:H200" si="114">IF(C176="-","-",ROUND(C176*0.97,2))</f>
        <v>2457.09</v>
      </c>
      <c r="D200" s="37">
        <f t="shared" si="114"/>
        <v>2724.39</v>
      </c>
      <c r="E200" s="37">
        <f t="shared" si="114"/>
        <v>2930</v>
      </c>
      <c r="F200" s="37">
        <f t="shared" si="114"/>
        <v>3135.62</v>
      </c>
      <c r="G200" s="37">
        <f t="shared" si="114"/>
        <v>3526.29</v>
      </c>
      <c r="H200" s="37">
        <f t="shared" si="114"/>
        <v>3618.82</v>
      </c>
      <c r="K200" s="75">
        <f t="shared" si="104"/>
        <v>10</v>
      </c>
      <c r="L200" s="37">
        <f t="shared" ref="L200:Q200" si="115">IF(L176="-","-",ROUND(L176*0.97,2))</f>
        <v>2457.09</v>
      </c>
      <c r="M200" s="37">
        <f t="shared" si="115"/>
        <v>2724.39</v>
      </c>
      <c r="N200" s="37">
        <f t="shared" si="115"/>
        <v>2930</v>
      </c>
      <c r="O200" s="37">
        <f t="shared" si="115"/>
        <v>3135.62</v>
      </c>
      <c r="P200" s="37">
        <f t="shared" si="115"/>
        <v>3526.29</v>
      </c>
      <c r="Q200" s="37">
        <f t="shared" si="115"/>
        <v>3618.82</v>
      </c>
      <c r="T200" s="75" t="s">
        <v>161</v>
      </c>
      <c r="U200" s="37">
        <v>2542.12</v>
      </c>
      <c r="V200" s="37">
        <v>2742.12</v>
      </c>
      <c r="W200" s="37">
        <v>2992.12</v>
      </c>
      <c r="X200" s="37">
        <v>3192.12</v>
      </c>
      <c r="Y200" s="37">
        <v>3442.12</v>
      </c>
      <c r="Z200" s="37">
        <v>3567.12</v>
      </c>
      <c r="AC200" s="75">
        <f t="shared" si="102"/>
        <v>9</v>
      </c>
      <c r="AD200" s="37">
        <v>2800.68</v>
      </c>
      <c r="AE200" s="37">
        <v>3049.63</v>
      </c>
      <c r="AF200" s="37">
        <v>3292.37</v>
      </c>
      <c r="AG200" s="37">
        <v>3460.4</v>
      </c>
      <c r="AH200" s="37">
        <v>3522.63</v>
      </c>
      <c r="AI200" s="37">
        <v>3616</v>
      </c>
    </row>
    <row r="201" spans="2:35">
      <c r="B201" s="115">
        <f t="shared" si="99"/>
        <v>9</v>
      </c>
      <c r="C201" s="116">
        <f t="shared" ref="C201:H201" si="116">C177</f>
        <v>2237.38</v>
      </c>
      <c r="D201" s="116">
        <f t="shared" si="116"/>
        <v>2480.09</v>
      </c>
      <c r="E201" s="116">
        <f t="shared" si="116"/>
        <v>2607.2800000000002</v>
      </c>
      <c r="F201" s="116">
        <f t="shared" si="116"/>
        <v>2946.43</v>
      </c>
      <c r="G201" s="116">
        <f t="shared" si="116"/>
        <v>3211.4</v>
      </c>
      <c r="H201" s="116">
        <f t="shared" si="116"/>
        <v>3423.37</v>
      </c>
      <c r="K201" s="115">
        <f t="shared" si="104"/>
        <v>9</v>
      </c>
      <c r="L201" s="116">
        <f t="shared" ref="L201:Q201" si="117">L177</f>
        <v>2237.38</v>
      </c>
      <c r="M201" s="116">
        <f t="shared" si="117"/>
        <v>2480.09</v>
      </c>
      <c r="N201" s="116">
        <f t="shared" si="117"/>
        <v>2607.2800000000002</v>
      </c>
      <c r="O201" s="116">
        <f t="shared" si="117"/>
        <v>2946.43</v>
      </c>
      <c r="P201" s="116">
        <f t="shared" si="117"/>
        <v>3211.4</v>
      </c>
      <c r="Q201" s="116">
        <f t="shared" si="117"/>
        <v>3423.37</v>
      </c>
      <c r="T201" s="75" t="s">
        <v>160</v>
      </c>
      <c r="U201" s="37">
        <v>2500</v>
      </c>
      <c r="V201" s="37">
        <v>2700</v>
      </c>
      <c r="W201" s="37">
        <v>2950</v>
      </c>
      <c r="X201" s="37">
        <v>3150</v>
      </c>
      <c r="Y201" s="37">
        <v>3400</v>
      </c>
      <c r="Z201" s="37">
        <v>3525</v>
      </c>
      <c r="AC201" s="75">
        <f t="shared" si="102"/>
        <v>8</v>
      </c>
      <c r="AD201" s="37">
        <v>2614</v>
      </c>
      <c r="AE201" s="37">
        <v>2775.78</v>
      </c>
      <c r="AF201" s="37">
        <v>2912.71</v>
      </c>
      <c r="AG201" s="37">
        <v>3043.42</v>
      </c>
      <c r="AH201" s="37">
        <v>3174.12</v>
      </c>
      <c r="AI201" s="37">
        <v>3267.48</v>
      </c>
    </row>
    <row r="202" spans="2:35">
      <c r="B202" s="115">
        <f t="shared" si="99"/>
        <v>8</v>
      </c>
      <c r="C202" s="116">
        <f t="shared" ref="C202:H202" si="118">C178</f>
        <v>2094.3000000000002</v>
      </c>
      <c r="D202" s="116">
        <f t="shared" si="118"/>
        <v>2321.11</v>
      </c>
      <c r="E202" s="116">
        <f t="shared" si="118"/>
        <v>2427.1</v>
      </c>
      <c r="F202" s="116">
        <f t="shared" si="118"/>
        <v>2522.4899999999998</v>
      </c>
      <c r="G202" s="116">
        <f t="shared" si="118"/>
        <v>2628.47</v>
      </c>
      <c r="H202" s="116">
        <f t="shared" si="118"/>
        <v>2695.24</v>
      </c>
      <c r="K202" s="115">
        <f t="shared" si="104"/>
        <v>8</v>
      </c>
      <c r="L202" s="116">
        <f t="shared" ref="L202:Q202" si="119">L178</f>
        <v>2094.3000000000002</v>
      </c>
      <c r="M202" s="116">
        <f t="shared" si="119"/>
        <v>2321.11</v>
      </c>
      <c r="N202" s="116">
        <f t="shared" si="119"/>
        <v>2427.1</v>
      </c>
      <c r="O202" s="116">
        <f t="shared" si="119"/>
        <v>2522.4899999999998</v>
      </c>
      <c r="P202" s="116">
        <f t="shared" si="119"/>
        <v>2628.47</v>
      </c>
      <c r="Q202" s="116">
        <f t="shared" si="119"/>
        <v>2695.24</v>
      </c>
      <c r="T202" s="75" t="s">
        <v>159</v>
      </c>
      <c r="U202" s="37">
        <v>2442.12</v>
      </c>
      <c r="V202" s="37">
        <v>2692.12</v>
      </c>
      <c r="W202" s="37">
        <v>2932.12</v>
      </c>
      <c r="X202" s="37">
        <v>3142.12</v>
      </c>
      <c r="Y202" s="37">
        <v>3402.12</v>
      </c>
      <c r="Z202" s="37">
        <v>3512.12</v>
      </c>
      <c r="AC202" s="75">
        <f t="shared" si="102"/>
        <v>7</v>
      </c>
      <c r="AD202" s="37">
        <v>2427.27</v>
      </c>
      <c r="AE202" s="37">
        <v>2576.63</v>
      </c>
      <c r="AF202" s="37">
        <v>2707.34</v>
      </c>
      <c r="AG202" s="37">
        <v>2800.68</v>
      </c>
      <c r="AH202" s="37">
        <v>2862.94</v>
      </c>
      <c r="AI202" s="37">
        <v>2925.16</v>
      </c>
    </row>
    <row r="203" spans="2:35">
      <c r="B203" s="115">
        <f t="shared" si="99"/>
        <v>7</v>
      </c>
      <c r="C203" s="116">
        <f t="shared" ref="C203:H203" si="120">C179</f>
        <v>1960.76</v>
      </c>
      <c r="D203" s="116">
        <f t="shared" si="120"/>
        <v>2172.73</v>
      </c>
      <c r="E203" s="116">
        <f t="shared" si="120"/>
        <v>2310.5100000000002</v>
      </c>
      <c r="F203" s="116">
        <f t="shared" si="120"/>
        <v>2416.5</v>
      </c>
      <c r="G203" s="116">
        <f t="shared" si="120"/>
        <v>2495.9899999999998</v>
      </c>
      <c r="H203" s="116">
        <f t="shared" si="120"/>
        <v>2570.19</v>
      </c>
      <c r="K203" s="115">
        <f t="shared" si="104"/>
        <v>7</v>
      </c>
      <c r="L203" s="116">
        <f t="shared" ref="L203:Q203" si="121">L179</f>
        <v>1960.76</v>
      </c>
      <c r="M203" s="116">
        <f t="shared" si="121"/>
        <v>2172.73</v>
      </c>
      <c r="N203" s="116">
        <f t="shared" si="121"/>
        <v>2310.5100000000002</v>
      </c>
      <c r="O203" s="116">
        <f t="shared" si="121"/>
        <v>2416.5</v>
      </c>
      <c r="P203" s="116">
        <f t="shared" si="121"/>
        <v>2495.9899999999998</v>
      </c>
      <c r="Q203" s="116">
        <f t="shared" si="121"/>
        <v>2570.19</v>
      </c>
      <c r="T203" s="75" t="s">
        <v>158</v>
      </c>
      <c r="U203" s="37">
        <v>2400</v>
      </c>
      <c r="V203" s="37">
        <v>2650</v>
      </c>
      <c r="W203" s="37">
        <v>2890</v>
      </c>
      <c r="X203" s="37">
        <v>3100</v>
      </c>
      <c r="Y203" s="37">
        <v>3360</v>
      </c>
      <c r="Z203" s="37">
        <v>3470</v>
      </c>
      <c r="AC203" s="75">
        <f t="shared" si="102"/>
        <v>6</v>
      </c>
      <c r="AD203" s="37">
        <v>2271.66</v>
      </c>
      <c r="AE203" s="37">
        <v>2408.58</v>
      </c>
      <c r="AF203" s="37">
        <v>2533.06</v>
      </c>
      <c r="AG203" s="37">
        <v>2620.1999999999998</v>
      </c>
      <c r="AH203" s="37">
        <v>2669.98</v>
      </c>
      <c r="AI203" s="37">
        <v>2713.55</v>
      </c>
    </row>
    <row r="204" spans="2:35">
      <c r="B204" s="115">
        <f t="shared" si="99"/>
        <v>6</v>
      </c>
      <c r="C204" s="116">
        <f t="shared" ref="C204:H204" si="122">C180</f>
        <v>1922.6</v>
      </c>
      <c r="D204" s="116">
        <f t="shared" si="122"/>
        <v>2130.33</v>
      </c>
      <c r="E204" s="116">
        <f t="shared" si="122"/>
        <v>2236.3200000000002</v>
      </c>
      <c r="F204" s="116">
        <f t="shared" si="122"/>
        <v>2337.0100000000002</v>
      </c>
      <c r="G204" s="116">
        <f t="shared" si="122"/>
        <v>2405.9</v>
      </c>
      <c r="H204" s="116">
        <f t="shared" si="122"/>
        <v>2474.8000000000002</v>
      </c>
      <c r="K204" s="115">
        <f t="shared" si="104"/>
        <v>6</v>
      </c>
      <c r="L204" s="116">
        <f t="shared" ref="L204:Q204" si="123">L180</f>
        <v>1922.6</v>
      </c>
      <c r="M204" s="116">
        <f t="shared" si="123"/>
        <v>2130.33</v>
      </c>
      <c r="N204" s="116">
        <f t="shared" si="123"/>
        <v>2236.3200000000002</v>
      </c>
      <c r="O204" s="116">
        <f t="shared" si="123"/>
        <v>2337.0100000000002</v>
      </c>
      <c r="P204" s="116">
        <f t="shared" si="123"/>
        <v>2405.9</v>
      </c>
      <c r="Q204" s="116">
        <f t="shared" si="123"/>
        <v>2474.8000000000002</v>
      </c>
      <c r="T204" s="75" t="s">
        <v>157</v>
      </c>
      <c r="U204" s="37">
        <v>2352.66</v>
      </c>
      <c r="V204" s="37">
        <v>2652.66</v>
      </c>
      <c r="W204" s="37">
        <v>2782.66</v>
      </c>
      <c r="X204" s="37">
        <v>3102.66</v>
      </c>
      <c r="Y204" s="37">
        <v>3352.66</v>
      </c>
      <c r="Z204" s="37">
        <v>3502.66</v>
      </c>
      <c r="AC204" s="75">
        <f t="shared" si="102"/>
        <v>5</v>
      </c>
      <c r="AD204" s="37">
        <v>2116.08</v>
      </c>
      <c r="AE204" s="37">
        <v>2246.7800000000002</v>
      </c>
      <c r="AF204" s="37">
        <v>2358.81</v>
      </c>
      <c r="AG204" s="37">
        <v>2439.71</v>
      </c>
      <c r="AH204" s="37">
        <v>2489.5</v>
      </c>
      <c r="AI204" s="37">
        <v>2570.39</v>
      </c>
    </row>
    <row r="205" spans="2:35">
      <c r="B205" s="115">
        <f t="shared" si="99"/>
        <v>5</v>
      </c>
      <c r="C205" s="116">
        <f t="shared" ref="C205:H205" si="124">C181</f>
        <v>1842.05</v>
      </c>
      <c r="D205" s="116">
        <f t="shared" si="124"/>
        <v>2040.25</v>
      </c>
      <c r="E205" s="116">
        <f t="shared" si="124"/>
        <v>2140.9299999999998</v>
      </c>
      <c r="F205" s="116">
        <f t="shared" si="124"/>
        <v>2241.63</v>
      </c>
      <c r="G205" s="116">
        <f t="shared" si="124"/>
        <v>2315.8200000000002</v>
      </c>
      <c r="H205" s="116">
        <f t="shared" si="124"/>
        <v>2368.81</v>
      </c>
      <c r="K205" s="115">
        <f t="shared" si="104"/>
        <v>5</v>
      </c>
      <c r="L205" s="116">
        <f t="shared" ref="L205:Q205" si="125">L181</f>
        <v>1842.05</v>
      </c>
      <c r="M205" s="116">
        <f t="shared" si="125"/>
        <v>2040.25</v>
      </c>
      <c r="N205" s="116">
        <f t="shared" si="125"/>
        <v>2140.9299999999998</v>
      </c>
      <c r="O205" s="116">
        <f t="shared" si="125"/>
        <v>2241.63</v>
      </c>
      <c r="P205" s="116">
        <f t="shared" si="125"/>
        <v>2315.8200000000002</v>
      </c>
      <c r="Q205" s="116">
        <f t="shared" si="125"/>
        <v>2368.81</v>
      </c>
      <c r="T205" s="75" t="s">
        <v>156</v>
      </c>
      <c r="U205" s="37">
        <v>2300</v>
      </c>
      <c r="V205" s="37">
        <v>2600</v>
      </c>
      <c r="W205" s="37">
        <v>2730</v>
      </c>
      <c r="X205" s="37">
        <v>3050</v>
      </c>
      <c r="Y205" s="37">
        <v>3300</v>
      </c>
      <c r="Z205" s="37">
        <v>3450</v>
      </c>
      <c r="AC205" s="75">
        <f t="shared" si="102"/>
        <v>4</v>
      </c>
      <c r="AD205" s="37">
        <v>1991.59</v>
      </c>
      <c r="AE205" s="37">
        <v>2116.08</v>
      </c>
      <c r="AF205" s="37">
        <v>2221.88</v>
      </c>
      <c r="AG205" s="37">
        <v>2296.56</v>
      </c>
      <c r="AH205" s="37">
        <v>2346.35</v>
      </c>
      <c r="AI205" s="37">
        <v>2464.6</v>
      </c>
    </row>
    <row r="206" spans="2:35">
      <c r="B206" s="115">
        <f t="shared" si="99"/>
        <v>4</v>
      </c>
      <c r="C206" s="116">
        <f t="shared" ref="C206:H206" si="126">C182</f>
        <v>1750.9</v>
      </c>
      <c r="D206" s="116">
        <f t="shared" si="126"/>
        <v>1939.56</v>
      </c>
      <c r="E206" s="116">
        <f t="shared" si="126"/>
        <v>2066.7399999999998</v>
      </c>
      <c r="F206" s="116">
        <f t="shared" si="126"/>
        <v>2140.9299999999998</v>
      </c>
      <c r="G206" s="116">
        <f t="shared" si="126"/>
        <v>2215.12</v>
      </c>
      <c r="H206" s="116">
        <f t="shared" si="126"/>
        <v>2258.58</v>
      </c>
      <c r="K206" s="115">
        <f t="shared" si="104"/>
        <v>4</v>
      </c>
      <c r="L206" s="116">
        <f t="shared" ref="L206:Q206" si="127">L182</f>
        <v>1750.9</v>
      </c>
      <c r="M206" s="116">
        <f t="shared" si="127"/>
        <v>1939.56</v>
      </c>
      <c r="N206" s="116">
        <f t="shared" si="127"/>
        <v>2066.7399999999998</v>
      </c>
      <c r="O206" s="116">
        <f t="shared" si="127"/>
        <v>2140.9299999999998</v>
      </c>
      <c r="P206" s="116">
        <f t="shared" si="127"/>
        <v>2215.12</v>
      </c>
      <c r="Q206" s="116">
        <f t="shared" si="127"/>
        <v>2258.58</v>
      </c>
      <c r="T206" s="75" t="s">
        <v>155</v>
      </c>
      <c r="U206" s="37">
        <v>2240</v>
      </c>
      <c r="V206" s="37">
        <v>2480</v>
      </c>
      <c r="W206" s="37">
        <v>2600</v>
      </c>
      <c r="X206" s="37">
        <v>2950</v>
      </c>
      <c r="Y206" s="37">
        <v>3230</v>
      </c>
      <c r="Z206" s="37">
        <v>3460</v>
      </c>
      <c r="AC206" s="75">
        <f t="shared" si="102"/>
        <v>3</v>
      </c>
      <c r="AD206" s="37">
        <v>1867.13</v>
      </c>
      <c r="AE206" s="37">
        <v>1966.7</v>
      </c>
      <c r="AF206" s="37">
        <v>2047.6</v>
      </c>
      <c r="AG206" s="37">
        <v>2116.08</v>
      </c>
      <c r="AH206" s="37">
        <v>2159.65</v>
      </c>
      <c r="AI206" s="37">
        <v>2252.9899999999998</v>
      </c>
    </row>
    <row r="207" spans="2:35">
      <c r="B207" s="115">
        <f t="shared" si="99"/>
        <v>3</v>
      </c>
      <c r="C207" s="116">
        <f t="shared" ref="C207:H207" si="128">C183</f>
        <v>1722.29</v>
      </c>
      <c r="D207" s="116">
        <f t="shared" si="128"/>
        <v>1907.76</v>
      </c>
      <c r="E207" s="116">
        <f t="shared" si="128"/>
        <v>1960.76</v>
      </c>
      <c r="F207" s="116">
        <f t="shared" si="128"/>
        <v>2045.55</v>
      </c>
      <c r="G207" s="116">
        <f t="shared" si="128"/>
        <v>2109.14</v>
      </c>
      <c r="H207" s="116">
        <f t="shared" si="128"/>
        <v>2167.44</v>
      </c>
      <c r="K207" s="115">
        <f t="shared" si="104"/>
        <v>3</v>
      </c>
      <c r="L207" s="116">
        <f t="shared" ref="L207:Q207" si="129">L183</f>
        <v>1722.29</v>
      </c>
      <c r="M207" s="116">
        <f t="shared" si="129"/>
        <v>1907.76</v>
      </c>
      <c r="N207" s="116">
        <f t="shared" si="129"/>
        <v>1960.76</v>
      </c>
      <c r="O207" s="116">
        <f t="shared" si="129"/>
        <v>2045.55</v>
      </c>
      <c r="P207" s="116">
        <f t="shared" si="129"/>
        <v>2109.14</v>
      </c>
      <c r="Q207" s="116">
        <f t="shared" si="129"/>
        <v>2167.44</v>
      </c>
      <c r="T207" s="75" t="s">
        <v>141</v>
      </c>
      <c r="U207" s="37">
        <v>2230</v>
      </c>
      <c r="V207" s="37">
        <v>2400</v>
      </c>
      <c r="W207" s="37">
        <v>2550</v>
      </c>
      <c r="X207" s="37">
        <v>2825</v>
      </c>
      <c r="Y207" s="37">
        <v>3050</v>
      </c>
      <c r="Z207" s="37">
        <v>3265</v>
      </c>
      <c r="AC207" s="75">
        <f>B17</f>
        <v>2</v>
      </c>
      <c r="AD207" s="37">
        <v>1742.63</v>
      </c>
      <c r="AE207" s="37">
        <v>1848.45</v>
      </c>
      <c r="AF207" s="37">
        <v>1941.81</v>
      </c>
      <c r="AG207" s="37">
        <v>2010.27</v>
      </c>
      <c r="AH207" s="37">
        <v>2053.85</v>
      </c>
      <c r="AI207" s="37">
        <v>2078.7199999999998</v>
      </c>
    </row>
    <row r="208" spans="2:35">
      <c r="B208" s="115" t="str">
        <f t="shared" si="99"/>
        <v>2Ü</v>
      </c>
      <c r="C208" s="116">
        <f t="shared" ref="C208:H208" si="130">C184</f>
        <v>1645.97</v>
      </c>
      <c r="D208" s="116">
        <f t="shared" si="130"/>
        <v>1822.97</v>
      </c>
      <c r="E208" s="116">
        <f t="shared" si="130"/>
        <v>1886.57</v>
      </c>
      <c r="F208" s="116">
        <f t="shared" si="130"/>
        <v>1971.35</v>
      </c>
      <c r="G208" s="116">
        <f t="shared" si="130"/>
        <v>2029.65</v>
      </c>
      <c r="H208" s="116">
        <f t="shared" si="130"/>
        <v>2073.11</v>
      </c>
      <c r="K208" s="115" t="str">
        <f t="shared" si="104"/>
        <v>2Ü</v>
      </c>
      <c r="L208" s="116">
        <f t="shared" ref="L208:Q208" si="131">L184</f>
        <v>1645.97</v>
      </c>
      <c r="M208" s="116">
        <f t="shared" si="131"/>
        <v>1822.97</v>
      </c>
      <c r="N208" s="116">
        <f t="shared" si="131"/>
        <v>1886.57</v>
      </c>
      <c r="O208" s="116">
        <f t="shared" si="131"/>
        <v>1971.35</v>
      </c>
      <c r="P208" s="116">
        <f t="shared" si="131"/>
        <v>2029.65</v>
      </c>
      <c r="Q208" s="116">
        <f t="shared" si="131"/>
        <v>2073.11</v>
      </c>
      <c r="T208" s="75" t="s">
        <v>142</v>
      </c>
      <c r="U208" s="37">
        <v>2140</v>
      </c>
      <c r="V208" s="37">
        <v>2300</v>
      </c>
      <c r="W208" s="37">
        <v>2500</v>
      </c>
      <c r="X208" s="37">
        <v>2785</v>
      </c>
      <c r="Y208" s="37">
        <v>3045</v>
      </c>
      <c r="Z208" s="37">
        <v>3250</v>
      </c>
      <c r="AC208" s="75">
        <f>B18</f>
        <v>1</v>
      </c>
      <c r="AD208" s="37" t="s">
        <v>15</v>
      </c>
      <c r="AE208" s="37" t="s">
        <v>15</v>
      </c>
      <c r="AF208" s="37">
        <v>1555.94</v>
      </c>
      <c r="AG208" s="37" t="s">
        <v>15</v>
      </c>
      <c r="AH208" s="37" t="s">
        <v>15</v>
      </c>
      <c r="AI208" s="37" t="s">
        <v>15</v>
      </c>
    </row>
    <row r="209" spans="1:26">
      <c r="B209" s="115">
        <f t="shared" si="99"/>
        <v>2</v>
      </c>
      <c r="C209" s="116">
        <f t="shared" ref="C209:H209" si="132">C185</f>
        <v>1588.74</v>
      </c>
      <c r="D209" s="116">
        <f t="shared" si="132"/>
        <v>1759.38</v>
      </c>
      <c r="E209" s="116">
        <f t="shared" si="132"/>
        <v>1812.37</v>
      </c>
      <c r="F209" s="116">
        <f t="shared" si="132"/>
        <v>1865.37</v>
      </c>
      <c r="G209" s="116">
        <f t="shared" si="132"/>
        <v>1981.95</v>
      </c>
      <c r="H209" s="116">
        <f t="shared" si="132"/>
        <v>2103.84</v>
      </c>
      <c r="K209" s="115">
        <f t="shared" si="104"/>
        <v>2</v>
      </c>
      <c r="L209" s="116">
        <f t="shared" ref="L209:Q209" si="133">L185</f>
        <v>1588.74</v>
      </c>
      <c r="M209" s="116">
        <f t="shared" si="133"/>
        <v>1759.38</v>
      </c>
      <c r="N209" s="116">
        <f t="shared" si="133"/>
        <v>1812.37</v>
      </c>
      <c r="O209" s="116">
        <f t="shared" si="133"/>
        <v>1865.37</v>
      </c>
      <c r="P209" s="116">
        <f t="shared" si="133"/>
        <v>1981.95</v>
      </c>
      <c r="Q209" s="116">
        <f t="shared" si="133"/>
        <v>2103.84</v>
      </c>
      <c r="T209" s="75" t="s">
        <v>143</v>
      </c>
      <c r="U209" s="37">
        <v>2075</v>
      </c>
      <c r="V209" s="37">
        <v>2275</v>
      </c>
      <c r="W209" s="37">
        <v>2435</v>
      </c>
      <c r="X209" s="37">
        <v>2595</v>
      </c>
      <c r="Y209" s="37">
        <v>2715</v>
      </c>
      <c r="Z209" s="37">
        <v>2890</v>
      </c>
    </row>
    <row r="210" spans="1:26">
      <c r="B210" s="115">
        <f t="shared" si="99"/>
        <v>1</v>
      </c>
      <c r="C210" s="116" t="str">
        <f t="shared" ref="C210:H210" si="134">C186</f>
        <v>-</v>
      </c>
      <c r="D210" s="116">
        <f t="shared" si="134"/>
        <v>1415.99</v>
      </c>
      <c r="E210" s="116">
        <f t="shared" si="134"/>
        <v>1441.42</v>
      </c>
      <c r="F210" s="116">
        <f t="shared" si="134"/>
        <v>1473.22</v>
      </c>
      <c r="G210" s="116">
        <f t="shared" si="134"/>
        <v>1502.89</v>
      </c>
      <c r="H210" s="116">
        <f t="shared" si="134"/>
        <v>1579.2</v>
      </c>
      <c r="K210" s="115">
        <f t="shared" si="104"/>
        <v>1</v>
      </c>
      <c r="L210" s="116" t="str">
        <f t="shared" ref="L210:Q210" si="135">L186</f>
        <v>-</v>
      </c>
      <c r="M210" s="116">
        <f t="shared" si="135"/>
        <v>1415.99</v>
      </c>
      <c r="N210" s="116">
        <f t="shared" si="135"/>
        <v>1441.42</v>
      </c>
      <c r="O210" s="116">
        <f t="shared" si="135"/>
        <v>1473.22</v>
      </c>
      <c r="P210" s="116">
        <f t="shared" si="135"/>
        <v>1502.89</v>
      </c>
      <c r="Q210" s="116">
        <f t="shared" si="135"/>
        <v>1579.2</v>
      </c>
      <c r="T210" s="75" t="s">
        <v>144</v>
      </c>
      <c r="U210" s="37">
        <v>2040</v>
      </c>
      <c r="V210" s="37">
        <v>2240</v>
      </c>
      <c r="W210" s="37">
        <v>2400</v>
      </c>
      <c r="X210" s="37">
        <v>2560</v>
      </c>
      <c r="Y210" s="37">
        <v>2705</v>
      </c>
      <c r="Z210" s="37">
        <v>2864</v>
      </c>
    </row>
    <row r="211" spans="1:26">
      <c r="T211" s="75" t="s">
        <v>145</v>
      </c>
      <c r="U211" s="37">
        <v>2040</v>
      </c>
      <c r="V211" s="37">
        <v>2240</v>
      </c>
      <c r="W211" s="37">
        <v>2390</v>
      </c>
      <c r="X211" s="37">
        <v>2470</v>
      </c>
      <c r="Y211" s="37">
        <v>2580</v>
      </c>
      <c r="Z211" s="37">
        <v>2770</v>
      </c>
    </row>
    <row r="212" spans="1:26">
      <c r="T212" s="75" t="s">
        <v>146</v>
      </c>
      <c r="U212" s="37">
        <v>1850</v>
      </c>
      <c r="V212" s="37">
        <v>2100</v>
      </c>
      <c r="W212" s="37">
        <v>2230</v>
      </c>
      <c r="X212" s="37">
        <v>2340</v>
      </c>
      <c r="Y212" s="37">
        <v>2410</v>
      </c>
      <c r="Z212" s="37">
        <v>2500</v>
      </c>
    </row>
    <row r="213" spans="1:26">
      <c r="T213" s="75" t="s">
        <v>147</v>
      </c>
      <c r="U213" s="37">
        <v>1750</v>
      </c>
      <c r="V213" s="37">
        <v>1960</v>
      </c>
      <c r="W213" s="37">
        <v>2100</v>
      </c>
      <c r="X213" s="37">
        <v>2240</v>
      </c>
      <c r="Y213" s="37">
        <v>2280</v>
      </c>
      <c r="Z213" s="37">
        <v>2320</v>
      </c>
    </row>
    <row r="214" spans="1:26">
      <c r="T214" s="75" t="s">
        <v>148</v>
      </c>
      <c r="U214" s="37">
        <v>1675</v>
      </c>
      <c r="V214" s="37">
        <v>1770</v>
      </c>
      <c r="W214" s="37">
        <v>1840</v>
      </c>
      <c r="X214" s="37">
        <v>1920</v>
      </c>
      <c r="Y214" s="37">
        <v>2000</v>
      </c>
      <c r="Z214" s="37">
        <v>2080</v>
      </c>
    </row>
    <row r="216" spans="1:26">
      <c r="B216" s="172" t="s">
        <v>139</v>
      </c>
      <c r="T216" s="172" t="s">
        <v>139</v>
      </c>
      <c r="U216" s="171" t="s">
        <v>149</v>
      </c>
    </row>
    <row r="217" spans="1:26">
      <c r="A217" s="155" t="s">
        <v>273</v>
      </c>
      <c r="B217" s="75">
        <v>2010</v>
      </c>
      <c r="C217" s="75" t="str">
        <f t="shared" ref="C217:H217" si="136">C145</f>
        <v>Stufe 1</v>
      </c>
      <c r="D217" s="75" t="str">
        <f t="shared" si="136"/>
        <v>Stufe 2</v>
      </c>
      <c r="E217" s="75" t="str">
        <f t="shared" si="136"/>
        <v>Stufe 3</v>
      </c>
      <c r="F217" s="75" t="str">
        <f t="shared" si="136"/>
        <v>Stufe 4</v>
      </c>
      <c r="G217" s="75" t="str">
        <f t="shared" si="136"/>
        <v>Stufe 5</v>
      </c>
      <c r="H217" s="75" t="str">
        <f t="shared" si="136"/>
        <v>Stufe 6</v>
      </c>
      <c r="S217" s="155" t="s">
        <v>273</v>
      </c>
      <c r="T217" s="75">
        <v>2010</v>
      </c>
      <c r="U217" s="75" t="str">
        <f t="shared" ref="U217:Z217" si="137">C1</f>
        <v>Stufe 1</v>
      </c>
      <c r="V217" s="75" t="str">
        <f t="shared" si="137"/>
        <v>Stufe 2</v>
      </c>
      <c r="W217" s="75" t="str">
        <f t="shared" si="137"/>
        <v>Stufe 3</v>
      </c>
      <c r="X217" s="75" t="str">
        <f t="shared" si="137"/>
        <v>Stufe 4</v>
      </c>
      <c r="Y217" s="75" t="str">
        <f t="shared" si="137"/>
        <v>Stufe 5</v>
      </c>
      <c r="Z217" s="75" t="str">
        <f t="shared" si="137"/>
        <v>Stufe 6</v>
      </c>
    </row>
    <row r="218" spans="1:26">
      <c r="B218" s="75" t="str">
        <f>B146</f>
        <v>15Ü</v>
      </c>
      <c r="C218" s="37" t="str">
        <f t="shared" ref="C218:H218" si="138">IF(C170="-","-",ROUND(C170*$B$216,2))</f>
        <v>-</v>
      </c>
      <c r="D218" s="37">
        <f t="shared" si="138"/>
        <v>4697.93</v>
      </c>
      <c r="E218" s="37">
        <f t="shared" si="138"/>
        <v>5207.41</v>
      </c>
      <c r="F218" s="37">
        <f t="shared" si="138"/>
        <v>5690.07</v>
      </c>
      <c r="G218" s="37">
        <f t="shared" si="138"/>
        <v>6011.86</v>
      </c>
      <c r="H218" s="37">
        <f t="shared" si="138"/>
        <v>6086.94</v>
      </c>
      <c r="T218" s="75" t="s">
        <v>167</v>
      </c>
      <c r="U218" s="37">
        <f t="shared" ref="U218:Z227" si="139">IF(U194="-","-",ROUND(U194*$T$216,2))</f>
        <v>3036</v>
      </c>
      <c r="V218" s="37">
        <f t="shared" si="139"/>
        <v>3137.2</v>
      </c>
      <c r="W218" s="37">
        <f t="shared" si="139"/>
        <v>3542</v>
      </c>
      <c r="X218" s="37">
        <f t="shared" si="139"/>
        <v>3845.6</v>
      </c>
      <c r="Y218" s="37">
        <f t="shared" si="139"/>
        <v>4301</v>
      </c>
      <c r="Z218" s="37">
        <f t="shared" si="139"/>
        <v>4579.3</v>
      </c>
    </row>
    <row r="219" spans="1:26">
      <c r="B219" s="75">
        <f t="shared" ref="B219:B234" si="140">B147</f>
        <v>15</v>
      </c>
      <c r="C219" s="37">
        <f t="shared" ref="C219:H234" si="141">IF(C171="-","-",ROUND(C171*$B$216,2))</f>
        <v>3683.25</v>
      </c>
      <c r="D219" s="37">
        <f t="shared" si="141"/>
        <v>4086.56</v>
      </c>
      <c r="E219" s="37">
        <f t="shared" si="141"/>
        <v>4236.72</v>
      </c>
      <c r="F219" s="37">
        <f t="shared" si="141"/>
        <v>4773.01</v>
      </c>
      <c r="G219" s="37">
        <f t="shared" si="141"/>
        <v>5180.59</v>
      </c>
      <c r="H219" s="37">
        <f t="shared" si="141"/>
        <v>5448.74</v>
      </c>
      <c r="T219" s="75" t="s">
        <v>166</v>
      </c>
      <c r="U219" s="37">
        <f t="shared" si="139"/>
        <v>2732.4</v>
      </c>
      <c r="V219" s="37">
        <f t="shared" si="139"/>
        <v>3010.7</v>
      </c>
      <c r="W219" s="37">
        <f t="shared" si="139"/>
        <v>3339.6</v>
      </c>
      <c r="X219" s="37">
        <f t="shared" si="139"/>
        <v>3542</v>
      </c>
      <c r="Y219" s="37">
        <f t="shared" si="139"/>
        <v>3946.8</v>
      </c>
      <c r="Z219" s="37">
        <f t="shared" si="139"/>
        <v>4184.62</v>
      </c>
    </row>
    <row r="220" spans="1:26">
      <c r="B220" s="75">
        <f t="shared" si="140"/>
        <v>14</v>
      </c>
      <c r="C220" s="37">
        <f t="shared" si="141"/>
        <v>3335.74</v>
      </c>
      <c r="D220" s="37">
        <f t="shared" si="141"/>
        <v>3700.42</v>
      </c>
      <c r="E220" s="37">
        <f t="shared" si="141"/>
        <v>3914.94</v>
      </c>
      <c r="F220" s="37">
        <f t="shared" si="141"/>
        <v>4236.72</v>
      </c>
      <c r="G220" s="37">
        <f t="shared" si="141"/>
        <v>4730.1099999999997</v>
      </c>
      <c r="H220" s="37">
        <f t="shared" si="141"/>
        <v>4998.25</v>
      </c>
      <c r="T220" s="75" t="s">
        <v>165</v>
      </c>
      <c r="U220" s="37" t="str">
        <f t="shared" si="139"/>
        <v>-</v>
      </c>
      <c r="V220" s="37" t="str">
        <f t="shared" si="139"/>
        <v>-</v>
      </c>
      <c r="W220" s="37">
        <f t="shared" si="139"/>
        <v>3283.94</v>
      </c>
      <c r="X220" s="37">
        <f t="shared" si="139"/>
        <v>3643.2</v>
      </c>
      <c r="Y220" s="37">
        <f t="shared" si="139"/>
        <v>3865.84</v>
      </c>
      <c r="Z220" s="37" t="str">
        <f t="shared" si="139"/>
        <v>-</v>
      </c>
    </row>
    <row r="221" spans="1:26">
      <c r="B221" s="75">
        <f t="shared" si="140"/>
        <v>13</v>
      </c>
      <c r="C221" s="37">
        <f t="shared" si="141"/>
        <v>3075.1</v>
      </c>
      <c r="D221" s="37">
        <f t="shared" si="141"/>
        <v>3410.82</v>
      </c>
      <c r="E221" s="37">
        <f t="shared" si="141"/>
        <v>3593.17</v>
      </c>
      <c r="F221" s="37">
        <f t="shared" si="141"/>
        <v>3947.11</v>
      </c>
      <c r="G221" s="37">
        <f t="shared" si="141"/>
        <v>4440.5</v>
      </c>
      <c r="H221" s="37">
        <f t="shared" si="141"/>
        <v>4644.3</v>
      </c>
      <c r="T221" s="75" t="s">
        <v>164</v>
      </c>
      <c r="U221" s="37">
        <f t="shared" si="139"/>
        <v>2661.56</v>
      </c>
      <c r="V221" s="37">
        <f t="shared" si="139"/>
        <v>2944.92</v>
      </c>
      <c r="W221" s="37">
        <f t="shared" si="139"/>
        <v>3167.56</v>
      </c>
      <c r="X221" s="37">
        <f t="shared" si="139"/>
        <v>3440.8</v>
      </c>
      <c r="Y221" s="37">
        <f t="shared" si="139"/>
        <v>3744.4</v>
      </c>
      <c r="Z221" s="37">
        <f t="shared" si="139"/>
        <v>3926.56</v>
      </c>
    </row>
    <row r="222" spans="1:26">
      <c r="B222" s="75">
        <f t="shared" si="140"/>
        <v>12</v>
      </c>
      <c r="C222" s="37">
        <f t="shared" si="141"/>
        <v>2756.55</v>
      </c>
      <c r="D222" s="37">
        <f t="shared" si="141"/>
        <v>3056.87</v>
      </c>
      <c r="E222" s="37">
        <f t="shared" si="141"/>
        <v>3485.9</v>
      </c>
      <c r="F222" s="37">
        <f t="shared" si="141"/>
        <v>3861.31</v>
      </c>
      <c r="G222" s="37">
        <f t="shared" si="141"/>
        <v>4343.9799999999996</v>
      </c>
      <c r="H222" s="37">
        <f t="shared" si="141"/>
        <v>4558.49</v>
      </c>
      <c r="T222" s="75" t="s">
        <v>163</v>
      </c>
      <c r="U222" s="37">
        <f t="shared" si="139"/>
        <v>2560.36</v>
      </c>
      <c r="V222" s="37">
        <f t="shared" si="139"/>
        <v>2833.6</v>
      </c>
      <c r="W222" s="37">
        <f t="shared" si="139"/>
        <v>3036</v>
      </c>
      <c r="X222" s="37">
        <f t="shared" si="139"/>
        <v>3268.76</v>
      </c>
      <c r="Y222" s="37">
        <f t="shared" si="139"/>
        <v>3643.2</v>
      </c>
      <c r="Z222" s="37">
        <f t="shared" si="139"/>
        <v>3805.12</v>
      </c>
    </row>
    <row r="223" spans="1:26">
      <c r="B223" s="75">
        <f t="shared" si="140"/>
        <v>11</v>
      </c>
      <c r="C223" s="37">
        <f t="shared" si="141"/>
        <v>2660.01</v>
      </c>
      <c r="D223" s="37">
        <f t="shared" si="141"/>
        <v>2949.62</v>
      </c>
      <c r="E223" s="37">
        <f t="shared" si="141"/>
        <v>3164.13</v>
      </c>
      <c r="F223" s="37">
        <f t="shared" si="141"/>
        <v>3485.9</v>
      </c>
      <c r="G223" s="37">
        <f t="shared" si="141"/>
        <v>3952.49</v>
      </c>
      <c r="H223" s="37">
        <f t="shared" si="141"/>
        <v>4167</v>
      </c>
      <c r="T223" s="75" t="s">
        <v>162</v>
      </c>
      <c r="U223" s="37">
        <f t="shared" si="139"/>
        <v>2530</v>
      </c>
      <c r="V223" s="37">
        <f t="shared" si="139"/>
        <v>2732.4</v>
      </c>
      <c r="W223" s="37">
        <f t="shared" si="139"/>
        <v>2985.4</v>
      </c>
      <c r="X223" s="37">
        <f t="shared" si="139"/>
        <v>3187.8</v>
      </c>
      <c r="Y223" s="37">
        <f t="shared" si="139"/>
        <v>3440.8</v>
      </c>
      <c r="Z223" s="37">
        <f t="shared" si="139"/>
        <v>3617.9</v>
      </c>
    </row>
    <row r="224" spans="1:26">
      <c r="B224" s="75">
        <f t="shared" si="140"/>
        <v>10</v>
      </c>
      <c r="C224" s="37">
        <f t="shared" si="141"/>
        <v>2563.48</v>
      </c>
      <c r="D224" s="37">
        <f t="shared" si="141"/>
        <v>2842.35</v>
      </c>
      <c r="E224" s="37">
        <f t="shared" si="141"/>
        <v>3056.87</v>
      </c>
      <c r="F224" s="37">
        <f t="shared" si="141"/>
        <v>3271.39</v>
      </c>
      <c r="G224" s="37">
        <f t="shared" si="141"/>
        <v>3678.97</v>
      </c>
      <c r="H224" s="37">
        <f t="shared" si="141"/>
        <v>3775.51</v>
      </c>
      <c r="T224" s="75" t="s">
        <v>161</v>
      </c>
      <c r="U224" s="37">
        <f t="shared" si="139"/>
        <v>2572.63</v>
      </c>
      <c r="V224" s="37">
        <f t="shared" si="139"/>
        <v>2775.03</v>
      </c>
      <c r="W224" s="37">
        <f t="shared" si="139"/>
        <v>3028.03</v>
      </c>
      <c r="X224" s="37">
        <f t="shared" si="139"/>
        <v>3230.43</v>
      </c>
      <c r="Y224" s="37">
        <f t="shared" si="139"/>
        <v>3483.43</v>
      </c>
      <c r="Z224" s="37">
        <f t="shared" si="139"/>
        <v>3609.93</v>
      </c>
    </row>
    <row r="225" spans="2:26">
      <c r="B225" s="75">
        <f t="shared" si="140"/>
        <v>9</v>
      </c>
      <c r="C225" s="37">
        <f t="shared" si="141"/>
        <v>2264.23</v>
      </c>
      <c r="D225" s="37">
        <f t="shared" si="141"/>
        <v>2509.85</v>
      </c>
      <c r="E225" s="37">
        <f t="shared" si="141"/>
        <v>2638.57</v>
      </c>
      <c r="F225" s="37">
        <f t="shared" si="141"/>
        <v>2981.79</v>
      </c>
      <c r="G225" s="37">
        <f t="shared" si="141"/>
        <v>3249.94</v>
      </c>
      <c r="H225" s="37">
        <f t="shared" si="141"/>
        <v>3464.45</v>
      </c>
      <c r="T225" s="75" t="s">
        <v>160</v>
      </c>
      <c r="U225" s="37">
        <f t="shared" si="139"/>
        <v>2530</v>
      </c>
      <c r="V225" s="37">
        <f t="shared" si="139"/>
        <v>2732.4</v>
      </c>
      <c r="W225" s="37">
        <f t="shared" si="139"/>
        <v>2985.4</v>
      </c>
      <c r="X225" s="37">
        <f t="shared" si="139"/>
        <v>3187.8</v>
      </c>
      <c r="Y225" s="37">
        <f t="shared" si="139"/>
        <v>3440.8</v>
      </c>
      <c r="Z225" s="37">
        <f t="shared" si="139"/>
        <v>3567.3</v>
      </c>
    </row>
    <row r="226" spans="2:26">
      <c r="B226" s="75">
        <f t="shared" si="140"/>
        <v>8</v>
      </c>
      <c r="C226" s="37">
        <f t="shared" si="141"/>
        <v>2119.4299999999998</v>
      </c>
      <c r="D226" s="37">
        <f t="shared" si="141"/>
        <v>2348.96</v>
      </c>
      <c r="E226" s="37">
        <f t="shared" si="141"/>
        <v>2456.23</v>
      </c>
      <c r="F226" s="37">
        <f t="shared" si="141"/>
        <v>2552.7600000000002</v>
      </c>
      <c r="G226" s="37">
        <f t="shared" si="141"/>
        <v>2660.01</v>
      </c>
      <c r="H226" s="37">
        <f t="shared" si="141"/>
        <v>2727.58</v>
      </c>
      <c r="T226" s="75" t="s">
        <v>159</v>
      </c>
      <c r="U226" s="37">
        <f t="shared" si="139"/>
        <v>2471.4299999999998</v>
      </c>
      <c r="V226" s="37">
        <f t="shared" si="139"/>
        <v>2724.43</v>
      </c>
      <c r="W226" s="37">
        <f t="shared" si="139"/>
        <v>2967.31</v>
      </c>
      <c r="X226" s="37">
        <f t="shared" si="139"/>
        <v>3179.83</v>
      </c>
      <c r="Y226" s="37">
        <f t="shared" si="139"/>
        <v>3442.95</v>
      </c>
      <c r="Z226" s="37">
        <f t="shared" si="139"/>
        <v>3554.27</v>
      </c>
    </row>
    <row r="227" spans="2:26">
      <c r="B227" s="75">
        <f t="shared" si="140"/>
        <v>7</v>
      </c>
      <c r="C227" s="37">
        <f t="shared" si="141"/>
        <v>1984.29</v>
      </c>
      <c r="D227" s="37">
        <f t="shared" si="141"/>
        <v>2198.8000000000002</v>
      </c>
      <c r="E227" s="37">
        <f t="shared" si="141"/>
        <v>2338.2399999999998</v>
      </c>
      <c r="F227" s="37">
        <f t="shared" si="141"/>
        <v>2445.5</v>
      </c>
      <c r="G227" s="37">
        <f t="shared" si="141"/>
        <v>2525.94</v>
      </c>
      <c r="H227" s="37">
        <f t="shared" si="141"/>
        <v>2601.0300000000002</v>
      </c>
      <c r="T227" s="75" t="s">
        <v>158</v>
      </c>
      <c r="U227" s="37">
        <f t="shared" si="139"/>
        <v>2428.8000000000002</v>
      </c>
      <c r="V227" s="37">
        <f t="shared" si="139"/>
        <v>2681.8</v>
      </c>
      <c r="W227" s="37">
        <f t="shared" si="139"/>
        <v>2924.68</v>
      </c>
      <c r="X227" s="37">
        <f t="shared" si="139"/>
        <v>3137.2</v>
      </c>
      <c r="Y227" s="37">
        <f t="shared" si="139"/>
        <v>3400.32</v>
      </c>
      <c r="Z227" s="37">
        <f t="shared" si="139"/>
        <v>3511.64</v>
      </c>
    </row>
    <row r="228" spans="2:26">
      <c r="B228" s="75">
        <f t="shared" si="140"/>
        <v>6</v>
      </c>
      <c r="C228" s="37">
        <f t="shared" si="141"/>
        <v>1945.67</v>
      </c>
      <c r="D228" s="37">
        <f t="shared" si="141"/>
        <v>2155.89</v>
      </c>
      <c r="E228" s="37">
        <f t="shared" si="141"/>
        <v>2263.16</v>
      </c>
      <c r="F228" s="37">
        <f t="shared" si="141"/>
        <v>2365.0500000000002</v>
      </c>
      <c r="G228" s="37">
        <f t="shared" si="141"/>
        <v>2434.77</v>
      </c>
      <c r="H228" s="37">
        <f t="shared" si="141"/>
        <v>2504.5</v>
      </c>
      <c r="T228" s="75" t="s">
        <v>157</v>
      </c>
      <c r="U228" s="37">
        <f t="shared" ref="U228:Z237" si="142">IF(U204="-","-",ROUND(U204*$T$216,2))</f>
        <v>2380.89</v>
      </c>
      <c r="V228" s="37">
        <f t="shared" si="142"/>
        <v>2684.49</v>
      </c>
      <c r="W228" s="37">
        <f t="shared" si="142"/>
        <v>2816.05</v>
      </c>
      <c r="X228" s="37">
        <f t="shared" si="142"/>
        <v>3139.89</v>
      </c>
      <c r="Y228" s="37">
        <f t="shared" si="142"/>
        <v>3392.89</v>
      </c>
      <c r="Z228" s="37">
        <f t="shared" si="142"/>
        <v>3544.69</v>
      </c>
    </row>
    <row r="229" spans="2:26">
      <c r="B229" s="75">
        <f t="shared" si="140"/>
        <v>5</v>
      </c>
      <c r="C229" s="37">
        <f t="shared" si="141"/>
        <v>1864.15</v>
      </c>
      <c r="D229" s="37">
        <f t="shared" si="141"/>
        <v>2064.73</v>
      </c>
      <c r="E229" s="37">
        <f t="shared" si="141"/>
        <v>2166.62</v>
      </c>
      <c r="F229" s="37">
        <f t="shared" si="141"/>
        <v>2268.5300000000002</v>
      </c>
      <c r="G229" s="37">
        <f t="shared" si="141"/>
        <v>2343.61</v>
      </c>
      <c r="H229" s="37">
        <f t="shared" si="141"/>
        <v>2397.2399999999998</v>
      </c>
      <c r="T229" s="75" t="s">
        <v>156</v>
      </c>
      <c r="U229" s="37">
        <f t="shared" si="142"/>
        <v>2327.6</v>
      </c>
      <c r="V229" s="37">
        <f t="shared" si="142"/>
        <v>2631.2</v>
      </c>
      <c r="W229" s="37">
        <f t="shared" si="142"/>
        <v>2762.76</v>
      </c>
      <c r="X229" s="37">
        <f t="shared" si="142"/>
        <v>3086.6</v>
      </c>
      <c r="Y229" s="37">
        <f t="shared" si="142"/>
        <v>3339.6</v>
      </c>
      <c r="Z229" s="37">
        <f t="shared" si="142"/>
        <v>3491.4</v>
      </c>
    </row>
    <row r="230" spans="2:26">
      <c r="B230" s="75">
        <f t="shared" si="140"/>
        <v>4</v>
      </c>
      <c r="C230" s="37">
        <f t="shared" si="141"/>
        <v>1771.91</v>
      </c>
      <c r="D230" s="37">
        <f t="shared" si="141"/>
        <v>1962.83</v>
      </c>
      <c r="E230" s="37">
        <f t="shared" si="141"/>
        <v>2091.54</v>
      </c>
      <c r="F230" s="37">
        <f t="shared" si="141"/>
        <v>2166.62</v>
      </c>
      <c r="G230" s="37">
        <f t="shared" si="141"/>
        <v>2241.6999999999998</v>
      </c>
      <c r="H230" s="37">
        <f t="shared" si="141"/>
        <v>2285.6799999999998</v>
      </c>
      <c r="T230" s="75" t="s">
        <v>155</v>
      </c>
      <c r="U230" s="37">
        <f t="shared" si="142"/>
        <v>2266.88</v>
      </c>
      <c r="V230" s="37">
        <f t="shared" si="142"/>
        <v>2509.7600000000002</v>
      </c>
      <c r="W230" s="37">
        <f t="shared" si="142"/>
        <v>2631.2</v>
      </c>
      <c r="X230" s="37">
        <f t="shared" si="142"/>
        <v>2985.4</v>
      </c>
      <c r="Y230" s="37">
        <f t="shared" si="142"/>
        <v>3268.76</v>
      </c>
      <c r="Z230" s="37">
        <f t="shared" si="142"/>
        <v>3501.52</v>
      </c>
    </row>
    <row r="231" spans="2:26">
      <c r="B231" s="75">
        <f t="shared" si="140"/>
        <v>3</v>
      </c>
      <c r="C231" s="37">
        <f t="shared" si="141"/>
        <v>1742.96</v>
      </c>
      <c r="D231" s="37">
        <f t="shared" si="141"/>
        <v>1930.65</v>
      </c>
      <c r="E231" s="37">
        <f t="shared" si="141"/>
        <v>1984.29</v>
      </c>
      <c r="F231" s="37">
        <f t="shared" si="141"/>
        <v>2070.1</v>
      </c>
      <c r="G231" s="37">
        <f t="shared" si="141"/>
        <v>2134.4499999999998</v>
      </c>
      <c r="H231" s="37">
        <f t="shared" si="141"/>
        <v>2193.4499999999998</v>
      </c>
      <c r="T231" s="75" t="s">
        <v>141</v>
      </c>
      <c r="U231" s="37">
        <f t="shared" si="142"/>
        <v>2256.7600000000002</v>
      </c>
      <c r="V231" s="37">
        <f t="shared" si="142"/>
        <v>2428.8000000000002</v>
      </c>
      <c r="W231" s="37">
        <f t="shared" si="142"/>
        <v>2580.6</v>
      </c>
      <c r="X231" s="37">
        <f t="shared" si="142"/>
        <v>2858.9</v>
      </c>
      <c r="Y231" s="37">
        <f t="shared" si="142"/>
        <v>3086.6</v>
      </c>
      <c r="Z231" s="37">
        <f t="shared" si="142"/>
        <v>3304.18</v>
      </c>
    </row>
    <row r="232" spans="2:26">
      <c r="B232" s="75" t="str">
        <f t="shared" si="140"/>
        <v>2Ü</v>
      </c>
      <c r="C232" s="37">
        <f t="shared" si="141"/>
        <v>1665.72</v>
      </c>
      <c r="D232" s="37">
        <f t="shared" si="141"/>
        <v>1844.85</v>
      </c>
      <c r="E232" s="37">
        <f t="shared" si="141"/>
        <v>1909.21</v>
      </c>
      <c r="F232" s="37">
        <f t="shared" si="141"/>
        <v>1995.01</v>
      </c>
      <c r="G232" s="37">
        <f t="shared" si="141"/>
        <v>2054.0100000000002</v>
      </c>
      <c r="H232" s="37">
        <f t="shared" si="141"/>
        <v>2097.9899999999998</v>
      </c>
      <c r="T232" s="75" t="s">
        <v>142</v>
      </c>
      <c r="U232" s="37">
        <f t="shared" si="142"/>
        <v>2165.6799999999998</v>
      </c>
      <c r="V232" s="37">
        <f t="shared" si="142"/>
        <v>2327.6</v>
      </c>
      <c r="W232" s="37">
        <f t="shared" si="142"/>
        <v>2530</v>
      </c>
      <c r="X232" s="37">
        <f t="shared" si="142"/>
        <v>2818.42</v>
      </c>
      <c r="Y232" s="37">
        <f t="shared" si="142"/>
        <v>3081.54</v>
      </c>
      <c r="Z232" s="37">
        <f t="shared" si="142"/>
        <v>3289</v>
      </c>
    </row>
    <row r="233" spans="2:26">
      <c r="B233" s="75">
        <f t="shared" si="140"/>
        <v>2</v>
      </c>
      <c r="C233" s="37">
        <f t="shared" si="141"/>
        <v>1607.8</v>
      </c>
      <c r="D233" s="37">
        <f t="shared" si="141"/>
        <v>1780.49</v>
      </c>
      <c r="E233" s="37">
        <f t="shared" si="141"/>
        <v>1834.12</v>
      </c>
      <c r="F233" s="37">
        <f t="shared" si="141"/>
        <v>1887.75</v>
      </c>
      <c r="G233" s="37">
        <f t="shared" si="141"/>
        <v>2005.73</v>
      </c>
      <c r="H233" s="37">
        <f t="shared" si="141"/>
        <v>2129.09</v>
      </c>
      <c r="T233" s="75" t="s">
        <v>143</v>
      </c>
      <c r="U233" s="37">
        <f t="shared" si="142"/>
        <v>2099.9</v>
      </c>
      <c r="V233" s="37">
        <f t="shared" si="142"/>
        <v>2302.3000000000002</v>
      </c>
      <c r="W233" s="37">
        <f t="shared" si="142"/>
        <v>2464.2199999999998</v>
      </c>
      <c r="X233" s="37">
        <f t="shared" si="142"/>
        <v>2626.14</v>
      </c>
      <c r="Y233" s="37">
        <f t="shared" si="142"/>
        <v>2747.58</v>
      </c>
      <c r="Z233" s="37">
        <f t="shared" si="142"/>
        <v>2924.68</v>
      </c>
    </row>
    <row r="234" spans="2:26">
      <c r="B234" s="75">
        <f t="shared" si="140"/>
        <v>1</v>
      </c>
      <c r="C234" s="37" t="str">
        <f t="shared" si="141"/>
        <v>-</v>
      </c>
      <c r="D234" s="37">
        <f t="shared" si="141"/>
        <v>1432.98</v>
      </c>
      <c r="E234" s="37">
        <f t="shared" si="141"/>
        <v>1458.72</v>
      </c>
      <c r="F234" s="37">
        <f t="shared" si="141"/>
        <v>1490.9</v>
      </c>
      <c r="G234" s="37">
        <f t="shared" si="141"/>
        <v>1520.92</v>
      </c>
      <c r="H234" s="37">
        <f t="shared" si="141"/>
        <v>1598.15</v>
      </c>
      <c r="T234" s="75" t="s">
        <v>144</v>
      </c>
      <c r="U234" s="37">
        <f t="shared" si="142"/>
        <v>2064.48</v>
      </c>
      <c r="V234" s="37">
        <f t="shared" si="142"/>
        <v>2266.88</v>
      </c>
      <c r="W234" s="37">
        <f t="shared" si="142"/>
        <v>2428.8000000000002</v>
      </c>
      <c r="X234" s="37">
        <f t="shared" si="142"/>
        <v>2590.7199999999998</v>
      </c>
      <c r="Y234" s="37">
        <f t="shared" si="142"/>
        <v>2737.46</v>
      </c>
      <c r="Z234" s="37">
        <f t="shared" si="142"/>
        <v>2898.37</v>
      </c>
    </row>
    <row r="235" spans="2:26">
      <c r="T235" s="75" t="s">
        <v>145</v>
      </c>
      <c r="U235" s="37">
        <f t="shared" si="142"/>
        <v>2064.48</v>
      </c>
      <c r="V235" s="37">
        <f t="shared" si="142"/>
        <v>2266.88</v>
      </c>
      <c r="W235" s="37">
        <f t="shared" si="142"/>
        <v>2418.6799999999998</v>
      </c>
      <c r="X235" s="37">
        <f t="shared" si="142"/>
        <v>2499.64</v>
      </c>
      <c r="Y235" s="37">
        <f t="shared" si="142"/>
        <v>2610.96</v>
      </c>
      <c r="Z235" s="37">
        <f t="shared" si="142"/>
        <v>2803.24</v>
      </c>
    </row>
    <row r="236" spans="2:26">
      <c r="T236" s="75" t="s">
        <v>146</v>
      </c>
      <c r="U236" s="37">
        <f t="shared" si="142"/>
        <v>1872.2</v>
      </c>
      <c r="V236" s="37">
        <f t="shared" si="142"/>
        <v>2125.1999999999998</v>
      </c>
      <c r="W236" s="37">
        <f t="shared" si="142"/>
        <v>2256.7600000000002</v>
      </c>
      <c r="X236" s="37">
        <f t="shared" si="142"/>
        <v>2368.08</v>
      </c>
      <c r="Y236" s="37">
        <f t="shared" si="142"/>
        <v>2438.92</v>
      </c>
      <c r="Z236" s="37">
        <f t="shared" si="142"/>
        <v>2530</v>
      </c>
    </row>
    <row r="237" spans="2:26">
      <c r="T237" s="75" t="s">
        <v>147</v>
      </c>
      <c r="U237" s="37">
        <f t="shared" si="142"/>
        <v>1771</v>
      </c>
      <c r="V237" s="37">
        <f t="shared" si="142"/>
        <v>1983.52</v>
      </c>
      <c r="W237" s="37">
        <f t="shared" si="142"/>
        <v>2125.1999999999998</v>
      </c>
      <c r="X237" s="37">
        <f t="shared" si="142"/>
        <v>2266.88</v>
      </c>
      <c r="Y237" s="37">
        <f t="shared" si="142"/>
        <v>2307.36</v>
      </c>
      <c r="Z237" s="37">
        <f t="shared" si="142"/>
        <v>2347.84</v>
      </c>
    </row>
    <row r="238" spans="2:26">
      <c r="T238" s="75" t="s">
        <v>148</v>
      </c>
      <c r="U238" s="37">
        <f t="shared" ref="U238:Z238" si="143">IF(U214="-","-",ROUND(U214*$T$216,2))</f>
        <v>1695.1</v>
      </c>
      <c r="V238" s="37">
        <f t="shared" si="143"/>
        <v>1791.24</v>
      </c>
      <c r="W238" s="37">
        <f t="shared" si="143"/>
        <v>1862.08</v>
      </c>
      <c r="X238" s="37">
        <f t="shared" si="143"/>
        <v>1943.04</v>
      </c>
      <c r="Y238" s="37">
        <f t="shared" si="143"/>
        <v>2024</v>
      </c>
      <c r="Z238" s="37">
        <f t="shared" si="143"/>
        <v>2104.96</v>
      </c>
    </row>
    <row r="240" spans="2:26">
      <c r="B240" s="172" t="s">
        <v>140</v>
      </c>
      <c r="T240" s="172" t="s">
        <v>140</v>
      </c>
      <c r="U240" s="171" t="s">
        <v>149</v>
      </c>
    </row>
    <row r="241" spans="1:26">
      <c r="A241" s="155" t="s">
        <v>151</v>
      </c>
      <c r="B241" s="75">
        <v>2011</v>
      </c>
      <c r="C241" s="75" t="str">
        <f t="shared" ref="C241:H241" si="144">C169</f>
        <v>Stufe 1</v>
      </c>
      <c r="D241" s="75" t="str">
        <f t="shared" si="144"/>
        <v>Stufe 2</v>
      </c>
      <c r="E241" s="75" t="str">
        <f t="shared" si="144"/>
        <v>Stufe 3</v>
      </c>
      <c r="F241" s="75" t="str">
        <f t="shared" si="144"/>
        <v>Stufe 4</v>
      </c>
      <c r="G241" s="75" t="str">
        <f t="shared" si="144"/>
        <v>Stufe 5</v>
      </c>
      <c r="H241" s="75" t="str">
        <f t="shared" si="144"/>
        <v>Stufe 6</v>
      </c>
      <c r="S241" s="155" t="s">
        <v>151</v>
      </c>
      <c r="T241" s="75">
        <v>2011</v>
      </c>
      <c r="U241" s="75" t="str">
        <f t="shared" ref="U241:Z241" si="145">C1</f>
        <v>Stufe 1</v>
      </c>
      <c r="V241" s="75" t="str">
        <f t="shared" si="145"/>
        <v>Stufe 2</v>
      </c>
      <c r="W241" s="75" t="str">
        <f t="shared" si="145"/>
        <v>Stufe 3</v>
      </c>
      <c r="X241" s="75" t="str">
        <f t="shared" si="145"/>
        <v>Stufe 4</v>
      </c>
      <c r="Y241" s="75" t="str">
        <f t="shared" si="145"/>
        <v>Stufe 5</v>
      </c>
      <c r="Z241" s="75" t="str">
        <f t="shared" si="145"/>
        <v>Stufe 6</v>
      </c>
    </row>
    <row r="242" spans="1:26">
      <c r="B242" s="75" t="str">
        <f>B170</f>
        <v>15Ü</v>
      </c>
      <c r="C242" s="37" t="str">
        <f t="shared" ref="C242:H242" si="146">IF(C218="-","-",ROUND(C218*$B$240,2))</f>
        <v>-</v>
      </c>
      <c r="D242" s="37">
        <f t="shared" si="146"/>
        <v>4726.12</v>
      </c>
      <c r="E242" s="37">
        <f t="shared" si="146"/>
        <v>5238.6499999999996</v>
      </c>
      <c r="F242" s="37">
        <f t="shared" si="146"/>
        <v>5724.21</v>
      </c>
      <c r="G242" s="37">
        <f t="shared" si="146"/>
        <v>6047.93</v>
      </c>
      <c r="H242" s="37">
        <f t="shared" si="146"/>
        <v>6123.46</v>
      </c>
      <c r="T242" s="75" t="s">
        <v>167</v>
      </c>
      <c r="U242" s="37">
        <f t="shared" ref="U242:Z251" si="147">IF(U218="-","-",ROUND(U218*$T$240,2))</f>
        <v>3054.22</v>
      </c>
      <c r="V242" s="37">
        <f t="shared" si="147"/>
        <v>3156.02</v>
      </c>
      <c r="W242" s="37">
        <f t="shared" si="147"/>
        <v>3563.25</v>
      </c>
      <c r="X242" s="37">
        <f t="shared" si="147"/>
        <v>3868.67</v>
      </c>
      <c r="Y242" s="37">
        <f t="shared" si="147"/>
        <v>4326.8100000000004</v>
      </c>
      <c r="Z242" s="37">
        <f t="shared" si="147"/>
        <v>4606.78</v>
      </c>
    </row>
    <row r="243" spans="1:26">
      <c r="B243" s="75">
        <f t="shared" ref="B243:B258" si="148">B171</f>
        <v>15</v>
      </c>
      <c r="C243" s="37">
        <f t="shared" ref="C243:H258" si="149">IF(C219="-","-",ROUND(C219*$B$240,2))</f>
        <v>3705.35</v>
      </c>
      <c r="D243" s="37">
        <f t="shared" si="149"/>
        <v>4111.08</v>
      </c>
      <c r="E243" s="37">
        <f t="shared" si="149"/>
        <v>4262.1400000000003</v>
      </c>
      <c r="F243" s="37">
        <f t="shared" si="149"/>
        <v>4801.6499999999996</v>
      </c>
      <c r="G243" s="37">
        <f t="shared" si="149"/>
        <v>5211.67</v>
      </c>
      <c r="H243" s="37">
        <f t="shared" si="149"/>
        <v>5481.43</v>
      </c>
      <c r="T243" s="75" t="s">
        <v>166</v>
      </c>
      <c r="U243" s="37">
        <f t="shared" si="147"/>
        <v>2748.79</v>
      </c>
      <c r="V243" s="37">
        <f t="shared" si="147"/>
        <v>3028.76</v>
      </c>
      <c r="W243" s="37">
        <f t="shared" si="147"/>
        <v>3359.64</v>
      </c>
      <c r="X243" s="37">
        <f t="shared" si="147"/>
        <v>3563.25</v>
      </c>
      <c r="Y243" s="37">
        <f t="shared" si="147"/>
        <v>3970.48</v>
      </c>
      <c r="Z243" s="37">
        <f t="shared" si="147"/>
        <v>4209.7299999999996</v>
      </c>
    </row>
    <row r="244" spans="1:26">
      <c r="B244" s="75">
        <f t="shared" si="148"/>
        <v>14</v>
      </c>
      <c r="C244" s="37">
        <f t="shared" si="149"/>
        <v>3355.75</v>
      </c>
      <c r="D244" s="37">
        <f t="shared" si="149"/>
        <v>3722.62</v>
      </c>
      <c r="E244" s="37">
        <f t="shared" si="149"/>
        <v>3938.43</v>
      </c>
      <c r="F244" s="37">
        <f t="shared" si="149"/>
        <v>4262.1400000000003</v>
      </c>
      <c r="G244" s="37">
        <f t="shared" si="149"/>
        <v>4758.49</v>
      </c>
      <c r="H244" s="37">
        <f t="shared" si="149"/>
        <v>5028.24</v>
      </c>
      <c r="T244" s="75" t="s">
        <v>165</v>
      </c>
      <c r="U244" s="37" t="str">
        <f t="shared" si="147"/>
        <v>-</v>
      </c>
      <c r="V244" s="37" t="str">
        <f t="shared" si="147"/>
        <v>-</v>
      </c>
      <c r="W244" s="37">
        <f t="shared" si="147"/>
        <v>3303.64</v>
      </c>
      <c r="X244" s="37">
        <f t="shared" si="147"/>
        <v>3665.06</v>
      </c>
      <c r="Y244" s="37">
        <f t="shared" si="147"/>
        <v>3889.04</v>
      </c>
      <c r="Z244" s="37" t="str">
        <f t="shared" si="147"/>
        <v>-</v>
      </c>
    </row>
    <row r="245" spans="1:26">
      <c r="B245" s="75">
        <f t="shared" si="148"/>
        <v>13</v>
      </c>
      <c r="C245" s="37">
        <f t="shared" si="149"/>
        <v>3093.55</v>
      </c>
      <c r="D245" s="37">
        <f t="shared" si="149"/>
        <v>3431.28</v>
      </c>
      <c r="E245" s="37">
        <f t="shared" si="149"/>
        <v>3614.73</v>
      </c>
      <c r="F245" s="37">
        <f t="shared" si="149"/>
        <v>3970.79</v>
      </c>
      <c r="G245" s="37">
        <f t="shared" si="149"/>
        <v>4467.1400000000003</v>
      </c>
      <c r="H245" s="37">
        <f t="shared" si="149"/>
        <v>4672.17</v>
      </c>
      <c r="T245" s="75" t="s">
        <v>164</v>
      </c>
      <c r="U245" s="37">
        <f t="shared" si="147"/>
        <v>2677.53</v>
      </c>
      <c r="V245" s="37">
        <f t="shared" si="147"/>
        <v>2962.59</v>
      </c>
      <c r="W245" s="37">
        <f t="shared" si="147"/>
        <v>3186.57</v>
      </c>
      <c r="X245" s="37">
        <f t="shared" si="147"/>
        <v>3461.44</v>
      </c>
      <c r="Y245" s="37">
        <f t="shared" si="147"/>
        <v>3766.87</v>
      </c>
      <c r="Z245" s="37">
        <f t="shared" si="147"/>
        <v>3950.12</v>
      </c>
    </row>
    <row r="246" spans="1:26">
      <c r="B246" s="75">
        <f t="shared" si="148"/>
        <v>12</v>
      </c>
      <c r="C246" s="37">
        <f t="shared" si="149"/>
        <v>2773.09</v>
      </c>
      <c r="D246" s="37">
        <f t="shared" si="149"/>
        <v>3075.21</v>
      </c>
      <c r="E246" s="37">
        <f t="shared" si="149"/>
        <v>3506.82</v>
      </c>
      <c r="F246" s="37">
        <f t="shared" si="149"/>
        <v>3884.48</v>
      </c>
      <c r="G246" s="37">
        <f t="shared" si="149"/>
        <v>4370.04</v>
      </c>
      <c r="H246" s="37">
        <f t="shared" si="149"/>
        <v>4585.84</v>
      </c>
      <c r="T246" s="75" t="s">
        <v>163</v>
      </c>
      <c r="U246" s="37">
        <f t="shared" si="147"/>
        <v>2575.7199999999998</v>
      </c>
      <c r="V246" s="37">
        <f t="shared" si="147"/>
        <v>2850.6</v>
      </c>
      <c r="W246" s="37">
        <f t="shared" si="147"/>
        <v>3054.22</v>
      </c>
      <c r="X246" s="37">
        <f t="shared" si="147"/>
        <v>3288.37</v>
      </c>
      <c r="Y246" s="37">
        <f t="shared" si="147"/>
        <v>3665.06</v>
      </c>
      <c r="Z246" s="37">
        <f t="shared" si="147"/>
        <v>3827.95</v>
      </c>
    </row>
    <row r="247" spans="1:26">
      <c r="B247" s="75">
        <f t="shared" si="148"/>
        <v>11</v>
      </c>
      <c r="C247" s="37">
        <f t="shared" si="149"/>
        <v>2675.97</v>
      </c>
      <c r="D247" s="37">
        <f t="shared" si="149"/>
        <v>2967.32</v>
      </c>
      <c r="E247" s="37">
        <f t="shared" si="149"/>
        <v>3183.11</v>
      </c>
      <c r="F247" s="37">
        <f t="shared" si="149"/>
        <v>3506.82</v>
      </c>
      <c r="G247" s="37">
        <f t="shared" si="149"/>
        <v>3976.2</v>
      </c>
      <c r="H247" s="37">
        <f t="shared" si="149"/>
        <v>4192</v>
      </c>
      <c r="T247" s="75" t="s">
        <v>162</v>
      </c>
      <c r="U247" s="37">
        <f t="shared" si="147"/>
        <v>2545.1799999999998</v>
      </c>
      <c r="V247" s="37">
        <f t="shared" si="147"/>
        <v>2748.79</v>
      </c>
      <c r="W247" s="37">
        <f t="shared" si="147"/>
        <v>3003.31</v>
      </c>
      <c r="X247" s="37">
        <f t="shared" si="147"/>
        <v>3206.93</v>
      </c>
      <c r="Y247" s="37">
        <f t="shared" si="147"/>
        <v>3461.44</v>
      </c>
      <c r="Z247" s="37">
        <f t="shared" si="147"/>
        <v>3639.61</v>
      </c>
    </row>
    <row r="248" spans="1:26">
      <c r="B248" s="75">
        <f t="shared" si="148"/>
        <v>10</v>
      </c>
      <c r="C248" s="37">
        <f t="shared" si="149"/>
        <v>2578.86</v>
      </c>
      <c r="D248" s="37">
        <f t="shared" si="149"/>
        <v>2859.4</v>
      </c>
      <c r="E248" s="37">
        <f t="shared" si="149"/>
        <v>3075.21</v>
      </c>
      <c r="F248" s="37">
        <f t="shared" si="149"/>
        <v>3291.02</v>
      </c>
      <c r="G248" s="37">
        <f t="shared" si="149"/>
        <v>3701.04</v>
      </c>
      <c r="H248" s="37">
        <f t="shared" si="149"/>
        <v>3798.16</v>
      </c>
      <c r="T248" s="75" t="s">
        <v>161</v>
      </c>
      <c r="U248" s="37">
        <f t="shared" si="147"/>
        <v>2588.0700000000002</v>
      </c>
      <c r="V248" s="37">
        <f t="shared" si="147"/>
        <v>2791.68</v>
      </c>
      <c r="W248" s="37">
        <f t="shared" si="147"/>
        <v>3046.2</v>
      </c>
      <c r="X248" s="37">
        <f t="shared" si="147"/>
        <v>3249.81</v>
      </c>
      <c r="Y248" s="37">
        <f t="shared" si="147"/>
        <v>3504.33</v>
      </c>
      <c r="Z248" s="37">
        <f t="shared" si="147"/>
        <v>3631.59</v>
      </c>
    </row>
    <row r="249" spans="1:26">
      <c r="B249" s="75">
        <f t="shared" si="148"/>
        <v>9</v>
      </c>
      <c r="C249" s="37">
        <f t="shared" si="149"/>
        <v>2277.8200000000002</v>
      </c>
      <c r="D249" s="37">
        <f t="shared" si="149"/>
        <v>2524.91</v>
      </c>
      <c r="E249" s="37">
        <f t="shared" si="149"/>
        <v>2654.4</v>
      </c>
      <c r="F249" s="37">
        <f t="shared" si="149"/>
        <v>2999.68</v>
      </c>
      <c r="G249" s="37">
        <f t="shared" si="149"/>
        <v>3269.44</v>
      </c>
      <c r="H249" s="37">
        <f t="shared" si="149"/>
        <v>3485.24</v>
      </c>
      <c r="T249" s="75" t="s">
        <v>160</v>
      </c>
      <c r="U249" s="37">
        <f t="shared" si="147"/>
        <v>2545.1799999999998</v>
      </c>
      <c r="V249" s="37">
        <f t="shared" si="147"/>
        <v>2748.79</v>
      </c>
      <c r="W249" s="37">
        <f t="shared" si="147"/>
        <v>3003.31</v>
      </c>
      <c r="X249" s="37">
        <f t="shared" si="147"/>
        <v>3206.93</v>
      </c>
      <c r="Y249" s="37">
        <f t="shared" si="147"/>
        <v>3461.44</v>
      </c>
      <c r="Z249" s="37">
        <f t="shared" si="147"/>
        <v>3588.7</v>
      </c>
    </row>
    <row r="250" spans="1:26">
      <c r="B250" s="75">
        <f t="shared" si="148"/>
        <v>8</v>
      </c>
      <c r="C250" s="37">
        <f t="shared" si="149"/>
        <v>2132.15</v>
      </c>
      <c r="D250" s="37">
        <f t="shared" si="149"/>
        <v>2363.0500000000002</v>
      </c>
      <c r="E250" s="37">
        <f t="shared" si="149"/>
        <v>2470.9699999999998</v>
      </c>
      <c r="F250" s="37">
        <f t="shared" si="149"/>
        <v>2568.08</v>
      </c>
      <c r="G250" s="37">
        <f t="shared" si="149"/>
        <v>2675.97</v>
      </c>
      <c r="H250" s="37">
        <f t="shared" si="149"/>
        <v>2743.95</v>
      </c>
      <c r="T250" s="75" t="s">
        <v>159</v>
      </c>
      <c r="U250" s="37">
        <f t="shared" si="147"/>
        <v>2486.2600000000002</v>
      </c>
      <c r="V250" s="37">
        <f t="shared" si="147"/>
        <v>2740.78</v>
      </c>
      <c r="W250" s="37">
        <f t="shared" si="147"/>
        <v>2985.11</v>
      </c>
      <c r="X250" s="37">
        <f t="shared" si="147"/>
        <v>3198.91</v>
      </c>
      <c r="Y250" s="37">
        <f t="shared" si="147"/>
        <v>3463.61</v>
      </c>
      <c r="Z250" s="37">
        <f t="shared" si="147"/>
        <v>3575.6</v>
      </c>
    </row>
    <row r="251" spans="1:26">
      <c r="B251" s="75">
        <f t="shared" si="148"/>
        <v>7</v>
      </c>
      <c r="C251" s="37">
        <f t="shared" si="149"/>
        <v>1996.2</v>
      </c>
      <c r="D251" s="37">
        <f t="shared" si="149"/>
        <v>2211.9899999999998</v>
      </c>
      <c r="E251" s="37">
        <f t="shared" si="149"/>
        <v>2352.27</v>
      </c>
      <c r="F251" s="37">
        <f t="shared" si="149"/>
        <v>2460.17</v>
      </c>
      <c r="G251" s="37">
        <f t="shared" si="149"/>
        <v>2541.1</v>
      </c>
      <c r="H251" s="37">
        <f t="shared" si="149"/>
        <v>2616.64</v>
      </c>
      <c r="T251" s="75" t="s">
        <v>158</v>
      </c>
      <c r="U251" s="37">
        <f t="shared" si="147"/>
        <v>2443.37</v>
      </c>
      <c r="V251" s="37">
        <f t="shared" si="147"/>
        <v>2697.89</v>
      </c>
      <c r="W251" s="37">
        <f t="shared" si="147"/>
        <v>2942.23</v>
      </c>
      <c r="X251" s="37">
        <f t="shared" si="147"/>
        <v>3156.02</v>
      </c>
      <c r="Y251" s="37">
        <f t="shared" si="147"/>
        <v>3420.72</v>
      </c>
      <c r="Z251" s="37">
        <f t="shared" si="147"/>
        <v>3532.71</v>
      </c>
    </row>
    <row r="252" spans="1:26">
      <c r="B252" s="75">
        <f t="shared" si="148"/>
        <v>6</v>
      </c>
      <c r="C252" s="37">
        <f t="shared" si="149"/>
        <v>1957.34</v>
      </c>
      <c r="D252" s="37">
        <f t="shared" si="149"/>
        <v>2168.83</v>
      </c>
      <c r="E252" s="37">
        <f t="shared" si="149"/>
        <v>2276.7399999999998</v>
      </c>
      <c r="F252" s="37">
        <f t="shared" si="149"/>
        <v>2379.2399999999998</v>
      </c>
      <c r="G252" s="37">
        <f t="shared" si="149"/>
        <v>2449.38</v>
      </c>
      <c r="H252" s="37">
        <f t="shared" si="149"/>
        <v>2519.5300000000002</v>
      </c>
      <c r="T252" s="75" t="s">
        <v>157</v>
      </c>
      <c r="U252" s="37">
        <f t="shared" ref="U252:Z261" si="150">IF(U228="-","-",ROUND(U228*$T$240,2))</f>
        <v>2395.1799999999998</v>
      </c>
      <c r="V252" s="37">
        <f t="shared" si="150"/>
        <v>2700.6</v>
      </c>
      <c r="W252" s="37">
        <f t="shared" si="150"/>
        <v>2832.95</v>
      </c>
      <c r="X252" s="37">
        <f t="shared" si="150"/>
        <v>3158.73</v>
      </c>
      <c r="Y252" s="37">
        <f t="shared" si="150"/>
        <v>3413.25</v>
      </c>
      <c r="Z252" s="37">
        <f t="shared" si="150"/>
        <v>3565.96</v>
      </c>
    </row>
    <row r="253" spans="1:26">
      <c r="B253" s="75">
        <f t="shared" si="148"/>
        <v>5</v>
      </c>
      <c r="C253" s="37">
        <f t="shared" si="149"/>
        <v>1875.33</v>
      </c>
      <c r="D253" s="37">
        <f t="shared" si="149"/>
        <v>2077.12</v>
      </c>
      <c r="E253" s="37">
        <f t="shared" si="149"/>
        <v>2179.62</v>
      </c>
      <c r="F253" s="37">
        <f t="shared" si="149"/>
        <v>2282.14</v>
      </c>
      <c r="G253" s="37">
        <f t="shared" si="149"/>
        <v>2357.67</v>
      </c>
      <c r="H253" s="37">
        <f t="shared" si="149"/>
        <v>2411.62</v>
      </c>
      <c r="T253" s="75" t="s">
        <v>156</v>
      </c>
      <c r="U253" s="37">
        <f t="shared" si="150"/>
        <v>2341.5700000000002</v>
      </c>
      <c r="V253" s="37">
        <f t="shared" si="150"/>
        <v>2646.99</v>
      </c>
      <c r="W253" s="37">
        <f t="shared" si="150"/>
        <v>2779.34</v>
      </c>
      <c r="X253" s="37">
        <f t="shared" si="150"/>
        <v>3105.12</v>
      </c>
      <c r="Y253" s="37">
        <f t="shared" si="150"/>
        <v>3359.64</v>
      </c>
      <c r="Z253" s="37">
        <f t="shared" si="150"/>
        <v>3512.35</v>
      </c>
    </row>
    <row r="254" spans="1:26">
      <c r="B254" s="75">
        <f t="shared" si="148"/>
        <v>4</v>
      </c>
      <c r="C254" s="37">
        <f t="shared" si="149"/>
        <v>1782.54</v>
      </c>
      <c r="D254" s="37">
        <f t="shared" si="149"/>
        <v>1974.61</v>
      </c>
      <c r="E254" s="37">
        <f t="shared" si="149"/>
        <v>2104.09</v>
      </c>
      <c r="F254" s="37">
        <f t="shared" si="149"/>
        <v>2179.62</v>
      </c>
      <c r="G254" s="37">
        <f t="shared" si="149"/>
        <v>2255.15</v>
      </c>
      <c r="H254" s="37">
        <f t="shared" si="149"/>
        <v>2299.39</v>
      </c>
      <c r="T254" s="75" t="s">
        <v>155</v>
      </c>
      <c r="U254" s="37">
        <f t="shared" si="150"/>
        <v>2280.48</v>
      </c>
      <c r="V254" s="37">
        <f t="shared" si="150"/>
        <v>2524.8200000000002</v>
      </c>
      <c r="W254" s="37">
        <f t="shared" si="150"/>
        <v>2646.99</v>
      </c>
      <c r="X254" s="37">
        <f t="shared" si="150"/>
        <v>3003.31</v>
      </c>
      <c r="Y254" s="37">
        <f t="shared" si="150"/>
        <v>3288.37</v>
      </c>
      <c r="Z254" s="37">
        <f t="shared" si="150"/>
        <v>3522.53</v>
      </c>
    </row>
    <row r="255" spans="1:26">
      <c r="B255" s="75">
        <f t="shared" si="148"/>
        <v>3</v>
      </c>
      <c r="C255" s="37">
        <f t="shared" si="149"/>
        <v>1753.42</v>
      </c>
      <c r="D255" s="37">
        <f t="shared" si="149"/>
        <v>1942.23</v>
      </c>
      <c r="E255" s="37">
        <f t="shared" si="149"/>
        <v>1996.2</v>
      </c>
      <c r="F255" s="37">
        <f t="shared" si="149"/>
        <v>2082.52</v>
      </c>
      <c r="G255" s="37">
        <f t="shared" si="149"/>
        <v>2147.2600000000002</v>
      </c>
      <c r="H255" s="37">
        <f t="shared" si="149"/>
        <v>2206.61</v>
      </c>
      <c r="T255" s="75" t="s">
        <v>141</v>
      </c>
      <c r="U255" s="37">
        <f t="shared" si="150"/>
        <v>2270.3000000000002</v>
      </c>
      <c r="V255" s="37">
        <f t="shared" si="150"/>
        <v>2443.37</v>
      </c>
      <c r="W255" s="37">
        <f t="shared" si="150"/>
        <v>2596.08</v>
      </c>
      <c r="X255" s="37">
        <f t="shared" si="150"/>
        <v>2876.05</v>
      </c>
      <c r="Y255" s="37">
        <f t="shared" si="150"/>
        <v>3105.12</v>
      </c>
      <c r="Z255" s="37">
        <f t="shared" si="150"/>
        <v>3324.01</v>
      </c>
    </row>
    <row r="256" spans="1:26">
      <c r="B256" s="75" t="str">
        <f t="shared" si="148"/>
        <v>2Ü</v>
      </c>
      <c r="C256" s="37">
        <f t="shared" si="149"/>
        <v>1675.71</v>
      </c>
      <c r="D256" s="37">
        <f t="shared" si="149"/>
        <v>1855.92</v>
      </c>
      <c r="E256" s="37">
        <f t="shared" si="149"/>
        <v>1920.67</v>
      </c>
      <c r="F256" s="37">
        <f t="shared" si="149"/>
        <v>2006.98</v>
      </c>
      <c r="G256" s="37">
        <f t="shared" si="149"/>
        <v>2066.33</v>
      </c>
      <c r="H256" s="37">
        <f t="shared" si="149"/>
        <v>2110.58</v>
      </c>
      <c r="T256" s="75" t="s">
        <v>142</v>
      </c>
      <c r="U256" s="37">
        <f t="shared" si="150"/>
        <v>2178.67</v>
      </c>
      <c r="V256" s="37">
        <f t="shared" si="150"/>
        <v>2341.5700000000002</v>
      </c>
      <c r="W256" s="37">
        <f t="shared" si="150"/>
        <v>2545.1799999999998</v>
      </c>
      <c r="X256" s="37">
        <f t="shared" si="150"/>
        <v>2835.33</v>
      </c>
      <c r="Y256" s="37">
        <f t="shared" si="150"/>
        <v>3100.03</v>
      </c>
      <c r="Z256" s="37">
        <f t="shared" si="150"/>
        <v>3308.73</v>
      </c>
    </row>
    <row r="257" spans="1:26">
      <c r="B257" s="75">
        <f t="shared" si="148"/>
        <v>2</v>
      </c>
      <c r="C257" s="37">
        <f t="shared" si="149"/>
        <v>1617.45</v>
      </c>
      <c r="D257" s="37">
        <f t="shared" si="149"/>
        <v>1791.17</v>
      </c>
      <c r="E257" s="37">
        <f t="shared" si="149"/>
        <v>1845.12</v>
      </c>
      <c r="F257" s="37">
        <f t="shared" si="149"/>
        <v>1899.08</v>
      </c>
      <c r="G257" s="37">
        <f t="shared" si="149"/>
        <v>2017.76</v>
      </c>
      <c r="H257" s="37">
        <f t="shared" si="149"/>
        <v>2141.86</v>
      </c>
      <c r="T257" s="75" t="s">
        <v>143</v>
      </c>
      <c r="U257" s="37">
        <f t="shared" si="150"/>
        <v>2112.5</v>
      </c>
      <c r="V257" s="37">
        <f t="shared" si="150"/>
        <v>2316.11</v>
      </c>
      <c r="W257" s="37">
        <f t="shared" si="150"/>
        <v>2479.0100000000002</v>
      </c>
      <c r="X257" s="37">
        <f t="shared" si="150"/>
        <v>2641.9</v>
      </c>
      <c r="Y257" s="37">
        <f t="shared" si="150"/>
        <v>2764.07</v>
      </c>
      <c r="Z257" s="37">
        <f t="shared" si="150"/>
        <v>2942.23</v>
      </c>
    </row>
    <row r="258" spans="1:26">
      <c r="B258" s="75">
        <f t="shared" si="148"/>
        <v>1</v>
      </c>
      <c r="C258" s="37" t="str">
        <f t="shared" si="149"/>
        <v>-</v>
      </c>
      <c r="D258" s="37">
        <f t="shared" si="149"/>
        <v>1441.58</v>
      </c>
      <c r="E258" s="37">
        <f t="shared" si="149"/>
        <v>1467.47</v>
      </c>
      <c r="F258" s="37">
        <f t="shared" si="149"/>
        <v>1499.85</v>
      </c>
      <c r="G258" s="37">
        <f t="shared" si="149"/>
        <v>1530.05</v>
      </c>
      <c r="H258" s="37">
        <f t="shared" si="149"/>
        <v>1607.74</v>
      </c>
      <c r="T258" s="75" t="s">
        <v>144</v>
      </c>
      <c r="U258" s="37">
        <f t="shared" si="150"/>
        <v>2076.87</v>
      </c>
      <c r="V258" s="37">
        <f t="shared" si="150"/>
        <v>2280.48</v>
      </c>
      <c r="W258" s="37">
        <f t="shared" si="150"/>
        <v>2443.37</v>
      </c>
      <c r="X258" s="37">
        <f t="shared" si="150"/>
        <v>2606.2600000000002</v>
      </c>
      <c r="Y258" s="37">
        <f t="shared" si="150"/>
        <v>2753.88</v>
      </c>
      <c r="Z258" s="37">
        <f t="shared" si="150"/>
        <v>2915.76</v>
      </c>
    </row>
    <row r="259" spans="1:26">
      <c r="T259" s="75" t="s">
        <v>145</v>
      </c>
      <c r="U259" s="37">
        <f t="shared" si="150"/>
        <v>2076.87</v>
      </c>
      <c r="V259" s="37">
        <f t="shared" si="150"/>
        <v>2280.48</v>
      </c>
      <c r="W259" s="37">
        <f t="shared" si="150"/>
        <v>2433.19</v>
      </c>
      <c r="X259" s="37">
        <f t="shared" si="150"/>
        <v>2514.64</v>
      </c>
      <c r="Y259" s="37">
        <f t="shared" si="150"/>
        <v>2626.63</v>
      </c>
      <c r="Z259" s="37">
        <f t="shared" si="150"/>
        <v>2820.06</v>
      </c>
    </row>
    <row r="260" spans="1:26">
      <c r="T260" s="75" t="s">
        <v>146</v>
      </c>
      <c r="U260" s="37">
        <f t="shared" si="150"/>
        <v>1883.43</v>
      </c>
      <c r="V260" s="37">
        <f t="shared" si="150"/>
        <v>2137.9499999999998</v>
      </c>
      <c r="W260" s="37">
        <f t="shared" si="150"/>
        <v>2270.3000000000002</v>
      </c>
      <c r="X260" s="37">
        <f t="shared" si="150"/>
        <v>2382.29</v>
      </c>
      <c r="Y260" s="37">
        <f t="shared" si="150"/>
        <v>2453.5500000000002</v>
      </c>
      <c r="Z260" s="37">
        <f t="shared" si="150"/>
        <v>2545.1799999999998</v>
      </c>
    </row>
    <row r="261" spans="1:26">
      <c r="T261" s="75" t="s">
        <v>147</v>
      </c>
      <c r="U261" s="37">
        <f t="shared" si="150"/>
        <v>1781.63</v>
      </c>
      <c r="V261" s="37">
        <f t="shared" si="150"/>
        <v>1995.42</v>
      </c>
      <c r="W261" s="37">
        <f t="shared" si="150"/>
        <v>2137.9499999999998</v>
      </c>
      <c r="X261" s="37">
        <f t="shared" si="150"/>
        <v>2280.48</v>
      </c>
      <c r="Y261" s="37">
        <f t="shared" si="150"/>
        <v>2321.1999999999998</v>
      </c>
      <c r="Z261" s="37">
        <f t="shared" si="150"/>
        <v>2361.9299999999998</v>
      </c>
    </row>
    <row r="262" spans="1:26">
      <c r="T262" s="75" t="s">
        <v>148</v>
      </c>
      <c r="U262" s="37">
        <f t="shared" ref="U262:Z262" si="151">IF(U238="-","-",ROUND(U238*$T$240,2))</f>
        <v>1705.27</v>
      </c>
      <c r="V262" s="37">
        <f t="shared" si="151"/>
        <v>1801.99</v>
      </c>
      <c r="W262" s="37">
        <f t="shared" si="151"/>
        <v>1873.25</v>
      </c>
      <c r="X262" s="37">
        <f t="shared" si="151"/>
        <v>1954.7</v>
      </c>
      <c r="Y262" s="37">
        <f t="shared" si="151"/>
        <v>2036.14</v>
      </c>
      <c r="Z262" s="37">
        <f t="shared" si="151"/>
        <v>2117.59</v>
      </c>
    </row>
    <row r="264" spans="1:26">
      <c r="B264" s="172" t="s">
        <v>150</v>
      </c>
      <c r="T264" s="172" t="s">
        <v>150</v>
      </c>
      <c r="U264" s="171" t="s">
        <v>149</v>
      </c>
    </row>
    <row r="265" spans="1:26">
      <c r="A265" s="155" t="s">
        <v>152</v>
      </c>
      <c r="B265" s="75">
        <v>2011</v>
      </c>
      <c r="C265" s="75" t="str">
        <f t="shared" ref="C265:H265" si="152">C193</f>
        <v>Stufe 1</v>
      </c>
      <c r="D265" s="75" t="str">
        <f t="shared" si="152"/>
        <v>Stufe 2</v>
      </c>
      <c r="E265" s="75" t="str">
        <f t="shared" si="152"/>
        <v>Stufe 3</v>
      </c>
      <c r="F265" s="75" t="str">
        <f t="shared" si="152"/>
        <v>Stufe 4</v>
      </c>
      <c r="G265" s="75" t="str">
        <f t="shared" si="152"/>
        <v>Stufe 5</v>
      </c>
      <c r="H265" s="75" t="str">
        <f t="shared" si="152"/>
        <v>Stufe 6</v>
      </c>
      <c r="S265" s="155" t="s">
        <v>152</v>
      </c>
      <c r="T265" s="75">
        <v>2011</v>
      </c>
      <c r="U265" s="75" t="str">
        <f t="shared" ref="U265:Z265" si="153">C1</f>
        <v>Stufe 1</v>
      </c>
      <c r="V265" s="75" t="str">
        <f t="shared" si="153"/>
        <v>Stufe 2</v>
      </c>
      <c r="W265" s="75" t="str">
        <f t="shared" si="153"/>
        <v>Stufe 3</v>
      </c>
      <c r="X265" s="75" t="str">
        <f t="shared" si="153"/>
        <v>Stufe 4</v>
      </c>
      <c r="Y265" s="75" t="str">
        <f t="shared" si="153"/>
        <v>Stufe 5</v>
      </c>
      <c r="Z265" s="75" t="str">
        <f t="shared" si="153"/>
        <v>Stufe 6</v>
      </c>
    </row>
    <row r="266" spans="1:26">
      <c r="B266" s="75" t="str">
        <f>B194</f>
        <v>15Ü</v>
      </c>
      <c r="C266" s="37" t="str">
        <f t="shared" ref="C266:H266" si="154">IF(C242="-","-",ROUND(C242*$B$264,2))</f>
        <v>-</v>
      </c>
      <c r="D266" s="37">
        <f t="shared" si="154"/>
        <v>4749.75</v>
      </c>
      <c r="E266" s="37">
        <f t="shared" si="154"/>
        <v>5264.84</v>
      </c>
      <c r="F266" s="37">
        <f t="shared" si="154"/>
        <v>5752.83</v>
      </c>
      <c r="G266" s="37">
        <f t="shared" si="154"/>
        <v>6078.17</v>
      </c>
      <c r="H266" s="37">
        <f t="shared" si="154"/>
        <v>6154.08</v>
      </c>
      <c r="T266" s="75" t="s">
        <v>167</v>
      </c>
      <c r="U266" s="37">
        <f t="shared" ref="U266:Z275" si="155">IF(U242="-","-",ROUND(U242*$T$264,2))</f>
        <v>3069.49</v>
      </c>
      <c r="V266" s="37">
        <f t="shared" si="155"/>
        <v>3171.8</v>
      </c>
      <c r="W266" s="37">
        <f t="shared" si="155"/>
        <v>3581.07</v>
      </c>
      <c r="X266" s="37">
        <f t="shared" si="155"/>
        <v>3888.01</v>
      </c>
      <c r="Y266" s="37">
        <f t="shared" si="155"/>
        <v>4348.4399999999996</v>
      </c>
      <c r="Z266" s="37">
        <f t="shared" si="155"/>
        <v>4629.8100000000004</v>
      </c>
    </row>
    <row r="267" spans="1:26">
      <c r="B267" s="75">
        <f t="shared" ref="B267:B282" si="156">B195</f>
        <v>15</v>
      </c>
      <c r="C267" s="37">
        <f t="shared" ref="C267:H267" si="157">IF(C243="-","-",ROUND(C243*$B$264,2))</f>
        <v>3723.88</v>
      </c>
      <c r="D267" s="37">
        <f t="shared" si="157"/>
        <v>4131.6400000000003</v>
      </c>
      <c r="E267" s="37">
        <f t="shared" si="157"/>
        <v>4283.45</v>
      </c>
      <c r="F267" s="37">
        <f t="shared" si="157"/>
        <v>4825.66</v>
      </c>
      <c r="G267" s="37">
        <f t="shared" si="157"/>
        <v>5237.7299999999996</v>
      </c>
      <c r="H267" s="37">
        <f t="shared" si="157"/>
        <v>5508.84</v>
      </c>
      <c r="T267" s="75" t="s">
        <v>166</v>
      </c>
      <c r="U267" s="37">
        <f t="shared" si="155"/>
        <v>2762.53</v>
      </c>
      <c r="V267" s="37">
        <f t="shared" si="155"/>
        <v>3043.9</v>
      </c>
      <c r="W267" s="37">
        <f t="shared" si="155"/>
        <v>3376.44</v>
      </c>
      <c r="X267" s="37">
        <f t="shared" si="155"/>
        <v>3581.07</v>
      </c>
      <c r="Y267" s="37">
        <f t="shared" si="155"/>
        <v>3990.33</v>
      </c>
      <c r="Z267" s="37">
        <f t="shared" si="155"/>
        <v>4230.78</v>
      </c>
    </row>
    <row r="268" spans="1:26">
      <c r="B268" s="75">
        <f t="shared" si="156"/>
        <v>14</v>
      </c>
      <c r="C268" s="37">
        <f t="shared" ref="C268:H268" si="158">IF(C244="-","-",ROUND(C244*$B$264,2))</f>
        <v>3372.53</v>
      </c>
      <c r="D268" s="37">
        <f t="shared" si="158"/>
        <v>3741.23</v>
      </c>
      <c r="E268" s="37">
        <f t="shared" si="158"/>
        <v>3958.12</v>
      </c>
      <c r="F268" s="37">
        <f t="shared" si="158"/>
        <v>4283.45</v>
      </c>
      <c r="G268" s="37">
        <f t="shared" si="158"/>
        <v>4782.28</v>
      </c>
      <c r="H268" s="37">
        <f t="shared" si="158"/>
        <v>5053.38</v>
      </c>
      <c r="T268" s="75" t="s">
        <v>165</v>
      </c>
      <c r="U268" s="37" t="str">
        <f t="shared" si="155"/>
        <v>-</v>
      </c>
      <c r="V268" s="37" t="str">
        <f t="shared" si="155"/>
        <v>-</v>
      </c>
      <c r="W268" s="37">
        <f t="shared" si="155"/>
        <v>3320.16</v>
      </c>
      <c r="X268" s="37">
        <f t="shared" si="155"/>
        <v>3683.39</v>
      </c>
      <c r="Y268" s="37">
        <f t="shared" si="155"/>
        <v>3908.49</v>
      </c>
      <c r="Z268" s="37" t="str">
        <f t="shared" si="155"/>
        <v>-</v>
      </c>
    </row>
    <row r="269" spans="1:26">
      <c r="B269" s="75">
        <f t="shared" si="156"/>
        <v>13</v>
      </c>
      <c r="C269" s="37">
        <f t="shared" ref="C269:H269" si="159">IF(C245="-","-",ROUND(C245*$B$264,2))</f>
        <v>3109.02</v>
      </c>
      <c r="D269" s="37">
        <f t="shared" si="159"/>
        <v>3448.44</v>
      </c>
      <c r="E269" s="37">
        <f t="shared" si="159"/>
        <v>3632.8</v>
      </c>
      <c r="F269" s="37">
        <f t="shared" si="159"/>
        <v>3990.64</v>
      </c>
      <c r="G269" s="37">
        <f t="shared" si="159"/>
        <v>4489.4799999999996</v>
      </c>
      <c r="H269" s="37">
        <f t="shared" si="159"/>
        <v>4695.53</v>
      </c>
      <c r="T269" s="75" t="s">
        <v>164</v>
      </c>
      <c r="U269" s="37">
        <f t="shared" si="155"/>
        <v>2690.92</v>
      </c>
      <c r="V269" s="37">
        <f t="shared" si="155"/>
        <v>2977.4</v>
      </c>
      <c r="W269" s="37">
        <f t="shared" si="155"/>
        <v>3202.5</v>
      </c>
      <c r="X269" s="37">
        <f t="shared" si="155"/>
        <v>3478.75</v>
      </c>
      <c r="Y269" s="37">
        <f t="shared" si="155"/>
        <v>3785.7</v>
      </c>
      <c r="Z269" s="37">
        <f t="shared" si="155"/>
        <v>3969.87</v>
      </c>
    </row>
    <row r="270" spans="1:26">
      <c r="B270" s="75">
        <f t="shared" si="156"/>
        <v>12</v>
      </c>
      <c r="C270" s="37">
        <f t="shared" ref="C270:H270" si="160">IF(C246="-","-",ROUND(C246*$B$264,2))</f>
        <v>2786.96</v>
      </c>
      <c r="D270" s="37">
        <f t="shared" si="160"/>
        <v>3090.59</v>
      </c>
      <c r="E270" s="37">
        <f t="shared" si="160"/>
        <v>3524.35</v>
      </c>
      <c r="F270" s="37">
        <f t="shared" si="160"/>
        <v>3903.9</v>
      </c>
      <c r="G270" s="37">
        <f t="shared" si="160"/>
        <v>4391.8900000000003</v>
      </c>
      <c r="H270" s="37">
        <f t="shared" si="160"/>
        <v>4608.7700000000004</v>
      </c>
      <c r="T270" s="75" t="s">
        <v>163</v>
      </c>
      <c r="U270" s="37">
        <f t="shared" si="155"/>
        <v>2588.6</v>
      </c>
      <c r="V270" s="37">
        <f t="shared" si="155"/>
        <v>2864.85</v>
      </c>
      <c r="W270" s="37">
        <f t="shared" si="155"/>
        <v>3069.49</v>
      </c>
      <c r="X270" s="37">
        <f t="shared" si="155"/>
        <v>3304.81</v>
      </c>
      <c r="Y270" s="37">
        <f t="shared" si="155"/>
        <v>3683.39</v>
      </c>
      <c r="Z270" s="37">
        <f t="shared" si="155"/>
        <v>3847.09</v>
      </c>
    </row>
    <row r="271" spans="1:26">
      <c r="B271" s="75">
        <f t="shared" si="156"/>
        <v>11</v>
      </c>
      <c r="C271" s="37">
        <f t="shared" ref="C271:H271" si="161">IF(C247="-","-",ROUND(C247*$B$264,2))</f>
        <v>2689.35</v>
      </c>
      <c r="D271" s="37">
        <f t="shared" si="161"/>
        <v>2982.16</v>
      </c>
      <c r="E271" s="37">
        <f t="shared" si="161"/>
        <v>3199.03</v>
      </c>
      <c r="F271" s="37">
        <f t="shared" si="161"/>
        <v>3524.35</v>
      </c>
      <c r="G271" s="37">
        <f t="shared" si="161"/>
        <v>3996.08</v>
      </c>
      <c r="H271" s="37">
        <f t="shared" si="161"/>
        <v>4212.96</v>
      </c>
      <c r="T271" s="75" t="s">
        <v>162</v>
      </c>
      <c r="U271" s="37">
        <f t="shared" si="155"/>
        <v>2557.91</v>
      </c>
      <c r="V271" s="37">
        <f t="shared" si="155"/>
        <v>2762.53</v>
      </c>
      <c r="W271" s="37">
        <f t="shared" si="155"/>
        <v>3018.33</v>
      </c>
      <c r="X271" s="37">
        <f t="shared" si="155"/>
        <v>3222.96</v>
      </c>
      <c r="Y271" s="37">
        <f t="shared" si="155"/>
        <v>3478.75</v>
      </c>
      <c r="Z271" s="37">
        <f t="shared" si="155"/>
        <v>3657.81</v>
      </c>
    </row>
    <row r="272" spans="1:26">
      <c r="B272" s="75">
        <f t="shared" si="156"/>
        <v>10</v>
      </c>
      <c r="C272" s="37">
        <f t="shared" ref="C272:H272" si="162">IF(C248="-","-",ROUND(C248*$B$264,2))</f>
        <v>2591.75</v>
      </c>
      <c r="D272" s="37">
        <f t="shared" si="162"/>
        <v>2873.7</v>
      </c>
      <c r="E272" s="37">
        <f t="shared" si="162"/>
        <v>3090.59</v>
      </c>
      <c r="F272" s="37">
        <f t="shared" si="162"/>
        <v>3307.48</v>
      </c>
      <c r="G272" s="37">
        <f t="shared" si="162"/>
        <v>3719.55</v>
      </c>
      <c r="H272" s="37">
        <f t="shared" si="162"/>
        <v>3817.15</v>
      </c>
      <c r="T272" s="75" t="s">
        <v>161</v>
      </c>
      <c r="U272" s="37">
        <f t="shared" si="155"/>
        <v>2601.0100000000002</v>
      </c>
      <c r="V272" s="37">
        <f t="shared" si="155"/>
        <v>2805.64</v>
      </c>
      <c r="W272" s="37">
        <f t="shared" si="155"/>
        <v>3061.43</v>
      </c>
      <c r="X272" s="37">
        <f t="shared" si="155"/>
        <v>3266.06</v>
      </c>
      <c r="Y272" s="37">
        <f t="shared" si="155"/>
        <v>3521.85</v>
      </c>
      <c r="Z272" s="37">
        <f t="shared" si="155"/>
        <v>3649.75</v>
      </c>
    </row>
    <row r="273" spans="2:26">
      <c r="B273" s="75">
        <f t="shared" si="156"/>
        <v>9</v>
      </c>
      <c r="C273" s="37">
        <f t="shared" ref="C273:H273" si="163">IF(C249="-","-",ROUND(C249*$B$264,2))</f>
        <v>2289.21</v>
      </c>
      <c r="D273" s="37">
        <f t="shared" si="163"/>
        <v>2537.5300000000002</v>
      </c>
      <c r="E273" s="37">
        <f t="shared" si="163"/>
        <v>2667.67</v>
      </c>
      <c r="F273" s="37">
        <f t="shared" si="163"/>
        <v>3014.68</v>
      </c>
      <c r="G273" s="37">
        <f t="shared" si="163"/>
        <v>3285.79</v>
      </c>
      <c r="H273" s="37">
        <f t="shared" si="163"/>
        <v>3502.67</v>
      </c>
      <c r="T273" s="75" t="s">
        <v>160</v>
      </c>
      <c r="U273" s="37">
        <f t="shared" si="155"/>
        <v>2557.91</v>
      </c>
      <c r="V273" s="37">
        <f t="shared" si="155"/>
        <v>2762.53</v>
      </c>
      <c r="W273" s="37">
        <f t="shared" si="155"/>
        <v>3018.33</v>
      </c>
      <c r="X273" s="37">
        <f t="shared" si="155"/>
        <v>3222.96</v>
      </c>
      <c r="Y273" s="37">
        <f t="shared" si="155"/>
        <v>3478.75</v>
      </c>
      <c r="Z273" s="37">
        <f t="shared" si="155"/>
        <v>3606.64</v>
      </c>
    </row>
    <row r="274" spans="2:26">
      <c r="B274" s="75">
        <f t="shared" si="156"/>
        <v>8</v>
      </c>
      <c r="C274" s="37">
        <f t="shared" ref="C274:H274" si="164">IF(C250="-","-",ROUND(C250*$B$264,2))</f>
        <v>2142.81</v>
      </c>
      <c r="D274" s="37">
        <f t="shared" si="164"/>
        <v>2374.87</v>
      </c>
      <c r="E274" s="37">
        <f t="shared" si="164"/>
        <v>2483.3200000000002</v>
      </c>
      <c r="F274" s="37">
        <f t="shared" si="164"/>
        <v>2580.92</v>
      </c>
      <c r="G274" s="37">
        <f t="shared" si="164"/>
        <v>2689.35</v>
      </c>
      <c r="H274" s="37">
        <f t="shared" si="164"/>
        <v>2757.67</v>
      </c>
      <c r="T274" s="75" t="s">
        <v>159</v>
      </c>
      <c r="U274" s="37">
        <f t="shared" si="155"/>
        <v>2498.69</v>
      </c>
      <c r="V274" s="37">
        <f t="shared" si="155"/>
        <v>2754.48</v>
      </c>
      <c r="W274" s="37">
        <f t="shared" si="155"/>
        <v>3000.04</v>
      </c>
      <c r="X274" s="37">
        <f t="shared" si="155"/>
        <v>3214.9</v>
      </c>
      <c r="Y274" s="37">
        <f t="shared" si="155"/>
        <v>3480.93</v>
      </c>
      <c r="Z274" s="37">
        <f t="shared" si="155"/>
        <v>3593.48</v>
      </c>
    </row>
    <row r="275" spans="2:26">
      <c r="B275" s="75">
        <f t="shared" si="156"/>
        <v>7</v>
      </c>
      <c r="C275" s="37">
        <f t="shared" ref="C275:H275" si="165">IF(C251="-","-",ROUND(C251*$B$264,2))</f>
        <v>2006.18</v>
      </c>
      <c r="D275" s="37">
        <f t="shared" si="165"/>
        <v>2223.0500000000002</v>
      </c>
      <c r="E275" s="37">
        <f t="shared" si="165"/>
        <v>2364.0300000000002</v>
      </c>
      <c r="F275" s="37">
        <f t="shared" si="165"/>
        <v>2472.4699999999998</v>
      </c>
      <c r="G275" s="37">
        <f t="shared" si="165"/>
        <v>2553.81</v>
      </c>
      <c r="H275" s="37">
        <f t="shared" si="165"/>
        <v>2629.72</v>
      </c>
      <c r="T275" s="75" t="s">
        <v>158</v>
      </c>
      <c r="U275" s="37">
        <f t="shared" si="155"/>
        <v>2455.59</v>
      </c>
      <c r="V275" s="37">
        <f t="shared" si="155"/>
        <v>2711.38</v>
      </c>
      <c r="W275" s="37">
        <f t="shared" si="155"/>
        <v>2956.94</v>
      </c>
      <c r="X275" s="37">
        <f t="shared" si="155"/>
        <v>3171.8</v>
      </c>
      <c r="Y275" s="37">
        <f t="shared" si="155"/>
        <v>3437.82</v>
      </c>
      <c r="Z275" s="37">
        <f t="shared" si="155"/>
        <v>3550.37</v>
      </c>
    </row>
    <row r="276" spans="2:26">
      <c r="B276" s="75">
        <f t="shared" si="156"/>
        <v>6</v>
      </c>
      <c r="C276" s="37">
        <f t="shared" ref="C276:H276" si="166">IF(C252="-","-",ROUND(C252*$B$264,2))</f>
        <v>1967.13</v>
      </c>
      <c r="D276" s="37">
        <f t="shared" si="166"/>
        <v>2179.67</v>
      </c>
      <c r="E276" s="37">
        <f t="shared" si="166"/>
        <v>2288.12</v>
      </c>
      <c r="F276" s="37">
        <f t="shared" si="166"/>
        <v>2391.14</v>
      </c>
      <c r="G276" s="37">
        <f t="shared" si="166"/>
        <v>2461.63</v>
      </c>
      <c r="H276" s="37">
        <f t="shared" si="166"/>
        <v>2532.13</v>
      </c>
      <c r="T276" s="75" t="s">
        <v>157</v>
      </c>
      <c r="U276" s="37">
        <f t="shared" ref="U276:Z285" si="167">IF(U252="-","-",ROUND(U252*$T$264,2))</f>
        <v>2407.16</v>
      </c>
      <c r="V276" s="37">
        <f t="shared" si="167"/>
        <v>2714.1</v>
      </c>
      <c r="W276" s="37">
        <f t="shared" si="167"/>
        <v>2847.11</v>
      </c>
      <c r="X276" s="37">
        <f t="shared" si="167"/>
        <v>3174.52</v>
      </c>
      <c r="Y276" s="37">
        <f t="shared" si="167"/>
        <v>3430.32</v>
      </c>
      <c r="Z276" s="37">
        <f t="shared" si="167"/>
        <v>3583.79</v>
      </c>
    </row>
    <row r="277" spans="2:26">
      <c r="B277" s="75">
        <f t="shared" si="156"/>
        <v>5</v>
      </c>
      <c r="C277" s="37">
        <f t="shared" ref="C277:H277" si="168">IF(C253="-","-",ROUND(C253*$B$264,2))</f>
        <v>1884.71</v>
      </c>
      <c r="D277" s="37">
        <f t="shared" si="168"/>
        <v>2087.5100000000002</v>
      </c>
      <c r="E277" s="37">
        <f t="shared" si="168"/>
        <v>2190.52</v>
      </c>
      <c r="F277" s="37">
        <f t="shared" si="168"/>
        <v>2293.5500000000002</v>
      </c>
      <c r="G277" s="37">
        <f t="shared" si="168"/>
        <v>2369.46</v>
      </c>
      <c r="H277" s="37">
        <f t="shared" si="168"/>
        <v>2423.6799999999998</v>
      </c>
      <c r="T277" s="75" t="s">
        <v>156</v>
      </c>
      <c r="U277" s="37">
        <f t="shared" si="167"/>
        <v>2353.2800000000002</v>
      </c>
      <c r="V277" s="37">
        <f t="shared" si="167"/>
        <v>2660.22</v>
      </c>
      <c r="W277" s="37">
        <f t="shared" si="167"/>
        <v>2793.24</v>
      </c>
      <c r="X277" s="37">
        <f t="shared" si="167"/>
        <v>3120.65</v>
      </c>
      <c r="Y277" s="37">
        <f t="shared" si="167"/>
        <v>3376.44</v>
      </c>
      <c r="Z277" s="37">
        <f t="shared" si="167"/>
        <v>3529.91</v>
      </c>
    </row>
    <row r="278" spans="2:26">
      <c r="B278" s="75">
        <f t="shared" si="156"/>
        <v>4</v>
      </c>
      <c r="C278" s="37">
        <f t="shared" ref="C278:H278" si="169">IF(C254="-","-",ROUND(C254*$B$264,2))</f>
        <v>1791.45</v>
      </c>
      <c r="D278" s="37">
        <f t="shared" si="169"/>
        <v>1984.48</v>
      </c>
      <c r="E278" s="37">
        <f t="shared" si="169"/>
        <v>2114.61</v>
      </c>
      <c r="F278" s="37">
        <f t="shared" si="169"/>
        <v>2190.52</v>
      </c>
      <c r="G278" s="37">
        <f t="shared" si="169"/>
        <v>2266.4299999999998</v>
      </c>
      <c r="H278" s="37">
        <f t="shared" si="169"/>
        <v>2310.89</v>
      </c>
      <c r="T278" s="75" t="s">
        <v>155</v>
      </c>
      <c r="U278" s="37">
        <f t="shared" si="167"/>
        <v>2291.88</v>
      </c>
      <c r="V278" s="37">
        <f t="shared" si="167"/>
        <v>2537.44</v>
      </c>
      <c r="W278" s="37">
        <f t="shared" si="167"/>
        <v>2660.22</v>
      </c>
      <c r="X278" s="37">
        <f t="shared" si="167"/>
        <v>3018.33</v>
      </c>
      <c r="Y278" s="37">
        <f t="shared" si="167"/>
        <v>3304.81</v>
      </c>
      <c r="Z278" s="37">
        <f t="shared" si="167"/>
        <v>3540.14</v>
      </c>
    </row>
    <row r="279" spans="2:26">
      <c r="B279" s="75">
        <f t="shared" si="156"/>
        <v>3</v>
      </c>
      <c r="C279" s="37">
        <f t="shared" ref="C279:H279" si="170">IF(C255="-","-",ROUND(C255*$B$264,2))</f>
        <v>1762.19</v>
      </c>
      <c r="D279" s="37">
        <f t="shared" si="170"/>
        <v>1951.94</v>
      </c>
      <c r="E279" s="37">
        <f t="shared" si="170"/>
        <v>2006.18</v>
      </c>
      <c r="F279" s="37">
        <f t="shared" si="170"/>
        <v>2092.9299999999998</v>
      </c>
      <c r="G279" s="37">
        <f t="shared" si="170"/>
        <v>2158</v>
      </c>
      <c r="H279" s="37">
        <f t="shared" si="170"/>
        <v>2217.64</v>
      </c>
      <c r="T279" s="75" t="s">
        <v>141</v>
      </c>
      <c r="U279" s="37">
        <f t="shared" si="167"/>
        <v>2281.65</v>
      </c>
      <c r="V279" s="37">
        <f t="shared" si="167"/>
        <v>2455.59</v>
      </c>
      <c r="W279" s="37">
        <f t="shared" si="167"/>
        <v>2609.06</v>
      </c>
      <c r="X279" s="37">
        <f t="shared" si="167"/>
        <v>2890.43</v>
      </c>
      <c r="Y279" s="37">
        <f t="shared" si="167"/>
        <v>3120.65</v>
      </c>
      <c r="Z279" s="37">
        <f t="shared" si="167"/>
        <v>3340.63</v>
      </c>
    </row>
    <row r="280" spans="2:26">
      <c r="B280" s="75" t="str">
        <f t="shared" si="156"/>
        <v>2Ü</v>
      </c>
      <c r="C280" s="37">
        <f t="shared" ref="C280:H280" si="171">IF(C256="-","-",ROUND(C256*$B$264,2))</f>
        <v>1684.09</v>
      </c>
      <c r="D280" s="37">
        <f t="shared" si="171"/>
        <v>1865.2</v>
      </c>
      <c r="E280" s="37">
        <f t="shared" si="171"/>
        <v>1930.27</v>
      </c>
      <c r="F280" s="37">
        <f t="shared" si="171"/>
        <v>2017.01</v>
      </c>
      <c r="G280" s="37">
        <f t="shared" si="171"/>
        <v>2076.66</v>
      </c>
      <c r="H280" s="37">
        <f t="shared" si="171"/>
        <v>2121.13</v>
      </c>
      <c r="T280" s="75" t="s">
        <v>142</v>
      </c>
      <c r="U280" s="37">
        <f t="shared" si="167"/>
        <v>2189.56</v>
      </c>
      <c r="V280" s="37">
        <f t="shared" si="167"/>
        <v>2353.2800000000002</v>
      </c>
      <c r="W280" s="37">
        <f t="shared" si="167"/>
        <v>2557.91</v>
      </c>
      <c r="X280" s="37">
        <f t="shared" si="167"/>
        <v>2849.51</v>
      </c>
      <c r="Y280" s="37">
        <f t="shared" si="167"/>
        <v>3115.53</v>
      </c>
      <c r="Z280" s="37">
        <f t="shared" si="167"/>
        <v>3325.27</v>
      </c>
    </row>
    <row r="281" spans="2:26">
      <c r="B281" s="75">
        <f t="shared" si="156"/>
        <v>2</v>
      </c>
      <c r="C281" s="37">
        <f t="shared" ref="C281:H281" si="172">IF(C257="-","-",ROUND(C257*$B$264,2))</f>
        <v>1625.54</v>
      </c>
      <c r="D281" s="37">
        <f t="shared" si="172"/>
        <v>1800.13</v>
      </c>
      <c r="E281" s="37">
        <f t="shared" si="172"/>
        <v>1854.35</v>
      </c>
      <c r="F281" s="37">
        <f t="shared" si="172"/>
        <v>1908.58</v>
      </c>
      <c r="G281" s="37">
        <f t="shared" si="172"/>
        <v>2027.85</v>
      </c>
      <c r="H281" s="37">
        <f t="shared" si="172"/>
        <v>2152.5700000000002</v>
      </c>
      <c r="T281" s="75" t="s">
        <v>143</v>
      </c>
      <c r="U281" s="37">
        <f t="shared" si="167"/>
        <v>2123.06</v>
      </c>
      <c r="V281" s="37">
        <f t="shared" si="167"/>
        <v>2327.69</v>
      </c>
      <c r="W281" s="37">
        <f t="shared" si="167"/>
        <v>2491.41</v>
      </c>
      <c r="X281" s="37">
        <f t="shared" si="167"/>
        <v>2655.11</v>
      </c>
      <c r="Y281" s="37">
        <f t="shared" si="167"/>
        <v>2777.89</v>
      </c>
      <c r="Z281" s="37">
        <f t="shared" si="167"/>
        <v>2956.94</v>
      </c>
    </row>
    <row r="282" spans="2:26">
      <c r="B282" s="75">
        <f t="shared" si="156"/>
        <v>1</v>
      </c>
      <c r="C282" s="37" t="str">
        <f t="shared" ref="C282:H282" si="173">IF(C258="-","-",ROUND(C258*$B$264,2))</f>
        <v>-</v>
      </c>
      <c r="D282" s="37">
        <f t="shared" si="173"/>
        <v>1448.79</v>
      </c>
      <c r="E282" s="37">
        <f t="shared" si="173"/>
        <v>1474.81</v>
      </c>
      <c r="F282" s="37">
        <f t="shared" si="173"/>
        <v>1507.35</v>
      </c>
      <c r="G282" s="37">
        <f t="shared" si="173"/>
        <v>1537.7</v>
      </c>
      <c r="H282" s="37">
        <f t="shared" si="173"/>
        <v>1615.78</v>
      </c>
      <c r="T282" s="75" t="s">
        <v>144</v>
      </c>
      <c r="U282" s="37">
        <f t="shared" si="167"/>
        <v>2087.25</v>
      </c>
      <c r="V282" s="37">
        <f t="shared" si="167"/>
        <v>2291.88</v>
      </c>
      <c r="W282" s="37">
        <f t="shared" si="167"/>
        <v>2455.59</v>
      </c>
      <c r="X282" s="37">
        <f t="shared" si="167"/>
        <v>2619.29</v>
      </c>
      <c r="Y282" s="37">
        <f t="shared" si="167"/>
        <v>2767.65</v>
      </c>
      <c r="Z282" s="37">
        <f t="shared" si="167"/>
        <v>2930.34</v>
      </c>
    </row>
    <row r="283" spans="2:26">
      <c r="T283" s="75" t="s">
        <v>145</v>
      </c>
      <c r="U283" s="37">
        <f t="shared" si="167"/>
        <v>2087.25</v>
      </c>
      <c r="V283" s="37">
        <f t="shared" si="167"/>
        <v>2291.88</v>
      </c>
      <c r="W283" s="37">
        <f t="shared" si="167"/>
        <v>2445.36</v>
      </c>
      <c r="X283" s="37">
        <f t="shared" si="167"/>
        <v>2527.21</v>
      </c>
      <c r="Y283" s="37">
        <f t="shared" si="167"/>
        <v>2639.76</v>
      </c>
      <c r="Z283" s="37">
        <f t="shared" si="167"/>
        <v>2834.16</v>
      </c>
    </row>
    <row r="284" spans="2:26">
      <c r="T284" s="75" t="s">
        <v>146</v>
      </c>
      <c r="U284" s="37">
        <f t="shared" si="167"/>
        <v>1892.85</v>
      </c>
      <c r="V284" s="37">
        <f t="shared" si="167"/>
        <v>2148.64</v>
      </c>
      <c r="W284" s="37">
        <f t="shared" si="167"/>
        <v>2281.65</v>
      </c>
      <c r="X284" s="37">
        <f t="shared" si="167"/>
        <v>2394.1999999999998</v>
      </c>
      <c r="Y284" s="37">
        <f t="shared" si="167"/>
        <v>2465.8200000000002</v>
      </c>
      <c r="Z284" s="37">
        <f t="shared" si="167"/>
        <v>2557.91</v>
      </c>
    </row>
    <row r="285" spans="2:26">
      <c r="T285" s="75" t="s">
        <v>147</v>
      </c>
      <c r="U285" s="37">
        <f t="shared" si="167"/>
        <v>1790.54</v>
      </c>
      <c r="V285" s="37">
        <f t="shared" si="167"/>
        <v>2005.4</v>
      </c>
      <c r="W285" s="37">
        <f t="shared" si="167"/>
        <v>2148.64</v>
      </c>
      <c r="X285" s="37">
        <f t="shared" si="167"/>
        <v>2291.88</v>
      </c>
      <c r="Y285" s="37">
        <f t="shared" si="167"/>
        <v>2332.81</v>
      </c>
      <c r="Z285" s="37">
        <f t="shared" si="167"/>
        <v>2373.7399999999998</v>
      </c>
    </row>
    <row r="286" spans="2:26">
      <c r="T286" s="75" t="s">
        <v>148</v>
      </c>
      <c r="U286" s="37">
        <f t="shared" ref="U286:Z286" si="174">IF(U262="-","-",ROUND(U262*$T$264,2))</f>
        <v>1713.8</v>
      </c>
      <c r="V286" s="37">
        <f t="shared" si="174"/>
        <v>1811</v>
      </c>
      <c r="W286" s="37">
        <f t="shared" si="174"/>
        <v>1882.62</v>
      </c>
      <c r="X286" s="37">
        <f t="shared" si="174"/>
        <v>1964.47</v>
      </c>
      <c r="Y286" s="37">
        <f t="shared" si="174"/>
        <v>2046.32</v>
      </c>
      <c r="Z286" s="37">
        <f t="shared" si="174"/>
        <v>2128.1799999999998</v>
      </c>
    </row>
    <row r="288" spans="2:26">
      <c r="B288" s="172" t="s">
        <v>207</v>
      </c>
      <c r="T288" s="172" t="s">
        <v>207</v>
      </c>
      <c r="U288" s="171" t="s">
        <v>149</v>
      </c>
    </row>
    <row r="289" spans="1:26">
      <c r="A289" s="155" t="s">
        <v>206</v>
      </c>
      <c r="B289" s="75">
        <v>2012</v>
      </c>
      <c r="C289" s="75" t="str">
        <f t="shared" ref="C289:H289" si="175">C217</f>
        <v>Stufe 1</v>
      </c>
      <c r="D289" s="75" t="str">
        <f t="shared" si="175"/>
        <v>Stufe 2</v>
      </c>
      <c r="E289" s="75" t="str">
        <f t="shared" si="175"/>
        <v>Stufe 3</v>
      </c>
      <c r="F289" s="75" t="str">
        <f t="shared" si="175"/>
        <v>Stufe 4</v>
      </c>
      <c r="G289" s="75" t="str">
        <f t="shared" si="175"/>
        <v>Stufe 5</v>
      </c>
      <c r="H289" s="75" t="str">
        <f t="shared" si="175"/>
        <v>Stufe 6</v>
      </c>
      <c r="S289" s="155" t="s">
        <v>206</v>
      </c>
      <c r="T289" s="75">
        <v>2012</v>
      </c>
      <c r="U289" s="75" t="str">
        <f t="shared" ref="U289:Z289" si="176">C1</f>
        <v>Stufe 1</v>
      </c>
      <c r="V289" s="75" t="str">
        <f t="shared" si="176"/>
        <v>Stufe 2</v>
      </c>
      <c r="W289" s="75" t="str">
        <f t="shared" si="176"/>
        <v>Stufe 3</v>
      </c>
      <c r="X289" s="75" t="str">
        <f t="shared" si="176"/>
        <v>Stufe 4</v>
      </c>
      <c r="Y289" s="75" t="str">
        <f t="shared" si="176"/>
        <v>Stufe 5</v>
      </c>
      <c r="Z289" s="75" t="str">
        <f t="shared" si="176"/>
        <v>Stufe 6</v>
      </c>
    </row>
    <row r="290" spans="1:26">
      <c r="B290" s="75" t="str">
        <f>B218</f>
        <v>15Ü</v>
      </c>
      <c r="C290" s="37" t="str">
        <f t="shared" ref="C290:H290" si="177">IF(C266="-","-",ROUND(C266*$B$288,2))</f>
        <v>-</v>
      </c>
      <c r="D290" s="37">
        <f t="shared" si="177"/>
        <v>4915.99</v>
      </c>
      <c r="E290" s="37">
        <f t="shared" si="177"/>
        <v>5449.11</v>
      </c>
      <c r="F290" s="37">
        <f t="shared" si="177"/>
        <v>5954.18</v>
      </c>
      <c r="G290" s="37">
        <f t="shared" si="177"/>
        <v>6290.91</v>
      </c>
      <c r="H290" s="37">
        <f t="shared" si="177"/>
        <v>6369.47</v>
      </c>
      <c r="T290" s="75" t="s">
        <v>167</v>
      </c>
      <c r="U290" s="37">
        <f t="shared" ref="U290:Z299" si="178">IF(U266="-","-",ROUND(U266*$T$288,2))</f>
        <v>3176.92</v>
      </c>
      <c r="V290" s="37">
        <f t="shared" si="178"/>
        <v>3282.81</v>
      </c>
      <c r="W290" s="37">
        <f t="shared" si="178"/>
        <v>3706.41</v>
      </c>
      <c r="X290" s="37">
        <f t="shared" si="178"/>
        <v>4024.09</v>
      </c>
      <c r="Y290" s="37">
        <f t="shared" si="178"/>
        <v>4500.6400000000003</v>
      </c>
      <c r="Z290" s="37">
        <f t="shared" si="178"/>
        <v>4791.8500000000004</v>
      </c>
    </row>
    <row r="291" spans="1:26">
      <c r="B291" s="75">
        <f t="shared" ref="B291:B306" si="179">B219</f>
        <v>15</v>
      </c>
      <c r="C291" s="37">
        <f t="shared" ref="C291:H291" si="180">IF(C267="-","-",ROUND(C267*$B$288,2))</f>
        <v>3854.22</v>
      </c>
      <c r="D291" s="37">
        <f t="shared" si="180"/>
        <v>4276.25</v>
      </c>
      <c r="E291" s="37">
        <f t="shared" si="180"/>
        <v>4433.37</v>
      </c>
      <c r="F291" s="37">
        <f t="shared" si="180"/>
        <v>4994.5600000000004</v>
      </c>
      <c r="G291" s="37">
        <f t="shared" si="180"/>
        <v>5421.05</v>
      </c>
      <c r="H291" s="37">
        <f t="shared" si="180"/>
        <v>5701.65</v>
      </c>
      <c r="T291" s="75" t="s">
        <v>166</v>
      </c>
      <c r="U291" s="37">
        <f t="shared" si="178"/>
        <v>2859.22</v>
      </c>
      <c r="V291" s="37">
        <f t="shared" si="178"/>
        <v>3150.44</v>
      </c>
      <c r="W291" s="37">
        <f t="shared" si="178"/>
        <v>3494.62</v>
      </c>
      <c r="X291" s="37">
        <f t="shared" si="178"/>
        <v>3706.41</v>
      </c>
      <c r="Y291" s="37">
        <f t="shared" si="178"/>
        <v>4129.99</v>
      </c>
      <c r="Z291" s="37">
        <f t="shared" si="178"/>
        <v>4378.8599999999997</v>
      </c>
    </row>
    <row r="292" spans="1:26">
      <c r="B292" s="75">
        <f t="shared" si="179"/>
        <v>14</v>
      </c>
      <c r="C292" s="37">
        <f t="shared" ref="C292:H292" si="181">IF(C268="-","-",ROUND(C268*$B$288,2))</f>
        <v>3490.57</v>
      </c>
      <c r="D292" s="37">
        <f t="shared" si="181"/>
        <v>3872.17</v>
      </c>
      <c r="E292" s="37">
        <f t="shared" si="181"/>
        <v>4096.6499999999996</v>
      </c>
      <c r="F292" s="37">
        <f t="shared" si="181"/>
        <v>4433.37</v>
      </c>
      <c r="G292" s="37">
        <f t="shared" si="181"/>
        <v>4949.66</v>
      </c>
      <c r="H292" s="37">
        <f t="shared" si="181"/>
        <v>5230.25</v>
      </c>
      <c r="T292" s="75" t="s">
        <v>165</v>
      </c>
      <c r="U292" s="37" t="str">
        <f t="shared" si="178"/>
        <v>-</v>
      </c>
      <c r="V292" s="37" t="str">
        <f t="shared" si="178"/>
        <v>-</v>
      </c>
      <c r="W292" s="37">
        <f t="shared" si="178"/>
        <v>3436.37</v>
      </c>
      <c r="X292" s="37">
        <f t="shared" si="178"/>
        <v>3812.31</v>
      </c>
      <c r="Y292" s="37">
        <f t="shared" si="178"/>
        <v>4045.29</v>
      </c>
      <c r="Z292" s="37" t="str">
        <f t="shared" si="178"/>
        <v>-</v>
      </c>
    </row>
    <row r="293" spans="1:26">
      <c r="B293" s="75">
        <f t="shared" si="179"/>
        <v>13</v>
      </c>
      <c r="C293" s="37">
        <f t="shared" ref="C293:H293" si="182">IF(C269="-","-",ROUND(C269*$B$288,2))</f>
        <v>3217.84</v>
      </c>
      <c r="D293" s="37">
        <f t="shared" si="182"/>
        <v>3569.14</v>
      </c>
      <c r="E293" s="37">
        <f t="shared" si="182"/>
        <v>3759.95</v>
      </c>
      <c r="F293" s="37">
        <f t="shared" si="182"/>
        <v>4130.3100000000004</v>
      </c>
      <c r="G293" s="37">
        <f t="shared" si="182"/>
        <v>4646.6099999999997</v>
      </c>
      <c r="H293" s="37">
        <f t="shared" si="182"/>
        <v>4859.87</v>
      </c>
      <c r="T293" s="75" t="s">
        <v>164</v>
      </c>
      <c r="U293" s="37">
        <f t="shared" si="178"/>
        <v>2785.1</v>
      </c>
      <c r="V293" s="37">
        <f t="shared" si="178"/>
        <v>3081.61</v>
      </c>
      <c r="W293" s="37">
        <f t="shared" si="178"/>
        <v>3314.59</v>
      </c>
      <c r="X293" s="37">
        <f t="shared" si="178"/>
        <v>3600.51</v>
      </c>
      <c r="Y293" s="37">
        <f t="shared" si="178"/>
        <v>3918.2</v>
      </c>
      <c r="Z293" s="37">
        <f t="shared" si="178"/>
        <v>4108.82</v>
      </c>
    </row>
    <row r="294" spans="1:26">
      <c r="B294" s="75">
        <f t="shared" si="179"/>
        <v>12</v>
      </c>
      <c r="C294" s="37">
        <f t="shared" ref="C294:H294" si="183">IF(C270="-","-",ROUND(C270*$B$288,2))</f>
        <v>2884.5</v>
      </c>
      <c r="D294" s="37">
        <f t="shared" si="183"/>
        <v>3198.76</v>
      </c>
      <c r="E294" s="37">
        <f t="shared" si="183"/>
        <v>3647.7</v>
      </c>
      <c r="F294" s="37">
        <f t="shared" si="183"/>
        <v>4040.54</v>
      </c>
      <c r="G294" s="37">
        <f t="shared" si="183"/>
        <v>4545.6099999999997</v>
      </c>
      <c r="H294" s="37">
        <f t="shared" si="183"/>
        <v>4770.08</v>
      </c>
      <c r="T294" s="75" t="s">
        <v>163</v>
      </c>
      <c r="U294" s="37">
        <f t="shared" si="178"/>
        <v>2679.2</v>
      </c>
      <c r="V294" s="37">
        <f t="shared" si="178"/>
        <v>2965.12</v>
      </c>
      <c r="W294" s="37">
        <f t="shared" si="178"/>
        <v>3176.92</v>
      </c>
      <c r="X294" s="37">
        <f t="shared" si="178"/>
        <v>3420.48</v>
      </c>
      <c r="Y294" s="37">
        <f t="shared" si="178"/>
        <v>3812.31</v>
      </c>
      <c r="Z294" s="37">
        <f t="shared" si="178"/>
        <v>3981.74</v>
      </c>
    </row>
    <row r="295" spans="1:26">
      <c r="B295" s="75">
        <f t="shared" si="179"/>
        <v>11</v>
      </c>
      <c r="C295" s="37">
        <f t="shared" ref="C295:H295" si="184">IF(C271="-","-",ROUND(C271*$B$288,2))</f>
        <v>2783.48</v>
      </c>
      <c r="D295" s="37">
        <f t="shared" si="184"/>
        <v>3086.54</v>
      </c>
      <c r="E295" s="37">
        <f t="shared" si="184"/>
        <v>3311</v>
      </c>
      <c r="F295" s="37">
        <f t="shared" si="184"/>
        <v>3647.7</v>
      </c>
      <c r="G295" s="37">
        <f t="shared" si="184"/>
        <v>4135.9399999999996</v>
      </c>
      <c r="H295" s="37">
        <f t="shared" si="184"/>
        <v>4360.41</v>
      </c>
      <c r="T295" s="75" t="s">
        <v>162</v>
      </c>
      <c r="U295" s="37">
        <f t="shared" si="178"/>
        <v>2647.44</v>
      </c>
      <c r="V295" s="37">
        <f t="shared" si="178"/>
        <v>2859.22</v>
      </c>
      <c r="W295" s="37">
        <f t="shared" si="178"/>
        <v>3123.97</v>
      </c>
      <c r="X295" s="37">
        <f t="shared" si="178"/>
        <v>3335.76</v>
      </c>
      <c r="Y295" s="37">
        <f t="shared" si="178"/>
        <v>3600.51</v>
      </c>
      <c r="Z295" s="37">
        <f t="shared" si="178"/>
        <v>3785.83</v>
      </c>
    </row>
    <row r="296" spans="1:26">
      <c r="B296" s="75">
        <f t="shared" si="179"/>
        <v>10</v>
      </c>
      <c r="C296" s="37">
        <f t="shared" ref="C296:H296" si="185">IF(C272="-","-",ROUND(C272*$B$288,2))</f>
        <v>2682.46</v>
      </c>
      <c r="D296" s="37">
        <f t="shared" si="185"/>
        <v>2974.28</v>
      </c>
      <c r="E296" s="37">
        <f t="shared" si="185"/>
        <v>3198.76</v>
      </c>
      <c r="F296" s="37">
        <f t="shared" si="185"/>
        <v>3423.24</v>
      </c>
      <c r="G296" s="37">
        <f t="shared" si="185"/>
        <v>3849.73</v>
      </c>
      <c r="H296" s="37">
        <f t="shared" si="185"/>
        <v>3950.75</v>
      </c>
      <c r="T296" s="75" t="s">
        <v>161</v>
      </c>
      <c r="U296" s="37">
        <f t="shared" si="178"/>
        <v>2692.05</v>
      </c>
      <c r="V296" s="37">
        <f t="shared" si="178"/>
        <v>2903.84</v>
      </c>
      <c r="W296" s="37">
        <f t="shared" si="178"/>
        <v>3168.58</v>
      </c>
      <c r="X296" s="37">
        <f t="shared" si="178"/>
        <v>3380.37</v>
      </c>
      <c r="Y296" s="37">
        <f t="shared" si="178"/>
        <v>3645.11</v>
      </c>
      <c r="Z296" s="37">
        <f t="shared" si="178"/>
        <v>3777.49</v>
      </c>
    </row>
    <row r="297" spans="1:26">
      <c r="B297" s="75">
        <f t="shared" si="179"/>
        <v>9</v>
      </c>
      <c r="C297" s="37">
        <f t="shared" ref="C297:H297" si="186">IF(C273="-","-",ROUND(C273*$B$288,2))</f>
        <v>2369.33</v>
      </c>
      <c r="D297" s="37">
        <f t="shared" si="186"/>
        <v>2626.34</v>
      </c>
      <c r="E297" s="37">
        <f t="shared" si="186"/>
        <v>2761.04</v>
      </c>
      <c r="F297" s="37">
        <f t="shared" si="186"/>
        <v>3120.19</v>
      </c>
      <c r="G297" s="37">
        <f t="shared" si="186"/>
        <v>3400.79</v>
      </c>
      <c r="H297" s="37">
        <f t="shared" si="186"/>
        <v>3625.26</v>
      </c>
      <c r="J297" s="135" t="s">
        <v>284</v>
      </c>
      <c r="K297" s="37">
        <v>2600</v>
      </c>
      <c r="L297" s="37">
        <v>2830</v>
      </c>
      <c r="M297" s="37">
        <v>3100</v>
      </c>
      <c r="N297" s="37">
        <v>3300</v>
      </c>
      <c r="O297" s="37">
        <v>3600</v>
      </c>
      <c r="P297" s="37">
        <v>3730</v>
      </c>
      <c r="T297" s="75" t="s">
        <v>160</v>
      </c>
      <c r="U297" s="37">
        <f t="shared" si="178"/>
        <v>2647.44</v>
      </c>
      <c r="V297" s="37">
        <f t="shared" si="178"/>
        <v>2859.22</v>
      </c>
      <c r="W297" s="37">
        <f t="shared" si="178"/>
        <v>3123.97</v>
      </c>
      <c r="X297" s="37">
        <f t="shared" si="178"/>
        <v>3335.76</v>
      </c>
      <c r="Y297" s="37">
        <f t="shared" si="178"/>
        <v>3600.51</v>
      </c>
      <c r="Z297" s="37">
        <f t="shared" si="178"/>
        <v>3732.87</v>
      </c>
    </row>
    <row r="298" spans="1:26">
      <c r="B298" s="75">
        <f t="shared" si="179"/>
        <v>8</v>
      </c>
      <c r="C298" s="37">
        <f t="shared" ref="C298:H298" si="187">IF(C274="-","-",ROUND(C274*$B$288,2))</f>
        <v>2217.81</v>
      </c>
      <c r="D298" s="37">
        <f t="shared" si="187"/>
        <v>2457.9899999999998</v>
      </c>
      <c r="E298" s="37">
        <f t="shared" si="187"/>
        <v>2570.2399999999998</v>
      </c>
      <c r="F298" s="37">
        <f t="shared" si="187"/>
        <v>2671.25</v>
      </c>
      <c r="G298" s="37">
        <f t="shared" si="187"/>
        <v>2783.48</v>
      </c>
      <c r="H298" s="37">
        <f t="shared" si="187"/>
        <v>2854.19</v>
      </c>
      <c r="J298" s="135" t="s">
        <v>252</v>
      </c>
      <c r="K298" s="37">
        <v>2369.33</v>
      </c>
      <c r="L298" s="37">
        <v>2599.33</v>
      </c>
      <c r="M298" s="37">
        <v>2761.04</v>
      </c>
      <c r="N298" s="37">
        <v>3120.19</v>
      </c>
      <c r="O298" s="37">
        <v>3199.33</v>
      </c>
      <c r="P298" s="37">
        <v>3400.79</v>
      </c>
      <c r="T298" s="75" t="s">
        <v>159</v>
      </c>
      <c r="U298" s="37">
        <f t="shared" si="178"/>
        <v>2586.14</v>
      </c>
      <c r="V298" s="37">
        <f t="shared" si="178"/>
        <v>2850.89</v>
      </c>
      <c r="W298" s="37">
        <f t="shared" si="178"/>
        <v>3105.04</v>
      </c>
      <c r="X298" s="37">
        <f t="shared" si="178"/>
        <v>3327.42</v>
      </c>
      <c r="Y298" s="37">
        <f t="shared" si="178"/>
        <v>3602.76</v>
      </c>
      <c r="Z298" s="37">
        <f t="shared" si="178"/>
        <v>3719.25</v>
      </c>
    </row>
    <row r="299" spans="1:26">
      <c r="B299" s="75">
        <f t="shared" si="179"/>
        <v>7</v>
      </c>
      <c r="C299" s="37">
        <f t="shared" ref="C299:H299" si="188">IF(C275="-","-",ROUND(C275*$B$288,2))</f>
        <v>2076.4</v>
      </c>
      <c r="D299" s="37">
        <f t="shared" si="188"/>
        <v>2300.86</v>
      </c>
      <c r="E299" s="37">
        <f t="shared" si="188"/>
        <v>2446.77</v>
      </c>
      <c r="F299" s="37">
        <f t="shared" si="188"/>
        <v>2559.0100000000002</v>
      </c>
      <c r="G299" s="37">
        <f t="shared" si="188"/>
        <v>2643.19</v>
      </c>
      <c r="H299" s="37">
        <f t="shared" si="188"/>
        <v>2721.76</v>
      </c>
      <c r="K299" s="156"/>
      <c r="T299" s="75" t="s">
        <v>158</v>
      </c>
      <c r="U299" s="37">
        <f t="shared" si="178"/>
        <v>2541.54</v>
      </c>
      <c r="V299" s="37">
        <f t="shared" si="178"/>
        <v>2806.28</v>
      </c>
      <c r="W299" s="37">
        <f t="shared" si="178"/>
        <v>3060.43</v>
      </c>
      <c r="X299" s="37">
        <f t="shared" si="178"/>
        <v>3282.81</v>
      </c>
      <c r="Y299" s="37">
        <f t="shared" si="178"/>
        <v>3558.14</v>
      </c>
      <c r="Z299" s="37">
        <f t="shared" si="178"/>
        <v>3674.63</v>
      </c>
    </row>
    <row r="300" spans="1:26">
      <c r="B300" s="75">
        <f t="shared" si="179"/>
        <v>6</v>
      </c>
      <c r="C300" s="37">
        <f t="shared" ref="C300:H300" si="189">IF(C276="-","-",ROUND(C276*$B$288,2))</f>
        <v>2035.98</v>
      </c>
      <c r="D300" s="37">
        <f t="shared" si="189"/>
        <v>2255.96</v>
      </c>
      <c r="E300" s="37">
        <f t="shared" si="189"/>
        <v>2368.1999999999998</v>
      </c>
      <c r="F300" s="37">
        <f t="shared" si="189"/>
        <v>2474.83</v>
      </c>
      <c r="G300" s="37">
        <f t="shared" si="189"/>
        <v>2547.79</v>
      </c>
      <c r="H300" s="37">
        <f t="shared" si="189"/>
        <v>2620.75</v>
      </c>
      <c r="K300" s="156"/>
      <c r="T300" s="75" t="s">
        <v>157</v>
      </c>
      <c r="U300" s="37">
        <f t="shared" ref="U300:Z309" si="190">IF(U276="-","-",ROUND(U276*$T$288,2))</f>
        <v>2491.41</v>
      </c>
      <c r="V300" s="37">
        <f t="shared" si="190"/>
        <v>2809.09</v>
      </c>
      <c r="W300" s="37">
        <f t="shared" si="190"/>
        <v>2946.76</v>
      </c>
      <c r="X300" s="37">
        <f t="shared" si="190"/>
        <v>3285.63</v>
      </c>
      <c r="Y300" s="37">
        <f t="shared" si="190"/>
        <v>3550.38</v>
      </c>
      <c r="Z300" s="37">
        <f t="shared" si="190"/>
        <v>3709.22</v>
      </c>
    </row>
    <row r="301" spans="1:26">
      <c r="B301" s="75">
        <f t="shared" si="179"/>
        <v>5</v>
      </c>
      <c r="C301" s="37">
        <f t="shared" ref="C301:H301" si="191">IF(C277="-","-",ROUND(C277*$B$288,2))</f>
        <v>1950.67</v>
      </c>
      <c r="D301" s="37">
        <f t="shared" si="191"/>
        <v>2160.5700000000002</v>
      </c>
      <c r="E301" s="37">
        <f t="shared" si="191"/>
        <v>2267.19</v>
      </c>
      <c r="F301" s="37">
        <f t="shared" si="191"/>
        <v>2373.8200000000002</v>
      </c>
      <c r="G301" s="37">
        <f t="shared" si="191"/>
        <v>2452.39</v>
      </c>
      <c r="H301" s="37">
        <f t="shared" si="191"/>
        <v>2508.5100000000002</v>
      </c>
      <c r="K301" s="156"/>
      <c r="T301" s="75" t="s">
        <v>156</v>
      </c>
      <c r="U301" s="37">
        <f t="shared" si="190"/>
        <v>2435.64</v>
      </c>
      <c r="V301" s="37">
        <f t="shared" si="190"/>
        <v>2753.33</v>
      </c>
      <c r="W301" s="37">
        <f t="shared" si="190"/>
        <v>2891</v>
      </c>
      <c r="X301" s="37">
        <f t="shared" si="190"/>
        <v>3229.87</v>
      </c>
      <c r="Y301" s="37">
        <f t="shared" si="190"/>
        <v>3494.62</v>
      </c>
      <c r="Z301" s="37">
        <f t="shared" si="190"/>
        <v>3653.46</v>
      </c>
    </row>
    <row r="302" spans="1:26">
      <c r="B302" s="75">
        <f t="shared" si="179"/>
        <v>4</v>
      </c>
      <c r="C302" s="37">
        <f t="shared" ref="C302:H302" si="192">IF(C278="-","-",ROUND(C278*$B$288,2))</f>
        <v>1854.15</v>
      </c>
      <c r="D302" s="37">
        <f t="shared" si="192"/>
        <v>2053.94</v>
      </c>
      <c r="E302" s="37">
        <f t="shared" si="192"/>
        <v>2188.62</v>
      </c>
      <c r="F302" s="37">
        <f t="shared" si="192"/>
        <v>2267.19</v>
      </c>
      <c r="G302" s="37">
        <f t="shared" si="192"/>
        <v>2345.7600000000002</v>
      </c>
      <c r="H302" s="37">
        <f t="shared" si="192"/>
        <v>2391.77</v>
      </c>
      <c r="K302" s="156"/>
      <c r="T302" s="75" t="s">
        <v>155</v>
      </c>
      <c r="U302" s="37">
        <f t="shared" si="190"/>
        <v>2372.1</v>
      </c>
      <c r="V302" s="37">
        <f t="shared" si="190"/>
        <v>2626.25</v>
      </c>
      <c r="W302" s="37">
        <f t="shared" si="190"/>
        <v>2753.33</v>
      </c>
      <c r="X302" s="37">
        <f t="shared" si="190"/>
        <v>3123.97</v>
      </c>
      <c r="Y302" s="37">
        <f t="shared" si="190"/>
        <v>3420.48</v>
      </c>
      <c r="Z302" s="37">
        <f t="shared" si="190"/>
        <v>3664.04</v>
      </c>
    </row>
    <row r="303" spans="1:26">
      <c r="B303" s="75">
        <f t="shared" si="179"/>
        <v>3</v>
      </c>
      <c r="C303" s="37">
        <f t="shared" ref="C303:H303" si="193">IF(C279="-","-",ROUND(C279*$B$288,2))</f>
        <v>1823.87</v>
      </c>
      <c r="D303" s="37">
        <f t="shared" si="193"/>
        <v>2020.26</v>
      </c>
      <c r="E303" s="37">
        <f t="shared" si="193"/>
        <v>2076.4</v>
      </c>
      <c r="F303" s="37">
        <f t="shared" si="193"/>
        <v>2166.1799999999998</v>
      </c>
      <c r="G303" s="37">
        <f t="shared" si="193"/>
        <v>2233.5300000000002</v>
      </c>
      <c r="H303" s="37">
        <f t="shared" si="193"/>
        <v>2295.2600000000002</v>
      </c>
      <c r="T303" s="75" t="s">
        <v>141</v>
      </c>
      <c r="U303" s="37">
        <f t="shared" si="190"/>
        <v>2361.5100000000002</v>
      </c>
      <c r="V303" s="37">
        <f t="shared" si="190"/>
        <v>2541.54</v>
      </c>
      <c r="W303" s="37">
        <f t="shared" si="190"/>
        <v>2700.38</v>
      </c>
      <c r="X303" s="37">
        <f t="shared" si="190"/>
        <v>2991.6</v>
      </c>
      <c r="Y303" s="37">
        <f t="shared" si="190"/>
        <v>3229.87</v>
      </c>
      <c r="Z303" s="37">
        <f t="shared" si="190"/>
        <v>3457.55</v>
      </c>
    </row>
    <row r="304" spans="1:26">
      <c r="B304" s="75" t="str">
        <f t="shared" si="179"/>
        <v>2Ü</v>
      </c>
      <c r="C304" s="37">
        <f t="shared" ref="C304:H304" si="194">IF(C280="-","-",ROUND(C280*$B$288,2))</f>
        <v>1743.03</v>
      </c>
      <c r="D304" s="37">
        <f t="shared" si="194"/>
        <v>1930.48</v>
      </c>
      <c r="E304" s="37">
        <f t="shared" si="194"/>
        <v>1997.83</v>
      </c>
      <c r="F304" s="37">
        <f t="shared" si="194"/>
        <v>2087.61</v>
      </c>
      <c r="G304" s="37">
        <f t="shared" si="194"/>
        <v>2149.34</v>
      </c>
      <c r="H304" s="37">
        <f t="shared" si="194"/>
        <v>2195.37</v>
      </c>
      <c r="T304" s="75" t="s">
        <v>142</v>
      </c>
      <c r="U304" s="37">
        <f t="shared" si="190"/>
        <v>2266.19</v>
      </c>
      <c r="V304" s="37">
        <f t="shared" si="190"/>
        <v>2435.64</v>
      </c>
      <c r="W304" s="37">
        <f t="shared" si="190"/>
        <v>2647.44</v>
      </c>
      <c r="X304" s="37">
        <f t="shared" si="190"/>
        <v>2949.24</v>
      </c>
      <c r="Y304" s="37">
        <f t="shared" si="190"/>
        <v>3224.57</v>
      </c>
      <c r="Z304" s="37">
        <f t="shared" si="190"/>
        <v>3441.65</v>
      </c>
    </row>
    <row r="305" spans="1:26">
      <c r="B305" s="75">
        <f t="shared" si="179"/>
        <v>2</v>
      </c>
      <c r="C305" s="37">
        <f t="shared" ref="C305:H305" si="195">IF(C281="-","-",ROUND(C281*$B$288,2))</f>
        <v>1682.43</v>
      </c>
      <c r="D305" s="37">
        <f t="shared" si="195"/>
        <v>1863.13</v>
      </c>
      <c r="E305" s="37">
        <f t="shared" si="195"/>
        <v>1919.25</v>
      </c>
      <c r="F305" s="37">
        <f t="shared" si="195"/>
        <v>1975.38</v>
      </c>
      <c r="G305" s="37">
        <f t="shared" si="195"/>
        <v>2098.8200000000002</v>
      </c>
      <c r="H305" s="37">
        <f t="shared" si="195"/>
        <v>2227.91</v>
      </c>
      <c r="T305" s="75" t="s">
        <v>143</v>
      </c>
      <c r="U305" s="37">
        <f t="shared" si="190"/>
        <v>2197.37</v>
      </c>
      <c r="V305" s="37">
        <f t="shared" si="190"/>
        <v>2409.16</v>
      </c>
      <c r="W305" s="37">
        <f t="shared" si="190"/>
        <v>2578.61</v>
      </c>
      <c r="X305" s="37">
        <f t="shared" si="190"/>
        <v>2748.04</v>
      </c>
      <c r="Y305" s="37">
        <f t="shared" si="190"/>
        <v>2875.12</v>
      </c>
      <c r="Z305" s="37">
        <f t="shared" si="190"/>
        <v>3060.43</v>
      </c>
    </row>
    <row r="306" spans="1:26">
      <c r="B306" s="75">
        <f t="shared" si="179"/>
        <v>1</v>
      </c>
      <c r="C306" s="37" t="str">
        <f t="shared" ref="C306:H306" si="196">IF(C282="-","-",ROUND(C282*$B$288,2))</f>
        <v>-</v>
      </c>
      <c r="D306" s="37">
        <f t="shared" si="196"/>
        <v>1499.5</v>
      </c>
      <c r="E306" s="37">
        <f t="shared" si="196"/>
        <v>1526.43</v>
      </c>
      <c r="F306" s="37">
        <f t="shared" si="196"/>
        <v>1560.11</v>
      </c>
      <c r="G306" s="37">
        <f t="shared" si="196"/>
        <v>1591.52</v>
      </c>
      <c r="H306" s="37">
        <f t="shared" si="196"/>
        <v>1672.33</v>
      </c>
      <c r="T306" s="75" t="s">
        <v>144</v>
      </c>
      <c r="U306" s="37">
        <f t="shared" si="190"/>
        <v>2160.3000000000002</v>
      </c>
      <c r="V306" s="37">
        <f t="shared" si="190"/>
        <v>2372.1</v>
      </c>
      <c r="W306" s="37">
        <f t="shared" si="190"/>
        <v>2541.54</v>
      </c>
      <c r="X306" s="37">
        <f t="shared" si="190"/>
        <v>2710.97</v>
      </c>
      <c r="Y306" s="37">
        <f t="shared" si="190"/>
        <v>2864.52</v>
      </c>
      <c r="Z306" s="37">
        <f t="shared" si="190"/>
        <v>3032.9</v>
      </c>
    </row>
    <row r="307" spans="1:26">
      <c r="T307" s="75" t="s">
        <v>145</v>
      </c>
      <c r="U307" s="37">
        <f t="shared" si="190"/>
        <v>2160.3000000000002</v>
      </c>
      <c r="V307" s="37">
        <f t="shared" si="190"/>
        <v>2372.1</v>
      </c>
      <c r="W307" s="37">
        <f t="shared" si="190"/>
        <v>2530.9499999999998</v>
      </c>
      <c r="X307" s="37">
        <f t="shared" si="190"/>
        <v>2615.66</v>
      </c>
      <c r="Y307" s="37">
        <f t="shared" si="190"/>
        <v>2732.15</v>
      </c>
      <c r="Z307" s="37">
        <f t="shared" si="190"/>
        <v>2933.36</v>
      </c>
    </row>
    <row r="308" spans="1:26">
      <c r="T308" s="75" t="s">
        <v>146</v>
      </c>
      <c r="U308" s="37">
        <f t="shared" si="190"/>
        <v>1959.1</v>
      </c>
      <c r="V308" s="37">
        <f t="shared" si="190"/>
        <v>2223.84</v>
      </c>
      <c r="W308" s="37">
        <f t="shared" si="190"/>
        <v>2361.5100000000002</v>
      </c>
      <c r="X308" s="37">
        <f t="shared" si="190"/>
        <v>2478</v>
      </c>
      <c r="Y308" s="37">
        <f t="shared" si="190"/>
        <v>2552.12</v>
      </c>
      <c r="Z308" s="37">
        <f t="shared" si="190"/>
        <v>2647.44</v>
      </c>
    </row>
    <row r="309" spans="1:26">
      <c r="T309" s="75" t="s">
        <v>147</v>
      </c>
      <c r="U309" s="37">
        <f t="shared" si="190"/>
        <v>1853.21</v>
      </c>
      <c r="V309" s="37">
        <f t="shared" si="190"/>
        <v>2075.59</v>
      </c>
      <c r="W309" s="37">
        <f t="shared" si="190"/>
        <v>2223.84</v>
      </c>
      <c r="X309" s="37">
        <f t="shared" si="190"/>
        <v>2372.1</v>
      </c>
      <c r="Y309" s="37">
        <f t="shared" si="190"/>
        <v>2414.46</v>
      </c>
      <c r="Z309" s="37">
        <f t="shared" si="190"/>
        <v>2456.8200000000002</v>
      </c>
    </row>
    <row r="310" spans="1:26">
      <c r="T310" s="75" t="s">
        <v>148</v>
      </c>
      <c r="U310" s="37">
        <f t="shared" ref="U310:Z310" si="197">IF(U286="-","-",ROUND(U286*$T$288,2))</f>
        <v>1773.78</v>
      </c>
      <c r="V310" s="37">
        <f t="shared" si="197"/>
        <v>1874.39</v>
      </c>
      <c r="W310" s="37">
        <f t="shared" si="197"/>
        <v>1948.51</v>
      </c>
      <c r="X310" s="37">
        <f t="shared" si="197"/>
        <v>2033.23</v>
      </c>
      <c r="Y310" s="37">
        <f t="shared" si="197"/>
        <v>2117.94</v>
      </c>
      <c r="Z310" s="37">
        <f t="shared" si="197"/>
        <v>2202.67</v>
      </c>
    </row>
    <row r="312" spans="1:26">
      <c r="B312" s="172" t="s">
        <v>209</v>
      </c>
      <c r="T312" s="172" t="s">
        <v>209</v>
      </c>
      <c r="U312" s="171" t="s">
        <v>149</v>
      </c>
    </row>
    <row r="313" spans="1:26">
      <c r="A313" s="155" t="s">
        <v>208</v>
      </c>
      <c r="B313" s="75" t="s">
        <v>210</v>
      </c>
      <c r="C313" s="75" t="str">
        <f t="shared" ref="C313:H313" si="198">C241</f>
        <v>Stufe 1</v>
      </c>
      <c r="D313" s="75" t="str">
        <f t="shared" si="198"/>
        <v>Stufe 2</v>
      </c>
      <c r="E313" s="75" t="str">
        <f t="shared" si="198"/>
        <v>Stufe 3</v>
      </c>
      <c r="F313" s="75" t="str">
        <f t="shared" si="198"/>
        <v>Stufe 4</v>
      </c>
      <c r="G313" s="75" t="str">
        <f t="shared" si="198"/>
        <v>Stufe 5</v>
      </c>
      <c r="H313" s="75" t="str">
        <f t="shared" si="198"/>
        <v>Stufe 6</v>
      </c>
      <c r="S313" s="155" t="s">
        <v>208</v>
      </c>
      <c r="T313" s="75" t="s">
        <v>210</v>
      </c>
      <c r="U313" s="75" t="str">
        <f t="shared" ref="U313:Z313" si="199">C1</f>
        <v>Stufe 1</v>
      </c>
      <c r="V313" s="75" t="str">
        <f t="shared" si="199"/>
        <v>Stufe 2</v>
      </c>
      <c r="W313" s="75" t="str">
        <f t="shared" si="199"/>
        <v>Stufe 3</v>
      </c>
      <c r="X313" s="75" t="str">
        <f t="shared" si="199"/>
        <v>Stufe 4</v>
      </c>
      <c r="Y313" s="75" t="str">
        <f t="shared" si="199"/>
        <v>Stufe 5</v>
      </c>
      <c r="Z313" s="75" t="str">
        <f t="shared" si="199"/>
        <v>Stufe 6</v>
      </c>
    </row>
    <row r="314" spans="1:26">
      <c r="B314" s="75" t="str">
        <f>B242</f>
        <v>15Ü</v>
      </c>
      <c r="C314" s="37" t="str">
        <f t="shared" ref="C314:H314" si="200">IF(C290="-","-",ROUND(C290*$B$312,2))</f>
        <v>-</v>
      </c>
      <c r="D314" s="37">
        <f t="shared" si="200"/>
        <v>4984.8100000000004</v>
      </c>
      <c r="E314" s="37">
        <f t="shared" si="200"/>
        <v>5525.4</v>
      </c>
      <c r="F314" s="37">
        <f t="shared" si="200"/>
        <v>6037.54</v>
      </c>
      <c r="G314" s="37">
        <f t="shared" si="200"/>
        <v>6378.98</v>
      </c>
      <c r="H314" s="37">
        <f t="shared" si="200"/>
        <v>6458.64</v>
      </c>
      <c r="T314" s="75" t="s">
        <v>167</v>
      </c>
      <c r="U314" s="37">
        <f t="shared" ref="U314:Z323" si="201">IF(U290="-","-",ROUND(U290*$T$312,2))</f>
        <v>3221.4</v>
      </c>
      <c r="V314" s="37">
        <f t="shared" si="201"/>
        <v>3328.77</v>
      </c>
      <c r="W314" s="37">
        <f t="shared" si="201"/>
        <v>3758.3</v>
      </c>
      <c r="X314" s="37">
        <f t="shared" si="201"/>
        <v>4080.43</v>
      </c>
      <c r="Y314" s="37">
        <f t="shared" si="201"/>
        <v>4563.6499999999996</v>
      </c>
      <c r="Z314" s="37">
        <f t="shared" si="201"/>
        <v>4858.9399999999996</v>
      </c>
    </row>
    <row r="315" spans="1:26">
      <c r="B315" s="75">
        <f t="shared" ref="B315:B330" si="202">B243</f>
        <v>15</v>
      </c>
      <c r="C315" s="37">
        <f t="shared" ref="C315:H315" si="203">IF(C291="-","-",ROUND(C291*$B$312,2))</f>
        <v>3908.18</v>
      </c>
      <c r="D315" s="37">
        <f t="shared" si="203"/>
        <v>4336.12</v>
      </c>
      <c r="E315" s="37">
        <f t="shared" si="203"/>
        <v>4495.4399999999996</v>
      </c>
      <c r="F315" s="37">
        <f t="shared" si="203"/>
        <v>5064.4799999999996</v>
      </c>
      <c r="G315" s="37">
        <f t="shared" si="203"/>
        <v>5496.94</v>
      </c>
      <c r="H315" s="37">
        <f t="shared" si="203"/>
        <v>5781.47</v>
      </c>
      <c r="T315" s="75" t="s">
        <v>166</v>
      </c>
      <c r="U315" s="37">
        <f t="shared" si="201"/>
        <v>2899.25</v>
      </c>
      <c r="V315" s="37">
        <f t="shared" si="201"/>
        <v>3194.55</v>
      </c>
      <c r="W315" s="37">
        <f t="shared" si="201"/>
        <v>3543.54</v>
      </c>
      <c r="X315" s="37">
        <f t="shared" si="201"/>
        <v>3758.3</v>
      </c>
      <c r="Y315" s="37">
        <f t="shared" si="201"/>
        <v>4187.8100000000004</v>
      </c>
      <c r="Z315" s="37">
        <f t="shared" si="201"/>
        <v>4440.16</v>
      </c>
    </row>
    <row r="316" spans="1:26">
      <c r="B316" s="75">
        <f t="shared" si="202"/>
        <v>14</v>
      </c>
      <c r="C316" s="37">
        <f t="shared" ref="C316:H316" si="204">IF(C292="-","-",ROUND(C292*$B$312,2))</f>
        <v>3539.44</v>
      </c>
      <c r="D316" s="37">
        <f t="shared" si="204"/>
        <v>3926.38</v>
      </c>
      <c r="E316" s="37">
        <f t="shared" si="204"/>
        <v>4154</v>
      </c>
      <c r="F316" s="37">
        <f t="shared" si="204"/>
        <v>4495.4399999999996</v>
      </c>
      <c r="G316" s="37">
        <f t="shared" si="204"/>
        <v>5018.96</v>
      </c>
      <c r="H316" s="37">
        <f t="shared" si="204"/>
        <v>5303.47</v>
      </c>
      <c r="T316" s="75" t="s">
        <v>165</v>
      </c>
      <c r="U316" s="37" t="str">
        <f t="shared" si="201"/>
        <v>-</v>
      </c>
      <c r="V316" s="37" t="str">
        <f t="shared" si="201"/>
        <v>-</v>
      </c>
      <c r="W316" s="37">
        <f t="shared" si="201"/>
        <v>3484.48</v>
      </c>
      <c r="X316" s="37">
        <f t="shared" si="201"/>
        <v>3865.68</v>
      </c>
      <c r="Y316" s="37">
        <f t="shared" si="201"/>
        <v>4101.92</v>
      </c>
      <c r="Z316" s="37" t="str">
        <f t="shared" si="201"/>
        <v>-</v>
      </c>
    </row>
    <row r="317" spans="1:26">
      <c r="B317" s="75">
        <f t="shared" si="202"/>
        <v>13</v>
      </c>
      <c r="C317" s="37">
        <f t="shared" ref="C317:H317" si="205">IF(C293="-","-",ROUND(C293*$B$312,2))</f>
        <v>3262.89</v>
      </c>
      <c r="D317" s="37">
        <f t="shared" si="205"/>
        <v>3619.11</v>
      </c>
      <c r="E317" s="37">
        <f t="shared" si="205"/>
        <v>3812.59</v>
      </c>
      <c r="F317" s="37">
        <f t="shared" si="205"/>
        <v>4188.13</v>
      </c>
      <c r="G317" s="37">
        <f t="shared" si="205"/>
        <v>4711.66</v>
      </c>
      <c r="H317" s="37">
        <f t="shared" si="205"/>
        <v>4927.91</v>
      </c>
      <c r="T317" s="75" t="s">
        <v>164</v>
      </c>
      <c r="U317" s="37">
        <f t="shared" si="201"/>
        <v>2824.09</v>
      </c>
      <c r="V317" s="37">
        <f t="shared" si="201"/>
        <v>3124.75</v>
      </c>
      <c r="W317" s="37">
        <f t="shared" si="201"/>
        <v>3360.99</v>
      </c>
      <c r="X317" s="37">
        <f t="shared" si="201"/>
        <v>3650.92</v>
      </c>
      <c r="Y317" s="37">
        <f t="shared" si="201"/>
        <v>3973.05</v>
      </c>
      <c r="Z317" s="37">
        <f t="shared" si="201"/>
        <v>4166.34</v>
      </c>
    </row>
    <row r="318" spans="1:26">
      <c r="B318" s="75">
        <f t="shared" si="202"/>
        <v>12</v>
      </c>
      <c r="C318" s="37">
        <f t="shared" ref="C318:H318" si="206">IF(C294="-","-",ROUND(C294*$B$312,2))</f>
        <v>2924.88</v>
      </c>
      <c r="D318" s="37">
        <f t="shared" si="206"/>
        <v>3243.54</v>
      </c>
      <c r="E318" s="37">
        <f t="shared" si="206"/>
        <v>3698.77</v>
      </c>
      <c r="F318" s="37">
        <f t="shared" si="206"/>
        <v>4097.1099999999997</v>
      </c>
      <c r="G318" s="37">
        <f t="shared" si="206"/>
        <v>4609.25</v>
      </c>
      <c r="H318" s="37">
        <f t="shared" si="206"/>
        <v>4836.8599999999997</v>
      </c>
      <c r="T318" s="75" t="s">
        <v>163</v>
      </c>
      <c r="U318" s="37">
        <f t="shared" si="201"/>
        <v>2716.71</v>
      </c>
      <c r="V318" s="37">
        <f t="shared" si="201"/>
        <v>3006.63</v>
      </c>
      <c r="W318" s="37">
        <f t="shared" si="201"/>
        <v>3221.4</v>
      </c>
      <c r="X318" s="37">
        <f t="shared" si="201"/>
        <v>3468.37</v>
      </c>
      <c r="Y318" s="37">
        <f t="shared" si="201"/>
        <v>3865.68</v>
      </c>
      <c r="Z318" s="37">
        <f t="shared" si="201"/>
        <v>4037.48</v>
      </c>
    </row>
    <row r="319" spans="1:26">
      <c r="B319" s="75">
        <f t="shared" si="202"/>
        <v>11</v>
      </c>
      <c r="C319" s="37">
        <f t="shared" ref="C319:H319" si="207">IF(C295="-","-",ROUND(C295*$B$312,2))</f>
        <v>2822.45</v>
      </c>
      <c r="D319" s="37">
        <f t="shared" si="207"/>
        <v>3129.75</v>
      </c>
      <c r="E319" s="37">
        <f t="shared" si="207"/>
        <v>3357.35</v>
      </c>
      <c r="F319" s="37">
        <f t="shared" si="207"/>
        <v>3698.77</v>
      </c>
      <c r="G319" s="37">
        <f t="shared" si="207"/>
        <v>4193.84</v>
      </c>
      <c r="H319" s="37">
        <f t="shared" si="207"/>
        <v>4421.46</v>
      </c>
      <c r="T319" s="75" t="s">
        <v>162</v>
      </c>
      <c r="U319" s="37">
        <f t="shared" si="201"/>
        <v>2684.5</v>
      </c>
      <c r="V319" s="37">
        <f t="shared" si="201"/>
        <v>2899.25</v>
      </c>
      <c r="W319" s="37">
        <f t="shared" si="201"/>
        <v>3167.71</v>
      </c>
      <c r="X319" s="37">
        <f t="shared" si="201"/>
        <v>3382.46</v>
      </c>
      <c r="Y319" s="37">
        <f t="shared" si="201"/>
        <v>3650.92</v>
      </c>
      <c r="Z319" s="37">
        <f t="shared" si="201"/>
        <v>3838.83</v>
      </c>
    </row>
    <row r="320" spans="1:26">
      <c r="B320" s="75">
        <f t="shared" si="202"/>
        <v>10</v>
      </c>
      <c r="C320" s="37">
        <f t="shared" ref="C320:H320" si="208">IF(C296="-","-",ROUND(C296*$B$312,2))</f>
        <v>2720.01</v>
      </c>
      <c r="D320" s="37">
        <f t="shared" si="208"/>
        <v>3015.92</v>
      </c>
      <c r="E320" s="37">
        <f t="shared" si="208"/>
        <v>3243.54</v>
      </c>
      <c r="F320" s="37">
        <f t="shared" si="208"/>
        <v>3471.17</v>
      </c>
      <c r="G320" s="37">
        <f t="shared" si="208"/>
        <v>3903.63</v>
      </c>
      <c r="H320" s="37">
        <f t="shared" si="208"/>
        <v>4006.06</v>
      </c>
      <c r="T320" s="75" t="s">
        <v>161</v>
      </c>
      <c r="U320" s="37">
        <f t="shared" si="201"/>
        <v>2729.74</v>
      </c>
      <c r="V320" s="37">
        <f t="shared" si="201"/>
        <v>2944.49</v>
      </c>
      <c r="W320" s="37">
        <f t="shared" si="201"/>
        <v>3212.94</v>
      </c>
      <c r="X320" s="37">
        <f t="shared" si="201"/>
        <v>3427.7</v>
      </c>
      <c r="Y320" s="37">
        <f t="shared" si="201"/>
        <v>3696.14</v>
      </c>
      <c r="Z320" s="37">
        <f t="shared" si="201"/>
        <v>3830.37</v>
      </c>
    </row>
    <row r="321" spans="2:26">
      <c r="B321" s="75">
        <f t="shared" si="202"/>
        <v>9</v>
      </c>
      <c r="C321" s="37">
        <f t="shared" ref="C321:H321" si="209">IF(C297="-","-",ROUND(C297*$B$312,2))</f>
        <v>2402.5</v>
      </c>
      <c r="D321" s="37">
        <f t="shared" si="209"/>
        <v>2663.11</v>
      </c>
      <c r="E321" s="37">
        <f t="shared" si="209"/>
        <v>2799.69</v>
      </c>
      <c r="F321" s="37">
        <f t="shared" si="209"/>
        <v>3163.87</v>
      </c>
      <c r="G321" s="37">
        <f t="shared" si="209"/>
        <v>3448.4</v>
      </c>
      <c r="H321" s="37">
        <f t="shared" si="209"/>
        <v>3676.01</v>
      </c>
      <c r="J321" s="135" t="str">
        <f>J297</f>
        <v>9c</v>
      </c>
      <c r="K321" s="37">
        <f>IF(K297="-","-",ROUND(K297*$B$312,2))</f>
        <v>2636.4</v>
      </c>
      <c r="L321" s="37">
        <f t="shared" ref="L321:P322" si="210">IF(L297="-","-",ROUND(L297*$B$312,2))</f>
        <v>2869.62</v>
      </c>
      <c r="M321" s="37">
        <f t="shared" si="210"/>
        <v>3143.4</v>
      </c>
      <c r="N321" s="37">
        <f t="shared" si="210"/>
        <v>3346.2</v>
      </c>
      <c r="O321" s="37">
        <f t="shared" si="210"/>
        <v>3650.4</v>
      </c>
      <c r="P321" s="37">
        <f t="shared" si="210"/>
        <v>3782.22</v>
      </c>
      <c r="T321" s="75" t="s">
        <v>160</v>
      </c>
      <c r="U321" s="37">
        <f t="shared" si="201"/>
        <v>2684.5</v>
      </c>
      <c r="V321" s="37">
        <f t="shared" si="201"/>
        <v>2899.25</v>
      </c>
      <c r="W321" s="37">
        <f t="shared" si="201"/>
        <v>3167.71</v>
      </c>
      <c r="X321" s="37">
        <f t="shared" si="201"/>
        <v>3382.46</v>
      </c>
      <c r="Y321" s="37">
        <f t="shared" si="201"/>
        <v>3650.92</v>
      </c>
      <c r="Z321" s="37">
        <f t="shared" si="201"/>
        <v>3785.13</v>
      </c>
    </row>
    <row r="322" spans="2:26">
      <c r="B322" s="75">
        <f t="shared" si="202"/>
        <v>8</v>
      </c>
      <c r="C322" s="37">
        <f t="shared" ref="C322:H322" si="211">IF(C298="-","-",ROUND(C298*$B$312,2))</f>
        <v>2248.86</v>
      </c>
      <c r="D322" s="37">
        <f t="shared" si="211"/>
        <v>2492.4</v>
      </c>
      <c r="E322" s="37">
        <f t="shared" si="211"/>
        <v>2606.2199999999998</v>
      </c>
      <c r="F322" s="37">
        <f t="shared" si="211"/>
        <v>2708.65</v>
      </c>
      <c r="G322" s="37">
        <f t="shared" si="211"/>
        <v>2822.45</v>
      </c>
      <c r="H322" s="37">
        <f t="shared" si="211"/>
        <v>2894.15</v>
      </c>
      <c r="J322" s="135" t="str">
        <f>J298</f>
        <v>9a</v>
      </c>
      <c r="K322" s="37">
        <f>IF(K298="-","-",ROUND(K298*$B$312,2))</f>
        <v>2402.5</v>
      </c>
      <c r="L322" s="37">
        <f t="shared" si="210"/>
        <v>2635.72</v>
      </c>
      <c r="M322" s="37">
        <f t="shared" si="210"/>
        <v>2799.69</v>
      </c>
      <c r="N322" s="37">
        <f t="shared" si="210"/>
        <v>3163.87</v>
      </c>
      <c r="O322" s="37">
        <f t="shared" si="210"/>
        <v>3244.12</v>
      </c>
      <c r="P322" s="37">
        <f t="shared" si="210"/>
        <v>3448.4</v>
      </c>
      <c r="T322" s="75" t="s">
        <v>159</v>
      </c>
      <c r="U322" s="37">
        <f t="shared" si="201"/>
        <v>2622.35</v>
      </c>
      <c r="V322" s="37">
        <f t="shared" si="201"/>
        <v>2890.8</v>
      </c>
      <c r="W322" s="37">
        <f t="shared" si="201"/>
        <v>3148.51</v>
      </c>
      <c r="X322" s="37">
        <f t="shared" si="201"/>
        <v>3374</v>
      </c>
      <c r="Y322" s="37">
        <f t="shared" si="201"/>
        <v>3653.2</v>
      </c>
      <c r="Z322" s="37">
        <f t="shared" si="201"/>
        <v>3771.32</v>
      </c>
    </row>
    <row r="323" spans="2:26">
      <c r="B323" s="75">
        <f t="shared" si="202"/>
        <v>7</v>
      </c>
      <c r="C323" s="37">
        <f t="shared" ref="C323:H323" si="212">IF(C299="-","-",ROUND(C299*$B$312,2))</f>
        <v>2105.4699999999998</v>
      </c>
      <c r="D323" s="37">
        <f t="shared" si="212"/>
        <v>2333.0700000000002</v>
      </c>
      <c r="E323" s="37">
        <f t="shared" si="212"/>
        <v>2481.02</v>
      </c>
      <c r="F323" s="37">
        <f t="shared" si="212"/>
        <v>2594.84</v>
      </c>
      <c r="G323" s="37">
        <f t="shared" si="212"/>
        <v>2680.19</v>
      </c>
      <c r="H323" s="37">
        <f t="shared" si="212"/>
        <v>2759.86</v>
      </c>
      <c r="T323" s="75" t="s">
        <v>158</v>
      </c>
      <c r="U323" s="37">
        <f t="shared" si="201"/>
        <v>2577.12</v>
      </c>
      <c r="V323" s="37">
        <f t="shared" si="201"/>
        <v>2845.57</v>
      </c>
      <c r="W323" s="37">
        <f t="shared" si="201"/>
        <v>3103.28</v>
      </c>
      <c r="X323" s="37">
        <f t="shared" si="201"/>
        <v>3328.77</v>
      </c>
      <c r="Y323" s="37">
        <f t="shared" si="201"/>
        <v>3607.95</v>
      </c>
      <c r="Z323" s="37">
        <f t="shared" si="201"/>
        <v>3726.07</v>
      </c>
    </row>
    <row r="324" spans="2:26">
      <c r="B324" s="75">
        <f t="shared" si="202"/>
        <v>6</v>
      </c>
      <c r="C324" s="37">
        <f t="shared" ref="C324:H324" si="213">IF(C300="-","-",ROUND(C300*$B$312,2))</f>
        <v>2064.48</v>
      </c>
      <c r="D324" s="37">
        <f t="shared" si="213"/>
        <v>2287.54</v>
      </c>
      <c r="E324" s="37">
        <f t="shared" si="213"/>
        <v>2401.35</v>
      </c>
      <c r="F324" s="37">
        <f t="shared" si="213"/>
        <v>2509.48</v>
      </c>
      <c r="G324" s="37">
        <f t="shared" si="213"/>
        <v>2583.46</v>
      </c>
      <c r="H324" s="37">
        <f t="shared" si="213"/>
        <v>2657.44</v>
      </c>
      <c r="T324" s="75" t="s">
        <v>157</v>
      </c>
      <c r="U324" s="37">
        <f t="shared" ref="U324:Z333" si="214">IF(U300="-","-",ROUND(U300*$T$312,2))</f>
        <v>2526.29</v>
      </c>
      <c r="V324" s="37">
        <f t="shared" si="214"/>
        <v>2848.42</v>
      </c>
      <c r="W324" s="37">
        <f t="shared" si="214"/>
        <v>2988.01</v>
      </c>
      <c r="X324" s="37">
        <f t="shared" si="214"/>
        <v>3331.63</v>
      </c>
      <c r="Y324" s="37">
        <f t="shared" si="214"/>
        <v>3600.09</v>
      </c>
      <c r="Z324" s="37">
        <f t="shared" si="214"/>
        <v>3761.15</v>
      </c>
    </row>
    <row r="325" spans="2:26">
      <c r="B325" s="75">
        <f t="shared" si="202"/>
        <v>5</v>
      </c>
      <c r="C325" s="37">
        <f t="shared" ref="C325:H325" si="215">IF(C301="-","-",ROUND(C301*$B$312,2))</f>
        <v>1977.98</v>
      </c>
      <c r="D325" s="37">
        <f t="shared" si="215"/>
        <v>2190.8200000000002</v>
      </c>
      <c r="E325" s="37">
        <f t="shared" si="215"/>
        <v>2298.9299999999998</v>
      </c>
      <c r="F325" s="37">
        <f t="shared" si="215"/>
        <v>2407.0500000000002</v>
      </c>
      <c r="G325" s="37">
        <f t="shared" si="215"/>
        <v>2486.7199999999998</v>
      </c>
      <c r="H325" s="37">
        <f t="shared" si="215"/>
        <v>2543.63</v>
      </c>
      <c r="T325" s="75" t="s">
        <v>156</v>
      </c>
      <c r="U325" s="37">
        <f t="shared" si="214"/>
        <v>2469.7399999999998</v>
      </c>
      <c r="V325" s="37">
        <f t="shared" si="214"/>
        <v>2791.88</v>
      </c>
      <c r="W325" s="37">
        <f t="shared" si="214"/>
        <v>2931.47</v>
      </c>
      <c r="X325" s="37">
        <f t="shared" si="214"/>
        <v>3275.09</v>
      </c>
      <c r="Y325" s="37">
        <f t="shared" si="214"/>
        <v>3543.54</v>
      </c>
      <c r="Z325" s="37">
        <f t="shared" si="214"/>
        <v>3704.61</v>
      </c>
    </row>
    <row r="326" spans="2:26">
      <c r="B326" s="75">
        <f t="shared" si="202"/>
        <v>4</v>
      </c>
      <c r="C326" s="37">
        <f t="shared" ref="C326:H326" si="216">IF(C302="-","-",ROUND(C302*$B$312,2))</f>
        <v>1880.11</v>
      </c>
      <c r="D326" s="37">
        <f t="shared" si="216"/>
        <v>2082.6999999999998</v>
      </c>
      <c r="E326" s="37">
        <f t="shared" si="216"/>
        <v>2219.2600000000002</v>
      </c>
      <c r="F326" s="37">
        <f t="shared" si="216"/>
        <v>2298.9299999999998</v>
      </c>
      <c r="G326" s="37">
        <f t="shared" si="216"/>
        <v>2378.6</v>
      </c>
      <c r="H326" s="37">
        <f t="shared" si="216"/>
        <v>2425.25</v>
      </c>
      <c r="T326" s="75" t="s">
        <v>155</v>
      </c>
      <c r="U326" s="37">
        <f t="shared" si="214"/>
        <v>2405.31</v>
      </c>
      <c r="V326" s="37">
        <f t="shared" si="214"/>
        <v>2663.02</v>
      </c>
      <c r="W326" s="37">
        <f t="shared" si="214"/>
        <v>2791.88</v>
      </c>
      <c r="X326" s="37">
        <f t="shared" si="214"/>
        <v>3167.71</v>
      </c>
      <c r="Y326" s="37">
        <f t="shared" si="214"/>
        <v>3468.37</v>
      </c>
      <c r="Z326" s="37">
        <f t="shared" si="214"/>
        <v>3715.34</v>
      </c>
    </row>
    <row r="327" spans="2:26">
      <c r="B327" s="75">
        <f t="shared" si="202"/>
        <v>3</v>
      </c>
      <c r="C327" s="37">
        <f t="shared" ref="C327:H327" si="217">IF(C303="-","-",ROUND(C303*$B$312,2))</f>
        <v>1849.4</v>
      </c>
      <c r="D327" s="37">
        <f t="shared" si="217"/>
        <v>2048.54</v>
      </c>
      <c r="E327" s="37">
        <f t="shared" si="217"/>
        <v>2105.4699999999998</v>
      </c>
      <c r="F327" s="37">
        <f t="shared" si="217"/>
        <v>2196.5100000000002</v>
      </c>
      <c r="G327" s="37">
        <f t="shared" si="217"/>
        <v>2264.8000000000002</v>
      </c>
      <c r="H327" s="37">
        <f t="shared" si="217"/>
        <v>2327.39</v>
      </c>
      <c r="T327" s="75" t="s">
        <v>141</v>
      </c>
      <c r="U327" s="37">
        <f t="shared" si="214"/>
        <v>2394.5700000000002</v>
      </c>
      <c r="V327" s="37">
        <f t="shared" si="214"/>
        <v>2577.12</v>
      </c>
      <c r="W327" s="37">
        <f t="shared" si="214"/>
        <v>2738.19</v>
      </c>
      <c r="X327" s="37">
        <f t="shared" si="214"/>
        <v>3033.48</v>
      </c>
      <c r="Y327" s="37">
        <f t="shared" si="214"/>
        <v>3275.09</v>
      </c>
      <c r="Z327" s="37">
        <f t="shared" si="214"/>
        <v>3505.96</v>
      </c>
    </row>
    <row r="328" spans="2:26">
      <c r="B328" s="75" t="str">
        <f t="shared" si="202"/>
        <v>2Ü</v>
      </c>
      <c r="C328" s="37">
        <f t="shared" ref="C328:H328" si="218">IF(C304="-","-",ROUND(C304*$B$312,2))</f>
        <v>1767.43</v>
      </c>
      <c r="D328" s="37">
        <f t="shared" si="218"/>
        <v>1957.51</v>
      </c>
      <c r="E328" s="37">
        <f t="shared" si="218"/>
        <v>2025.8</v>
      </c>
      <c r="F328" s="37">
        <f t="shared" si="218"/>
        <v>2116.84</v>
      </c>
      <c r="G328" s="37">
        <f t="shared" si="218"/>
        <v>2179.4299999999998</v>
      </c>
      <c r="H328" s="37">
        <f t="shared" si="218"/>
        <v>2226.11</v>
      </c>
      <c r="T328" s="75" t="s">
        <v>142</v>
      </c>
      <c r="U328" s="37">
        <f t="shared" si="214"/>
        <v>2297.92</v>
      </c>
      <c r="V328" s="37">
        <f t="shared" si="214"/>
        <v>2469.7399999999998</v>
      </c>
      <c r="W328" s="37">
        <f t="shared" si="214"/>
        <v>2684.5</v>
      </c>
      <c r="X328" s="37">
        <f t="shared" si="214"/>
        <v>2990.53</v>
      </c>
      <c r="Y328" s="37">
        <f t="shared" si="214"/>
        <v>3269.71</v>
      </c>
      <c r="Z328" s="37">
        <f t="shared" si="214"/>
        <v>3489.83</v>
      </c>
    </row>
    <row r="329" spans="2:26">
      <c r="B329" s="75">
        <f t="shared" si="202"/>
        <v>2</v>
      </c>
      <c r="C329" s="37">
        <f t="shared" ref="C329:H329" si="219">IF(C305="-","-",ROUND(C305*$B$312,2))</f>
        <v>1705.98</v>
      </c>
      <c r="D329" s="37">
        <f t="shared" si="219"/>
        <v>1889.21</v>
      </c>
      <c r="E329" s="37">
        <f t="shared" si="219"/>
        <v>1946.12</v>
      </c>
      <c r="F329" s="37">
        <f t="shared" si="219"/>
        <v>2003.04</v>
      </c>
      <c r="G329" s="37">
        <f t="shared" si="219"/>
        <v>2128.1999999999998</v>
      </c>
      <c r="H329" s="37">
        <f t="shared" si="219"/>
        <v>2259.1</v>
      </c>
      <c r="T329" s="75" t="s">
        <v>143</v>
      </c>
      <c r="U329" s="37">
        <f t="shared" si="214"/>
        <v>2228.13</v>
      </c>
      <c r="V329" s="37">
        <f t="shared" si="214"/>
        <v>2442.89</v>
      </c>
      <c r="W329" s="37">
        <f t="shared" si="214"/>
        <v>2614.71</v>
      </c>
      <c r="X329" s="37">
        <f t="shared" si="214"/>
        <v>2786.51</v>
      </c>
      <c r="Y329" s="37">
        <f t="shared" si="214"/>
        <v>2915.37</v>
      </c>
      <c r="Z329" s="37">
        <f t="shared" si="214"/>
        <v>3103.28</v>
      </c>
    </row>
    <row r="330" spans="2:26">
      <c r="B330" s="75">
        <f t="shared" si="202"/>
        <v>1</v>
      </c>
      <c r="C330" s="37" t="str">
        <f t="shared" ref="C330:H330" si="220">IF(C306="-","-",ROUND(C306*$B$312,2))</f>
        <v>-</v>
      </c>
      <c r="D330" s="37">
        <f t="shared" si="220"/>
        <v>1520.49</v>
      </c>
      <c r="E330" s="37">
        <f t="shared" si="220"/>
        <v>1547.8</v>
      </c>
      <c r="F330" s="37">
        <f t="shared" si="220"/>
        <v>1581.95</v>
      </c>
      <c r="G330" s="37">
        <f t="shared" si="220"/>
        <v>1613.8</v>
      </c>
      <c r="H330" s="37">
        <f t="shared" si="220"/>
        <v>1695.74</v>
      </c>
      <c r="T330" s="75" t="s">
        <v>144</v>
      </c>
      <c r="U330" s="37">
        <f t="shared" si="214"/>
        <v>2190.54</v>
      </c>
      <c r="V330" s="37">
        <f t="shared" si="214"/>
        <v>2405.31</v>
      </c>
      <c r="W330" s="37">
        <f t="shared" si="214"/>
        <v>2577.12</v>
      </c>
      <c r="X330" s="37">
        <f t="shared" si="214"/>
        <v>2748.92</v>
      </c>
      <c r="Y330" s="37">
        <f t="shared" si="214"/>
        <v>2904.62</v>
      </c>
      <c r="Z330" s="37">
        <f t="shared" si="214"/>
        <v>3075.36</v>
      </c>
    </row>
    <row r="331" spans="2:26">
      <c r="T331" s="75" t="s">
        <v>145</v>
      </c>
      <c r="U331" s="37">
        <f t="shared" si="214"/>
        <v>2190.54</v>
      </c>
      <c r="V331" s="37">
        <f t="shared" si="214"/>
        <v>2405.31</v>
      </c>
      <c r="W331" s="37">
        <f t="shared" si="214"/>
        <v>2566.38</v>
      </c>
      <c r="X331" s="37">
        <f t="shared" si="214"/>
        <v>2652.28</v>
      </c>
      <c r="Y331" s="37">
        <f t="shared" si="214"/>
        <v>2770.4</v>
      </c>
      <c r="Z331" s="37">
        <f t="shared" si="214"/>
        <v>2974.43</v>
      </c>
    </row>
    <row r="332" spans="2:26">
      <c r="T332" s="75" t="s">
        <v>146</v>
      </c>
      <c r="U332" s="37">
        <f t="shared" si="214"/>
        <v>1986.53</v>
      </c>
      <c r="V332" s="37">
        <f t="shared" si="214"/>
        <v>2254.9699999999998</v>
      </c>
      <c r="W332" s="37">
        <f t="shared" si="214"/>
        <v>2394.5700000000002</v>
      </c>
      <c r="X332" s="37">
        <f t="shared" si="214"/>
        <v>2512.69</v>
      </c>
      <c r="Y332" s="37">
        <f t="shared" si="214"/>
        <v>2587.85</v>
      </c>
      <c r="Z332" s="37">
        <f t="shared" si="214"/>
        <v>2684.5</v>
      </c>
    </row>
    <row r="333" spans="2:26">
      <c r="T333" s="75" t="s">
        <v>147</v>
      </c>
      <c r="U333" s="37">
        <f t="shared" si="214"/>
        <v>1879.15</v>
      </c>
      <c r="V333" s="37">
        <f t="shared" si="214"/>
        <v>2104.65</v>
      </c>
      <c r="W333" s="37">
        <f t="shared" si="214"/>
        <v>2254.9699999999998</v>
      </c>
      <c r="X333" s="37">
        <f t="shared" si="214"/>
        <v>2405.31</v>
      </c>
      <c r="Y333" s="37">
        <f t="shared" si="214"/>
        <v>2448.2600000000002</v>
      </c>
      <c r="Z333" s="37">
        <f t="shared" si="214"/>
        <v>2491.2199999999998</v>
      </c>
    </row>
    <row r="334" spans="2:26">
      <c r="T334" s="75" t="s">
        <v>148</v>
      </c>
      <c r="U334" s="37">
        <f t="shared" ref="U334:Z334" si="221">IF(U310="-","-",ROUND(U310*$T$312,2))</f>
        <v>1798.61</v>
      </c>
      <c r="V334" s="37">
        <f t="shared" si="221"/>
        <v>1900.63</v>
      </c>
      <c r="W334" s="37">
        <f t="shared" si="221"/>
        <v>1975.79</v>
      </c>
      <c r="X334" s="37">
        <f t="shared" si="221"/>
        <v>2061.6999999999998</v>
      </c>
      <c r="Y334" s="37">
        <f t="shared" si="221"/>
        <v>2147.59</v>
      </c>
      <c r="Z334" s="37">
        <f t="shared" si="221"/>
        <v>2233.5100000000002</v>
      </c>
    </row>
    <row r="336" spans="2:26">
      <c r="B336" s="172" t="s">
        <v>209</v>
      </c>
      <c r="T336" s="172" t="s">
        <v>209</v>
      </c>
      <c r="U336" s="171" t="s">
        <v>149</v>
      </c>
    </row>
    <row r="337" spans="1:26">
      <c r="A337" s="155" t="s">
        <v>212</v>
      </c>
      <c r="B337" s="75" t="s">
        <v>211</v>
      </c>
      <c r="C337" s="75" t="str">
        <f t="shared" ref="C337:H337" si="222">C265</f>
        <v>Stufe 1</v>
      </c>
      <c r="D337" s="75" t="str">
        <f t="shared" si="222"/>
        <v>Stufe 2</v>
      </c>
      <c r="E337" s="75" t="str">
        <f t="shared" si="222"/>
        <v>Stufe 3</v>
      </c>
      <c r="F337" s="75" t="str">
        <f t="shared" si="222"/>
        <v>Stufe 4</v>
      </c>
      <c r="G337" s="75" t="str">
        <f t="shared" si="222"/>
        <v>Stufe 5</v>
      </c>
      <c r="H337" s="75" t="str">
        <f t="shared" si="222"/>
        <v>Stufe 6</v>
      </c>
      <c r="S337" s="155" t="s">
        <v>212</v>
      </c>
      <c r="T337" s="75" t="s">
        <v>211</v>
      </c>
      <c r="U337" s="75" t="str">
        <f t="shared" ref="U337:Z337" si="223">C1</f>
        <v>Stufe 1</v>
      </c>
      <c r="V337" s="75" t="str">
        <f t="shared" si="223"/>
        <v>Stufe 2</v>
      </c>
      <c r="W337" s="75" t="str">
        <f t="shared" si="223"/>
        <v>Stufe 3</v>
      </c>
      <c r="X337" s="75" t="str">
        <f t="shared" si="223"/>
        <v>Stufe 4</v>
      </c>
      <c r="Y337" s="75" t="str">
        <f t="shared" si="223"/>
        <v>Stufe 5</v>
      </c>
      <c r="Z337" s="75" t="str">
        <f t="shared" si="223"/>
        <v>Stufe 6</v>
      </c>
    </row>
    <row r="338" spans="1:26">
      <c r="B338" s="75" t="str">
        <f>B266</f>
        <v>15Ü</v>
      </c>
      <c r="C338" s="37" t="str">
        <f t="shared" ref="C338:H338" si="224">IF(C314="-","-",ROUND(C314*$B$336,2))</f>
        <v>-</v>
      </c>
      <c r="D338" s="37">
        <f t="shared" si="224"/>
        <v>5054.6000000000004</v>
      </c>
      <c r="E338" s="37">
        <f t="shared" si="224"/>
        <v>5602.76</v>
      </c>
      <c r="F338" s="37">
        <f t="shared" si="224"/>
        <v>6122.07</v>
      </c>
      <c r="G338" s="37">
        <f t="shared" si="224"/>
        <v>6468.29</v>
      </c>
      <c r="H338" s="37">
        <f t="shared" si="224"/>
        <v>6549.06</v>
      </c>
      <c r="T338" s="75" t="s">
        <v>167</v>
      </c>
      <c r="U338" s="37">
        <f t="shared" ref="U338:Z347" si="225">IF(U314="-","-",ROUND(U314*$T$336,2))</f>
        <v>3266.5</v>
      </c>
      <c r="V338" s="37">
        <f t="shared" si="225"/>
        <v>3375.37</v>
      </c>
      <c r="W338" s="37">
        <f t="shared" si="225"/>
        <v>3810.92</v>
      </c>
      <c r="X338" s="37">
        <f t="shared" si="225"/>
        <v>4137.5600000000004</v>
      </c>
      <c r="Y338" s="37">
        <f t="shared" si="225"/>
        <v>4627.54</v>
      </c>
      <c r="Z338" s="37">
        <f t="shared" si="225"/>
        <v>4926.97</v>
      </c>
    </row>
    <row r="339" spans="1:26">
      <c r="B339" s="75">
        <f t="shared" ref="B339:B354" si="226">B267</f>
        <v>15</v>
      </c>
      <c r="C339" s="37">
        <f t="shared" ref="C339:H339" si="227">IF(C315="-","-",ROUND(C315*$B$336,2))</f>
        <v>3962.89</v>
      </c>
      <c r="D339" s="37">
        <f t="shared" si="227"/>
        <v>4396.83</v>
      </c>
      <c r="E339" s="37">
        <f t="shared" si="227"/>
        <v>4558.38</v>
      </c>
      <c r="F339" s="37">
        <f t="shared" si="227"/>
        <v>5135.38</v>
      </c>
      <c r="G339" s="37">
        <f t="shared" si="227"/>
        <v>5573.9</v>
      </c>
      <c r="H339" s="37">
        <f t="shared" si="227"/>
        <v>5862.41</v>
      </c>
      <c r="T339" s="75" t="s">
        <v>166</v>
      </c>
      <c r="U339" s="37">
        <f t="shared" si="225"/>
        <v>2939.84</v>
      </c>
      <c r="V339" s="37">
        <f t="shared" si="225"/>
        <v>3239.27</v>
      </c>
      <c r="W339" s="37">
        <f t="shared" si="225"/>
        <v>3593.15</v>
      </c>
      <c r="X339" s="37">
        <f t="shared" si="225"/>
        <v>3810.92</v>
      </c>
      <c r="Y339" s="37">
        <f t="shared" si="225"/>
        <v>4246.4399999999996</v>
      </c>
      <c r="Z339" s="37">
        <f t="shared" si="225"/>
        <v>4502.32</v>
      </c>
    </row>
    <row r="340" spans="1:26">
      <c r="B340" s="75">
        <f t="shared" si="226"/>
        <v>14</v>
      </c>
      <c r="C340" s="37">
        <f t="shared" ref="C340:H340" si="228">IF(C316="-","-",ROUND(C316*$B$336,2))</f>
        <v>3588.99</v>
      </c>
      <c r="D340" s="37">
        <f t="shared" si="228"/>
        <v>3981.35</v>
      </c>
      <c r="E340" s="37">
        <f t="shared" si="228"/>
        <v>4212.16</v>
      </c>
      <c r="F340" s="37">
        <f t="shared" si="228"/>
        <v>4558.38</v>
      </c>
      <c r="G340" s="37">
        <f t="shared" si="228"/>
        <v>5089.2299999999996</v>
      </c>
      <c r="H340" s="37">
        <f t="shared" si="228"/>
        <v>5377.72</v>
      </c>
      <c r="T340" s="75" t="s">
        <v>165</v>
      </c>
      <c r="U340" s="37" t="str">
        <f t="shared" si="225"/>
        <v>-</v>
      </c>
      <c r="V340" s="37" t="str">
        <f t="shared" si="225"/>
        <v>-</v>
      </c>
      <c r="W340" s="37">
        <f t="shared" si="225"/>
        <v>3533.26</v>
      </c>
      <c r="X340" s="37">
        <f t="shared" si="225"/>
        <v>3919.8</v>
      </c>
      <c r="Y340" s="37">
        <f t="shared" si="225"/>
        <v>4159.3500000000004</v>
      </c>
      <c r="Z340" s="37" t="str">
        <f t="shared" si="225"/>
        <v>-</v>
      </c>
    </row>
    <row r="341" spans="1:26">
      <c r="B341" s="75">
        <f t="shared" si="226"/>
        <v>13</v>
      </c>
      <c r="C341" s="37">
        <f t="shared" ref="C341:H341" si="229">IF(C317="-","-",ROUND(C317*$B$336,2))</f>
        <v>3308.57</v>
      </c>
      <c r="D341" s="37">
        <f t="shared" si="229"/>
        <v>3669.78</v>
      </c>
      <c r="E341" s="37">
        <f t="shared" si="229"/>
        <v>3865.97</v>
      </c>
      <c r="F341" s="37">
        <f t="shared" si="229"/>
        <v>4246.76</v>
      </c>
      <c r="G341" s="37">
        <f t="shared" si="229"/>
        <v>4777.62</v>
      </c>
      <c r="H341" s="37">
        <f t="shared" si="229"/>
        <v>4996.8999999999996</v>
      </c>
      <c r="T341" s="75" t="s">
        <v>164</v>
      </c>
      <c r="U341" s="37">
        <f t="shared" si="225"/>
        <v>2863.63</v>
      </c>
      <c r="V341" s="37">
        <f t="shared" si="225"/>
        <v>3168.5</v>
      </c>
      <c r="W341" s="37">
        <f t="shared" si="225"/>
        <v>3408.04</v>
      </c>
      <c r="X341" s="37">
        <f t="shared" si="225"/>
        <v>3702.03</v>
      </c>
      <c r="Y341" s="37">
        <f t="shared" si="225"/>
        <v>4028.67</v>
      </c>
      <c r="Z341" s="37">
        <f t="shared" si="225"/>
        <v>4224.67</v>
      </c>
    </row>
    <row r="342" spans="1:26">
      <c r="B342" s="75">
        <f t="shared" si="226"/>
        <v>12</v>
      </c>
      <c r="C342" s="37">
        <f t="shared" ref="C342:H342" si="230">IF(C318="-","-",ROUND(C318*$B$336,2))</f>
        <v>2965.83</v>
      </c>
      <c r="D342" s="37">
        <f t="shared" si="230"/>
        <v>3288.95</v>
      </c>
      <c r="E342" s="37">
        <f t="shared" si="230"/>
        <v>3750.55</v>
      </c>
      <c r="F342" s="37">
        <f t="shared" si="230"/>
        <v>4154.47</v>
      </c>
      <c r="G342" s="37">
        <f t="shared" si="230"/>
        <v>4673.78</v>
      </c>
      <c r="H342" s="37">
        <f t="shared" si="230"/>
        <v>4904.58</v>
      </c>
      <c r="T342" s="75" t="s">
        <v>163</v>
      </c>
      <c r="U342" s="37">
        <f t="shared" si="225"/>
        <v>2754.74</v>
      </c>
      <c r="V342" s="37">
        <f t="shared" si="225"/>
        <v>3048.72</v>
      </c>
      <c r="W342" s="37">
        <f t="shared" si="225"/>
        <v>3266.5</v>
      </c>
      <c r="X342" s="37">
        <f t="shared" si="225"/>
        <v>3516.93</v>
      </c>
      <c r="Y342" s="37">
        <f t="shared" si="225"/>
        <v>3919.8</v>
      </c>
      <c r="Z342" s="37">
        <f t="shared" si="225"/>
        <v>4094</v>
      </c>
    </row>
    <row r="343" spans="1:26">
      <c r="B343" s="75">
        <f t="shared" si="226"/>
        <v>11</v>
      </c>
      <c r="C343" s="37">
        <f t="shared" ref="C343:H343" si="231">IF(C319="-","-",ROUND(C319*$B$336,2))</f>
        <v>2861.96</v>
      </c>
      <c r="D343" s="37">
        <f t="shared" si="231"/>
        <v>3173.57</v>
      </c>
      <c r="E343" s="37">
        <f t="shared" si="231"/>
        <v>3404.35</v>
      </c>
      <c r="F343" s="37">
        <f t="shared" si="231"/>
        <v>3750.55</v>
      </c>
      <c r="G343" s="37">
        <f t="shared" si="231"/>
        <v>4252.55</v>
      </c>
      <c r="H343" s="37">
        <f t="shared" si="231"/>
        <v>4483.3599999999997</v>
      </c>
      <c r="T343" s="75" t="s">
        <v>162</v>
      </c>
      <c r="U343" s="37">
        <f t="shared" si="225"/>
        <v>2722.08</v>
      </c>
      <c r="V343" s="37">
        <f t="shared" si="225"/>
        <v>2939.84</v>
      </c>
      <c r="W343" s="37">
        <f t="shared" si="225"/>
        <v>3212.06</v>
      </c>
      <c r="X343" s="37">
        <f t="shared" si="225"/>
        <v>3429.81</v>
      </c>
      <c r="Y343" s="37">
        <f t="shared" si="225"/>
        <v>3702.03</v>
      </c>
      <c r="Z343" s="37">
        <f t="shared" si="225"/>
        <v>3892.57</v>
      </c>
    </row>
    <row r="344" spans="1:26">
      <c r="B344" s="75">
        <f t="shared" si="226"/>
        <v>10</v>
      </c>
      <c r="C344" s="37">
        <f t="shared" ref="C344:H344" si="232">IF(C320="-","-",ROUND(C320*$B$336,2))</f>
        <v>2758.09</v>
      </c>
      <c r="D344" s="37">
        <f t="shared" si="232"/>
        <v>3058.14</v>
      </c>
      <c r="E344" s="37">
        <f t="shared" si="232"/>
        <v>3288.95</v>
      </c>
      <c r="F344" s="37">
        <f t="shared" si="232"/>
        <v>3519.77</v>
      </c>
      <c r="G344" s="37">
        <f t="shared" si="232"/>
        <v>3958.28</v>
      </c>
      <c r="H344" s="37">
        <f t="shared" si="232"/>
        <v>4062.14</v>
      </c>
      <c r="T344" s="75" t="s">
        <v>161</v>
      </c>
      <c r="U344" s="37">
        <f t="shared" si="225"/>
        <v>2767.96</v>
      </c>
      <c r="V344" s="37">
        <f t="shared" si="225"/>
        <v>2985.71</v>
      </c>
      <c r="W344" s="37">
        <f t="shared" si="225"/>
        <v>3257.92</v>
      </c>
      <c r="X344" s="37">
        <f t="shared" si="225"/>
        <v>3475.69</v>
      </c>
      <c r="Y344" s="37">
        <f t="shared" si="225"/>
        <v>3747.89</v>
      </c>
      <c r="Z344" s="37">
        <f t="shared" si="225"/>
        <v>3884</v>
      </c>
    </row>
    <row r="345" spans="1:26">
      <c r="B345" s="75">
        <f t="shared" si="226"/>
        <v>9</v>
      </c>
      <c r="C345" s="37">
        <f t="shared" ref="C345:H345" si="233">IF(C321="-","-",ROUND(C321*$B$336,2))</f>
        <v>2436.14</v>
      </c>
      <c r="D345" s="37">
        <f t="shared" si="233"/>
        <v>2700.39</v>
      </c>
      <c r="E345" s="37">
        <f t="shared" si="233"/>
        <v>2838.89</v>
      </c>
      <c r="F345" s="37">
        <f t="shared" si="233"/>
        <v>3208.16</v>
      </c>
      <c r="G345" s="37">
        <f t="shared" si="233"/>
        <v>3496.68</v>
      </c>
      <c r="H345" s="37">
        <f t="shared" si="233"/>
        <v>3727.47</v>
      </c>
      <c r="J345" s="135" t="str">
        <f>J321</f>
        <v>9c</v>
      </c>
      <c r="K345" s="37">
        <f>IF(K321="-","-",ROUND(K321*$B$336,2))</f>
        <v>2673.31</v>
      </c>
      <c r="L345" s="37">
        <f t="shared" ref="L345:P346" si="234">IF(L321="-","-",ROUND(L321*$B$336,2))</f>
        <v>2909.79</v>
      </c>
      <c r="M345" s="37">
        <f t="shared" si="234"/>
        <v>3187.41</v>
      </c>
      <c r="N345" s="37">
        <f t="shared" si="234"/>
        <v>3393.05</v>
      </c>
      <c r="O345" s="37">
        <f t="shared" si="234"/>
        <v>3701.51</v>
      </c>
      <c r="P345" s="37">
        <f t="shared" si="234"/>
        <v>3835.17</v>
      </c>
      <c r="T345" s="75" t="s">
        <v>160</v>
      </c>
      <c r="U345" s="37">
        <f t="shared" si="225"/>
        <v>2722.08</v>
      </c>
      <c r="V345" s="37">
        <f t="shared" si="225"/>
        <v>2939.84</v>
      </c>
      <c r="W345" s="37">
        <f t="shared" si="225"/>
        <v>3212.06</v>
      </c>
      <c r="X345" s="37">
        <f t="shared" si="225"/>
        <v>3429.81</v>
      </c>
      <c r="Y345" s="37">
        <f t="shared" si="225"/>
        <v>3702.03</v>
      </c>
      <c r="Z345" s="37">
        <f t="shared" si="225"/>
        <v>3838.12</v>
      </c>
    </row>
    <row r="346" spans="1:26">
      <c r="B346" s="75">
        <f t="shared" si="226"/>
        <v>8</v>
      </c>
      <c r="C346" s="37">
        <f t="shared" ref="C346:H346" si="235">IF(C322="-","-",ROUND(C322*$B$336,2))</f>
        <v>2280.34</v>
      </c>
      <c r="D346" s="37">
        <f t="shared" si="235"/>
        <v>2527.29</v>
      </c>
      <c r="E346" s="37">
        <f t="shared" si="235"/>
        <v>2642.71</v>
      </c>
      <c r="F346" s="37">
        <f t="shared" si="235"/>
        <v>2746.57</v>
      </c>
      <c r="G346" s="37">
        <f t="shared" si="235"/>
        <v>2861.96</v>
      </c>
      <c r="H346" s="37">
        <f t="shared" si="235"/>
        <v>2934.67</v>
      </c>
      <c r="J346" s="135" t="str">
        <f>J322</f>
        <v>9a</v>
      </c>
      <c r="K346" s="37">
        <f>IF(K322="-","-",ROUND(K322*$B$336,2))</f>
        <v>2436.14</v>
      </c>
      <c r="L346" s="37">
        <f t="shared" si="234"/>
        <v>2672.62</v>
      </c>
      <c r="M346" s="37">
        <f t="shared" si="234"/>
        <v>2838.89</v>
      </c>
      <c r="N346" s="37">
        <f t="shared" si="234"/>
        <v>3208.16</v>
      </c>
      <c r="O346" s="37">
        <f t="shared" si="234"/>
        <v>3289.54</v>
      </c>
      <c r="P346" s="37">
        <f t="shared" si="234"/>
        <v>3496.68</v>
      </c>
      <c r="T346" s="75" t="s">
        <v>159</v>
      </c>
      <c r="U346" s="37">
        <f t="shared" si="225"/>
        <v>2659.06</v>
      </c>
      <c r="V346" s="37">
        <f t="shared" si="225"/>
        <v>2931.27</v>
      </c>
      <c r="W346" s="37">
        <f t="shared" si="225"/>
        <v>3192.59</v>
      </c>
      <c r="X346" s="37">
        <f t="shared" si="225"/>
        <v>3421.24</v>
      </c>
      <c r="Y346" s="37">
        <f t="shared" si="225"/>
        <v>3704.34</v>
      </c>
      <c r="Z346" s="37">
        <f t="shared" si="225"/>
        <v>3824.12</v>
      </c>
    </row>
    <row r="347" spans="1:26">
      <c r="B347" s="75">
        <f t="shared" si="226"/>
        <v>7</v>
      </c>
      <c r="C347" s="37">
        <f t="shared" ref="C347:H347" si="236">IF(C323="-","-",ROUND(C323*$B$336,2))</f>
        <v>2134.9499999999998</v>
      </c>
      <c r="D347" s="37">
        <f t="shared" si="236"/>
        <v>2365.73</v>
      </c>
      <c r="E347" s="37">
        <f t="shared" si="236"/>
        <v>2515.75</v>
      </c>
      <c r="F347" s="37">
        <f t="shared" si="236"/>
        <v>2631.17</v>
      </c>
      <c r="G347" s="37">
        <f t="shared" si="236"/>
        <v>2717.71</v>
      </c>
      <c r="H347" s="37">
        <f t="shared" si="236"/>
        <v>2798.5</v>
      </c>
      <c r="T347" s="75" t="s">
        <v>158</v>
      </c>
      <c r="U347" s="37">
        <f t="shared" si="225"/>
        <v>2613.1999999999998</v>
      </c>
      <c r="V347" s="37">
        <f t="shared" si="225"/>
        <v>2885.41</v>
      </c>
      <c r="W347" s="37">
        <f t="shared" si="225"/>
        <v>3146.73</v>
      </c>
      <c r="X347" s="37">
        <f t="shared" si="225"/>
        <v>3375.37</v>
      </c>
      <c r="Y347" s="37">
        <f t="shared" si="225"/>
        <v>3658.46</v>
      </c>
      <c r="Z347" s="37">
        <f t="shared" si="225"/>
        <v>3778.23</v>
      </c>
    </row>
    <row r="348" spans="1:26">
      <c r="B348" s="75">
        <f t="shared" si="226"/>
        <v>6</v>
      </c>
      <c r="C348" s="37">
        <f t="shared" ref="C348:H348" si="237">IF(C324="-","-",ROUND(C324*$B$336,2))</f>
        <v>2093.38</v>
      </c>
      <c r="D348" s="37">
        <f t="shared" si="237"/>
        <v>2319.5700000000002</v>
      </c>
      <c r="E348" s="37">
        <f t="shared" si="237"/>
        <v>2434.9699999999998</v>
      </c>
      <c r="F348" s="37">
        <f t="shared" si="237"/>
        <v>2544.61</v>
      </c>
      <c r="G348" s="37">
        <f t="shared" si="237"/>
        <v>2619.63</v>
      </c>
      <c r="H348" s="37">
        <f t="shared" si="237"/>
        <v>2694.64</v>
      </c>
      <c r="T348" s="75" t="s">
        <v>157</v>
      </c>
      <c r="U348" s="37">
        <f t="shared" ref="U348:Z357" si="238">IF(U324="-","-",ROUND(U324*$T$336,2))</f>
        <v>2561.66</v>
      </c>
      <c r="V348" s="37">
        <f t="shared" si="238"/>
        <v>2888.3</v>
      </c>
      <c r="W348" s="37">
        <f t="shared" si="238"/>
        <v>3029.84</v>
      </c>
      <c r="X348" s="37">
        <f t="shared" si="238"/>
        <v>3378.27</v>
      </c>
      <c r="Y348" s="37">
        <f t="shared" si="238"/>
        <v>3650.49</v>
      </c>
      <c r="Z348" s="37">
        <f t="shared" si="238"/>
        <v>3813.81</v>
      </c>
    </row>
    <row r="349" spans="1:26">
      <c r="B349" s="75">
        <f t="shared" si="226"/>
        <v>5</v>
      </c>
      <c r="C349" s="37">
        <f t="shared" ref="C349:H349" si="239">IF(C325="-","-",ROUND(C325*$B$336,2))</f>
        <v>2005.67</v>
      </c>
      <c r="D349" s="37">
        <f t="shared" si="239"/>
        <v>2221.4899999999998</v>
      </c>
      <c r="E349" s="37">
        <f t="shared" si="239"/>
        <v>2331.12</v>
      </c>
      <c r="F349" s="37">
        <f t="shared" si="239"/>
        <v>2440.75</v>
      </c>
      <c r="G349" s="37">
        <f t="shared" si="239"/>
        <v>2521.5300000000002</v>
      </c>
      <c r="H349" s="37">
        <f t="shared" si="239"/>
        <v>2579.2399999999998</v>
      </c>
      <c r="T349" s="75" t="s">
        <v>156</v>
      </c>
      <c r="U349" s="37">
        <f t="shared" si="238"/>
        <v>2504.3200000000002</v>
      </c>
      <c r="V349" s="37">
        <f t="shared" si="238"/>
        <v>2830.97</v>
      </c>
      <c r="W349" s="37">
        <f t="shared" si="238"/>
        <v>2972.51</v>
      </c>
      <c r="X349" s="37">
        <f t="shared" si="238"/>
        <v>3320.94</v>
      </c>
      <c r="Y349" s="37">
        <f t="shared" si="238"/>
        <v>3593.15</v>
      </c>
      <c r="Z349" s="37">
        <f t="shared" si="238"/>
        <v>3756.47</v>
      </c>
    </row>
    <row r="350" spans="1:26">
      <c r="B350" s="75">
        <f t="shared" si="226"/>
        <v>4</v>
      </c>
      <c r="C350" s="37">
        <f t="shared" ref="C350:H350" si="240">IF(C326="-","-",ROUND(C326*$B$336,2))</f>
        <v>1906.43</v>
      </c>
      <c r="D350" s="37">
        <f t="shared" si="240"/>
        <v>2111.86</v>
      </c>
      <c r="E350" s="37">
        <f t="shared" si="240"/>
        <v>2250.33</v>
      </c>
      <c r="F350" s="37">
        <f t="shared" si="240"/>
        <v>2331.12</v>
      </c>
      <c r="G350" s="37">
        <f t="shared" si="240"/>
        <v>2411.9</v>
      </c>
      <c r="H350" s="37">
        <f t="shared" si="240"/>
        <v>2459.1999999999998</v>
      </c>
      <c r="T350" s="75" t="s">
        <v>155</v>
      </c>
      <c r="U350" s="37">
        <f t="shared" si="238"/>
        <v>2438.98</v>
      </c>
      <c r="V350" s="37">
        <f t="shared" si="238"/>
        <v>2700.3</v>
      </c>
      <c r="W350" s="37">
        <f t="shared" si="238"/>
        <v>2830.97</v>
      </c>
      <c r="X350" s="37">
        <f t="shared" si="238"/>
        <v>3212.06</v>
      </c>
      <c r="Y350" s="37">
        <f t="shared" si="238"/>
        <v>3516.93</v>
      </c>
      <c r="Z350" s="37">
        <f t="shared" si="238"/>
        <v>3767.35</v>
      </c>
    </row>
    <row r="351" spans="1:26">
      <c r="B351" s="75">
        <f t="shared" si="226"/>
        <v>3</v>
      </c>
      <c r="C351" s="37">
        <f t="shared" ref="C351:H351" si="241">IF(C327="-","-",ROUND(C327*$B$336,2))</f>
        <v>1875.29</v>
      </c>
      <c r="D351" s="37">
        <f t="shared" si="241"/>
        <v>2077.2199999999998</v>
      </c>
      <c r="E351" s="37">
        <f t="shared" si="241"/>
        <v>2134.9499999999998</v>
      </c>
      <c r="F351" s="37">
        <f t="shared" si="241"/>
        <v>2227.2600000000002</v>
      </c>
      <c r="G351" s="37">
        <f t="shared" si="241"/>
        <v>2296.5100000000002</v>
      </c>
      <c r="H351" s="37">
        <f t="shared" si="241"/>
        <v>2359.9699999999998</v>
      </c>
      <c r="T351" s="75" t="s">
        <v>141</v>
      </c>
      <c r="U351" s="37">
        <f t="shared" si="238"/>
        <v>2428.09</v>
      </c>
      <c r="V351" s="37">
        <f t="shared" si="238"/>
        <v>2613.1999999999998</v>
      </c>
      <c r="W351" s="37">
        <f t="shared" si="238"/>
        <v>2776.52</v>
      </c>
      <c r="X351" s="37">
        <f t="shared" si="238"/>
        <v>3075.95</v>
      </c>
      <c r="Y351" s="37">
        <f t="shared" si="238"/>
        <v>3320.94</v>
      </c>
      <c r="Z351" s="37">
        <f t="shared" si="238"/>
        <v>3555.04</v>
      </c>
    </row>
    <row r="352" spans="1:26">
      <c r="B352" s="75" t="str">
        <f t="shared" si="226"/>
        <v>2Ü</v>
      </c>
      <c r="C352" s="37">
        <f t="shared" ref="C352:H352" si="242">IF(C328="-","-",ROUND(C328*$B$336,2))</f>
        <v>1792.17</v>
      </c>
      <c r="D352" s="37">
        <f t="shared" si="242"/>
        <v>1984.92</v>
      </c>
      <c r="E352" s="37">
        <f t="shared" si="242"/>
        <v>2054.16</v>
      </c>
      <c r="F352" s="37">
        <f t="shared" si="242"/>
        <v>2146.48</v>
      </c>
      <c r="G352" s="37">
        <f t="shared" si="242"/>
        <v>2209.94</v>
      </c>
      <c r="H352" s="37">
        <f t="shared" si="242"/>
        <v>2257.2800000000002</v>
      </c>
      <c r="T352" s="75" t="s">
        <v>142</v>
      </c>
      <c r="U352" s="37">
        <f t="shared" si="238"/>
        <v>2330.09</v>
      </c>
      <c r="V352" s="37">
        <f t="shared" si="238"/>
        <v>2504.3200000000002</v>
      </c>
      <c r="W352" s="37">
        <f t="shared" si="238"/>
        <v>2722.08</v>
      </c>
      <c r="X352" s="37">
        <f t="shared" si="238"/>
        <v>3032.4</v>
      </c>
      <c r="Y352" s="37">
        <f t="shared" si="238"/>
        <v>3315.49</v>
      </c>
      <c r="Z352" s="37">
        <f t="shared" si="238"/>
        <v>3538.69</v>
      </c>
    </row>
    <row r="353" spans="1:35">
      <c r="B353" s="75">
        <f t="shared" si="226"/>
        <v>2</v>
      </c>
      <c r="C353" s="37">
        <f t="shared" ref="C353:H353" si="243">IF(C329="-","-",ROUND(C329*$B$336,2))</f>
        <v>1729.86</v>
      </c>
      <c r="D353" s="37">
        <f t="shared" si="243"/>
        <v>1915.66</v>
      </c>
      <c r="E353" s="37">
        <f t="shared" si="243"/>
        <v>1973.37</v>
      </c>
      <c r="F353" s="37">
        <f t="shared" si="243"/>
        <v>2031.08</v>
      </c>
      <c r="G353" s="37">
        <f t="shared" si="243"/>
        <v>2157.9899999999998</v>
      </c>
      <c r="H353" s="37">
        <f t="shared" si="243"/>
        <v>2290.73</v>
      </c>
      <c r="T353" s="75" t="s">
        <v>143</v>
      </c>
      <c r="U353" s="37">
        <f t="shared" si="238"/>
        <v>2259.3200000000002</v>
      </c>
      <c r="V353" s="37">
        <f t="shared" si="238"/>
        <v>2477.09</v>
      </c>
      <c r="W353" s="37">
        <f t="shared" si="238"/>
        <v>2651.32</v>
      </c>
      <c r="X353" s="37">
        <f t="shared" si="238"/>
        <v>2825.52</v>
      </c>
      <c r="Y353" s="37">
        <f t="shared" si="238"/>
        <v>2956.19</v>
      </c>
      <c r="Z353" s="37">
        <f t="shared" si="238"/>
        <v>3146.73</v>
      </c>
    </row>
    <row r="354" spans="1:35">
      <c r="B354" s="75">
        <f t="shared" si="226"/>
        <v>1</v>
      </c>
      <c r="C354" s="37" t="str">
        <f t="shared" ref="C354:H354" si="244">IF(C330="-","-",ROUND(C330*$B$336,2))</f>
        <v>-</v>
      </c>
      <c r="D354" s="37">
        <f t="shared" si="244"/>
        <v>1541.78</v>
      </c>
      <c r="E354" s="37">
        <f t="shared" si="244"/>
        <v>1569.47</v>
      </c>
      <c r="F354" s="37">
        <f t="shared" si="244"/>
        <v>1604.1</v>
      </c>
      <c r="G354" s="37">
        <f t="shared" si="244"/>
        <v>1636.39</v>
      </c>
      <c r="H354" s="37">
        <f t="shared" si="244"/>
        <v>1719.48</v>
      </c>
      <c r="T354" s="75" t="s">
        <v>144</v>
      </c>
      <c r="U354" s="37">
        <f t="shared" si="238"/>
        <v>2221.21</v>
      </c>
      <c r="V354" s="37">
        <f t="shared" si="238"/>
        <v>2438.98</v>
      </c>
      <c r="W354" s="37">
        <f t="shared" si="238"/>
        <v>2613.1999999999998</v>
      </c>
      <c r="X354" s="37">
        <f t="shared" si="238"/>
        <v>2787.4</v>
      </c>
      <c r="Y354" s="37">
        <f t="shared" si="238"/>
        <v>2945.28</v>
      </c>
      <c r="Z354" s="37">
        <f t="shared" si="238"/>
        <v>3118.42</v>
      </c>
    </row>
    <row r="355" spans="1:35">
      <c r="T355" s="75" t="s">
        <v>145</v>
      </c>
      <c r="U355" s="37">
        <f t="shared" si="238"/>
        <v>2221.21</v>
      </c>
      <c r="V355" s="37">
        <f t="shared" si="238"/>
        <v>2438.98</v>
      </c>
      <c r="W355" s="37">
        <f t="shared" si="238"/>
        <v>2602.31</v>
      </c>
      <c r="X355" s="37">
        <f t="shared" si="238"/>
        <v>2689.41</v>
      </c>
      <c r="Y355" s="37">
        <f t="shared" si="238"/>
        <v>2809.19</v>
      </c>
      <c r="Z355" s="37">
        <f t="shared" si="238"/>
        <v>3016.07</v>
      </c>
    </row>
    <row r="356" spans="1:35">
      <c r="T356" s="75" t="s">
        <v>146</v>
      </c>
      <c r="U356" s="37">
        <f t="shared" si="238"/>
        <v>2014.34</v>
      </c>
      <c r="V356" s="37">
        <f t="shared" si="238"/>
        <v>2286.54</v>
      </c>
      <c r="W356" s="37">
        <f t="shared" si="238"/>
        <v>2428.09</v>
      </c>
      <c r="X356" s="37">
        <f t="shared" si="238"/>
        <v>2547.87</v>
      </c>
      <c r="Y356" s="37">
        <f t="shared" si="238"/>
        <v>2624.08</v>
      </c>
      <c r="Z356" s="37">
        <f t="shared" si="238"/>
        <v>2722.08</v>
      </c>
    </row>
    <row r="357" spans="1:35">
      <c r="T357" s="75" t="s">
        <v>147</v>
      </c>
      <c r="U357" s="37">
        <f t="shared" si="238"/>
        <v>1905.46</v>
      </c>
      <c r="V357" s="37">
        <f t="shared" si="238"/>
        <v>2134.12</v>
      </c>
      <c r="W357" s="37">
        <f t="shared" si="238"/>
        <v>2286.54</v>
      </c>
      <c r="X357" s="37">
        <f t="shared" si="238"/>
        <v>2438.98</v>
      </c>
      <c r="Y357" s="37">
        <f t="shared" si="238"/>
        <v>2482.54</v>
      </c>
      <c r="Z357" s="37">
        <f t="shared" si="238"/>
        <v>2526.1</v>
      </c>
    </row>
    <row r="358" spans="1:35">
      <c r="T358" s="75" t="s">
        <v>148</v>
      </c>
      <c r="U358" s="37">
        <f t="shared" ref="U358:Z358" si="245">IF(U334="-","-",ROUND(U334*$T$336,2))</f>
        <v>1823.79</v>
      </c>
      <c r="V358" s="37">
        <f t="shared" si="245"/>
        <v>1927.24</v>
      </c>
      <c r="W358" s="37">
        <f t="shared" si="245"/>
        <v>2003.45</v>
      </c>
      <c r="X358" s="37">
        <f t="shared" si="245"/>
        <v>2090.56</v>
      </c>
      <c r="Y358" s="37">
        <f t="shared" si="245"/>
        <v>2177.66</v>
      </c>
      <c r="Z358" s="37">
        <f t="shared" si="245"/>
        <v>2264.7800000000002</v>
      </c>
    </row>
    <row r="360" spans="1:35">
      <c r="B360" s="172" t="s">
        <v>262</v>
      </c>
      <c r="C360" s="247">
        <v>90</v>
      </c>
      <c r="T360" s="172" t="s">
        <v>262</v>
      </c>
      <c r="U360" s="248">
        <v>90</v>
      </c>
      <c r="AC360" s="172" t="s">
        <v>369</v>
      </c>
    </row>
    <row r="361" spans="1:35">
      <c r="A361" s="155" t="s">
        <v>253</v>
      </c>
      <c r="B361" s="75">
        <v>2014</v>
      </c>
      <c r="C361" s="75" t="str">
        <f t="shared" ref="C361:H361" si="246">C289</f>
        <v>Stufe 1</v>
      </c>
      <c r="D361" s="75" t="str">
        <f t="shared" si="246"/>
        <v>Stufe 2</v>
      </c>
      <c r="E361" s="75" t="str">
        <f t="shared" si="246"/>
        <v>Stufe 3</v>
      </c>
      <c r="F361" s="75" t="str">
        <f t="shared" si="246"/>
        <v>Stufe 4</v>
      </c>
      <c r="G361" s="75" t="str">
        <f t="shared" si="246"/>
        <v>Stufe 5</v>
      </c>
      <c r="H361" s="75" t="str">
        <f t="shared" si="246"/>
        <v>Stufe 6</v>
      </c>
      <c r="S361" s="155" t="s">
        <v>253</v>
      </c>
      <c r="T361" s="75">
        <v>2014</v>
      </c>
      <c r="U361" s="75" t="str">
        <f t="shared" ref="U361:Z361" si="247">C1</f>
        <v>Stufe 1</v>
      </c>
      <c r="V361" s="75" t="str">
        <f t="shared" si="247"/>
        <v>Stufe 2</v>
      </c>
      <c r="W361" s="75" t="str">
        <f t="shared" si="247"/>
        <v>Stufe 3</v>
      </c>
      <c r="X361" s="75" t="str">
        <f t="shared" si="247"/>
        <v>Stufe 4</v>
      </c>
      <c r="Y361" s="75" t="str">
        <f t="shared" si="247"/>
        <v>Stufe 5</v>
      </c>
      <c r="Z361" s="75" t="str">
        <f t="shared" si="247"/>
        <v>Stufe 6</v>
      </c>
      <c r="AC361" s="75">
        <v>2014</v>
      </c>
      <c r="AD361" s="75" t="str">
        <f t="shared" ref="AD361:AI361" si="248">C193</f>
        <v>Stufe 1</v>
      </c>
      <c r="AE361" s="75" t="str">
        <f t="shared" si="248"/>
        <v>Stufe 2</v>
      </c>
      <c r="AF361" s="75" t="str">
        <f t="shared" si="248"/>
        <v>Stufe 3</v>
      </c>
      <c r="AG361" s="75" t="str">
        <f t="shared" si="248"/>
        <v>Stufe 4</v>
      </c>
      <c r="AH361" s="75" t="str">
        <f t="shared" si="248"/>
        <v>Stufe 5</v>
      </c>
      <c r="AI361" s="75" t="str">
        <f t="shared" si="248"/>
        <v>Stufe 6</v>
      </c>
    </row>
    <row r="362" spans="1:35">
      <c r="B362" s="75" t="str">
        <f>B338</f>
        <v>15Ü</v>
      </c>
      <c r="C362" s="37" t="str">
        <f t="shared" ref="C362:H362" si="249">IF(C338="-","-",IF((ROUND(C338*$B$360,2)-C338)&lt;$C$360,C338+$C$360,ROUND(C338*$B$360,2)))</f>
        <v>-</v>
      </c>
      <c r="D362" s="37">
        <f t="shared" si="249"/>
        <v>5206.24</v>
      </c>
      <c r="E362" s="37">
        <f t="shared" si="249"/>
        <v>5770.84</v>
      </c>
      <c r="F362" s="37">
        <f t="shared" si="249"/>
        <v>6305.73</v>
      </c>
      <c r="G362" s="37">
        <f t="shared" si="249"/>
        <v>6662.34</v>
      </c>
      <c r="H362" s="37">
        <f t="shared" si="249"/>
        <v>6745.53</v>
      </c>
      <c r="T362" s="75" t="s">
        <v>167</v>
      </c>
      <c r="U362" s="37">
        <f t="shared" ref="U362:Z371" si="250">IF(U338="-","-",IF((ROUND(U338*$T$360,2)-U338)&lt;$U$360,U338+$U$360,ROUND(U338*$T$360,2)))</f>
        <v>3364.5</v>
      </c>
      <c r="V362" s="37">
        <f t="shared" si="250"/>
        <v>3476.63</v>
      </c>
      <c r="W362" s="37">
        <f t="shared" si="250"/>
        <v>3925.25</v>
      </c>
      <c r="X362" s="37">
        <f t="shared" si="250"/>
        <v>4261.6899999999996</v>
      </c>
      <c r="Y362" s="37">
        <f t="shared" si="250"/>
        <v>4766.37</v>
      </c>
      <c r="Z362" s="37">
        <f t="shared" si="250"/>
        <v>5074.78</v>
      </c>
      <c r="AC362" s="75">
        <f t="shared" ref="AC362:AC374" si="251">B195</f>
        <v>15</v>
      </c>
      <c r="AD362" s="37">
        <v>4790.62</v>
      </c>
      <c r="AE362" s="37">
        <v>5322.89</v>
      </c>
      <c r="AF362" s="37">
        <v>5833.89</v>
      </c>
      <c r="AG362" s="37">
        <v>6309.42</v>
      </c>
      <c r="AH362" s="37">
        <v>6749.45</v>
      </c>
      <c r="AI362" s="37">
        <v>7153.97</v>
      </c>
    </row>
    <row r="363" spans="1:35">
      <c r="B363" s="75">
        <f t="shared" ref="B363:B377" si="252">B339</f>
        <v>15</v>
      </c>
      <c r="C363" s="37">
        <f t="shared" ref="C363:H363" si="253">IF(C339="-","-",IF((ROUND(C339*$B$360,2)-C339)&lt;$C$360,C339+$C$360,ROUND(C339*$B$360,2)))</f>
        <v>4081.78</v>
      </c>
      <c r="D363" s="37">
        <f t="shared" si="253"/>
        <v>4528.7299999999996</v>
      </c>
      <c r="E363" s="37">
        <f t="shared" si="253"/>
        <v>4695.13</v>
      </c>
      <c r="F363" s="37">
        <f t="shared" si="253"/>
        <v>5289.44</v>
      </c>
      <c r="G363" s="37">
        <f t="shared" si="253"/>
        <v>5741.12</v>
      </c>
      <c r="H363" s="37">
        <f t="shared" si="253"/>
        <v>6038.28</v>
      </c>
      <c r="T363" s="75" t="s">
        <v>166</v>
      </c>
      <c r="U363" s="37">
        <f t="shared" si="250"/>
        <v>3029.84</v>
      </c>
      <c r="V363" s="37">
        <f t="shared" si="250"/>
        <v>3336.45</v>
      </c>
      <c r="W363" s="37">
        <f t="shared" si="250"/>
        <v>3700.94</v>
      </c>
      <c r="X363" s="37">
        <f t="shared" si="250"/>
        <v>3925.25</v>
      </c>
      <c r="Y363" s="37">
        <f t="shared" si="250"/>
        <v>4373.83</v>
      </c>
      <c r="Z363" s="37">
        <f t="shared" si="250"/>
        <v>4637.3900000000003</v>
      </c>
      <c r="AC363" s="75">
        <f t="shared" si="251"/>
        <v>14</v>
      </c>
      <c r="AD363" s="37">
        <v>4471.24</v>
      </c>
      <c r="AE363" s="37">
        <v>4925.46</v>
      </c>
      <c r="AF363" s="37">
        <v>5365.49</v>
      </c>
      <c r="AG363" s="37">
        <v>5791.33</v>
      </c>
      <c r="AH363" s="37">
        <v>6195.87</v>
      </c>
      <c r="AI363" s="37">
        <v>6564.93</v>
      </c>
    </row>
    <row r="364" spans="1:35">
      <c r="B364" s="75">
        <f t="shared" si="252"/>
        <v>14</v>
      </c>
      <c r="C364" s="37">
        <f t="shared" ref="C364:H364" si="254">IF(C340="-","-",IF((ROUND(C340*$B$360,2)-C340)&lt;$C$360,C340+$C$360,ROUND(C340*$B$360,2)))</f>
        <v>3696.66</v>
      </c>
      <c r="D364" s="37">
        <f t="shared" si="254"/>
        <v>4100.79</v>
      </c>
      <c r="E364" s="37">
        <f t="shared" si="254"/>
        <v>4338.5200000000004</v>
      </c>
      <c r="F364" s="37">
        <f t="shared" si="254"/>
        <v>4695.13</v>
      </c>
      <c r="G364" s="37">
        <f t="shared" si="254"/>
        <v>5241.91</v>
      </c>
      <c r="H364" s="37">
        <f t="shared" si="254"/>
        <v>5539.05</v>
      </c>
      <c r="T364" s="75" t="s">
        <v>165</v>
      </c>
      <c r="U364" s="37" t="str">
        <f t="shared" si="250"/>
        <v>-</v>
      </c>
      <c r="V364" s="37" t="str">
        <f t="shared" si="250"/>
        <v>-</v>
      </c>
      <c r="W364" s="37">
        <f t="shared" si="250"/>
        <v>3639.26</v>
      </c>
      <c r="X364" s="37">
        <f t="shared" si="250"/>
        <v>4037.39</v>
      </c>
      <c r="Y364" s="37">
        <f t="shared" si="250"/>
        <v>4284.13</v>
      </c>
      <c r="Z364" s="37" t="str">
        <f t="shared" si="250"/>
        <v>-</v>
      </c>
      <c r="AC364" s="75">
        <f t="shared" si="251"/>
        <v>13</v>
      </c>
      <c r="AD364" s="37">
        <v>4187.3599999999997</v>
      </c>
      <c r="AE364" s="37">
        <v>4613.2</v>
      </c>
      <c r="AF364" s="37">
        <v>5024.8100000000004</v>
      </c>
      <c r="AG364" s="37">
        <v>5429.36</v>
      </c>
      <c r="AH364" s="37">
        <v>5741.63</v>
      </c>
      <c r="AI364" s="37">
        <v>5997.15</v>
      </c>
    </row>
    <row r="365" spans="1:35">
      <c r="B365" s="75">
        <f t="shared" si="252"/>
        <v>13</v>
      </c>
      <c r="C365" s="37">
        <f t="shared" ref="C365:H365" si="255">IF(C341="-","-",IF((ROUND(C341*$B$360,2)-C341)&lt;$C$360,C341+$C$360,ROUND(C341*$B$360,2)))</f>
        <v>3407.83</v>
      </c>
      <c r="D365" s="37">
        <f t="shared" si="255"/>
        <v>3779.87</v>
      </c>
      <c r="E365" s="37">
        <f t="shared" si="255"/>
        <v>3981.95</v>
      </c>
      <c r="F365" s="37">
        <f t="shared" si="255"/>
        <v>4374.16</v>
      </c>
      <c r="G365" s="37">
        <f t="shared" si="255"/>
        <v>4920.95</v>
      </c>
      <c r="H365" s="37">
        <f t="shared" si="255"/>
        <v>5146.8100000000004</v>
      </c>
      <c r="T365" s="75" t="s">
        <v>164</v>
      </c>
      <c r="U365" s="37">
        <f t="shared" si="250"/>
        <v>2953.63</v>
      </c>
      <c r="V365" s="37">
        <f t="shared" si="250"/>
        <v>3263.56</v>
      </c>
      <c r="W365" s="37">
        <f t="shared" si="250"/>
        <v>3510.28</v>
      </c>
      <c r="X365" s="37">
        <f t="shared" si="250"/>
        <v>3813.09</v>
      </c>
      <c r="Y365" s="37">
        <f t="shared" si="250"/>
        <v>4149.53</v>
      </c>
      <c r="Z365" s="37">
        <f t="shared" si="250"/>
        <v>4351.41</v>
      </c>
      <c r="AC365" s="75">
        <f t="shared" si="251"/>
        <v>12</v>
      </c>
      <c r="AD365" s="37">
        <v>3903.46</v>
      </c>
      <c r="AE365" s="37">
        <v>4279.63</v>
      </c>
      <c r="AF365" s="37">
        <v>4655.76</v>
      </c>
      <c r="AG365" s="37">
        <v>4975.1400000000003</v>
      </c>
      <c r="AH365" s="37">
        <v>5287.43</v>
      </c>
      <c r="AI365" s="37">
        <v>5507.29</v>
      </c>
    </row>
    <row r="366" spans="1:35">
      <c r="B366" s="75">
        <f t="shared" si="252"/>
        <v>12</v>
      </c>
      <c r="C366" s="37">
        <f t="shared" ref="C366:H366" si="256">IF(C342="-","-",IF((ROUND(C342*$B$360,2)-C342)&lt;$C$360,C342+$C$360,ROUND(C342*$B$360,2)))</f>
        <v>3055.83</v>
      </c>
      <c r="D366" s="37">
        <f t="shared" si="256"/>
        <v>3387.62</v>
      </c>
      <c r="E366" s="37">
        <f t="shared" si="256"/>
        <v>3863.07</v>
      </c>
      <c r="F366" s="37">
        <f t="shared" si="256"/>
        <v>4279.1000000000004</v>
      </c>
      <c r="G366" s="37">
        <f t="shared" si="256"/>
        <v>4813.99</v>
      </c>
      <c r="H366" s="37">
        <f t="shared" si="256"/>
        <v>5051.72</v>
      </c>
      <c r="T366" s="75" t="s">
        <v>163</v>
      </c>
      <c r="U366" s="37">
        <f t="shared" si="250"/>
        <v>2844.74</v>
      </c>
      <c r="V366" s="37">
        <f t="shared" si="250"/>
        <v>3140.18</v>
      </c>
      <c r="W366" s="37">
        <f t="shared" si="250"/>
        <v>3364.5</v>
      </c>
      <c r="X366" s="37">
        <f t="shared" si="250"/>
        <v>3622.44</v>
      </c>
      <c r="Y366" s="37">
        <f t="shared" si="250"/>
        <v>4037.39</v>
      </c>
      <c r="Z366" s="37">
        <f t="shared" si="250"/>
        <v>4216.82</v>
      </c>
      <c r="AC366" s="75">
        <f t="shared" si="251"/>
        <v>11</v>
      </c>
      <c r="AD366" s="37">
        <v>3655.04</v>
      </c>
      <c r="AE366" s="37">
        <v>4002.81</v>
      </c>
      <c r="AF366" s="37">
        <v>4307.99</v>
      </c>
      <c r="AG366" s="37">
        <v>4570.63</v>
      </c>
      <c r="AH366" s="37">
        <v>4790.62</v>
      </c>
      <c r="AI366" s="37">
        <v>4975.1400000000003</v>
      </c>
    </row>
    <row r="367" spans="1:35">
      <c r="B367" s="75">
        <f t="shared" si="252"/>
        <v>11</v>
      </c>
      <c r="C367" s="37">
        <f t="shared" ref="C367:H367" si="257">IF(C343="-","-",IF((ROUND(C343*$B$360,2)-C343)&lt;$C$360,C343+$C$360,ROUND(C343*$B$360,2)))</f>
        <v>2951.96</v>
      </c>
      <c r="D367" s="37">
        <f t="shared" si="257"/>
        <v>3268.78</v>
      </c>
      <c r="E367" s="37">
        <f t="shared" si="257"/>
        <v>3506.48</v>
      </c>
      <c r="F367" s="37">
        <f t="shared" si="257"/>
        <v>3863.07</v>
      </c>
      <c r="G367" s="37">
        <f t="shared" si="257"/>
        <v>4380.13</v>
      </c>
      <c r="H367" s="37">
        <f t="shared" si="257"/>
        <v>4617.8599999999997</v>
      </c>
      <c r="T367" s="75" t="s">
        <v>162</v>
      </c>
      <c r="U367" s="37">
        <f t="shared" si="250"/>
        <v>2812.08</v>
      </c>
      <c r="V367" s="37">
        <f t="shared" si="250"/>
        <v>3029.84</v>
      </c>
      <c r="W367" s="37">
        <f t="shared" si="250"/>
        <v>3308.42</v>
      </c>
      <c r="X367" s="37">
        <f t="shared" si="250"/>
        <v>3532.7</v>
      </c>
      <c r="Y367" s="37">
        <f t="shared" si="250"/>
        <v>3813.09</v>
      </c>
      <c r="Z367" s="37">
        <f t="shared" si="250"/>
        <v>4009.35</v>
      </c>
      <c r="AC367" s="75">
        <f t="shared" si="251"/>
        <v>10</v>
      </c>
      <c r="AD367" s="37">
        <v>3406.66</v>
      </c>
      <c r="AE367" s="37">
        <v>3733.14</v>
      </c>
      <c r="AF367" s="37">
        <v>4052.5</v>
      </c>
      <c r="AG367" s="37">
        <v>4265.3999999999996</v>
      </c>
      <c r="AH367" s="37">
        <v>4414.45</v>
      </c>
      <c r="AI367" s="37">
        <v>4520.88</v>
      </c>
    </row>
    <row r="368" spans="1:35">
      <c r="B368" s="75">
        <f t="shared" si="252"/>
        <v>10</v>
      </c>
      <c r="C368" s="37">
        <f t="shared" ref="C368:H368" si="258">IF(C344="-","-",IF((ROUND(C344*$B$360,2)-C344)&lt;$C$360,C344+$C$360,ROUND(C344*$B$360,2)))</f>
        <v>2848.09</v>
      </c>
      <c r="D368" s="37">
        <f t="shared" si="258"/>
        <v>3149.88</v>
      </c>
      <c r="E368" s="37">
        <f t="shared" si="258"/>
        <v>3387.62</v>
      </c>
      <c r="F368" s="37">
        <f t="shared" si="258"/>
        <v>3625.36</v>
      </c>
      <c r="G368" s="37">
        <f t="shared" si="258"/>
        <v>4077.03</v>
      </c>
      <c r="H368" s="37">
        <f t="shared" si="258"/>
        <v>4184</v>
      </c>
      <c r="T368" s="75" t="s">
        <v>161</v>
      </c>
      <c r="U368" s="37">
        <f t="shared" si="250"/>
        <v>2857.96</v>
      </c>
      <c r="V368" s="37">
        <f t="shared" si="250"/>
        <v>3075.71</v>
      </c>
      <c r="W368" s="37">
        <f t="shared" si="250"/>
        <v>3355.66</v>
      </c>
      <c r="X368" s="37">
        <f t="shared" si="250"/>
        <v>3579.96</v>
      </c>
      <c r="Y368" s="37">
        <f t="shared" si="250"/>
        <v>3860.33</v>
      </c>
      <c r="Z368" s="37">
        <f t="shared" si="250"/>
        <v>4000.52</v>
      </c>
      <c r="AC368" s="75">
        <f t="shared" si="251"/>
        <v>9</v>
      </c>
      <c r="AD368" s="37">
        <v>3193.74</v>
      </c>
      <c r="AE368" s="37">
        <v>3477.63</v>
      </c>
      <c r="AF368" s="37">
        <v>3754.44</v>
      </c>
      <c r="AG368" s="37">
        <v>3946.05</v>
      </c>
      <c r="AH368" s="37">
        <v>4017.03</v>
      </c>
      <c r="AI368" s="37">
        <v>4123.49</v>
      </c>
    </row>
    <row r="369" spans="2:35">
      <c r="B369" s="75">
        <f t="shared" si="252"/>
        <v>9</v>
      </c>
      <c r="C369" s="37">
        <f t="shared" ref="C369:H369" si="259">IF(C345="-","-",IF((ROUND(C345*$B$360,2)-C345)&lt;$C$360,C345+$C$360,ROUND(C345*$B$360,2)))</f>
        <v>2526.14</v>
      </c>
      <c r="D369" s="37">
        <f t="shared" si="259"/>
        <v>2790.39</v>
      </c>
      <c r="E369" s="37">
        <f t="shared" si="259"/>
        <v>2928.89</v>
      </c>
      <c r="F369" s="37">
        <f t="shared" si="259"/>
        <v>3304.4</v>
      </c>
      <c r="G369" s="37">
        <f t="shared" si="259"/>
        <v>3601.58</v>
      </c>
      <c r="H369" s="37">
        <f t="shared" si="259"/>
        <v>3839.29</v>
      </c>
      <c r="J369" s="135" t="str">
        <f>J345</f>
        <v>9c</v>
      </c>
      <c r="K369" s="37">
        <f>IF(K345="-","-",IF((ROUND(K345*$B$360,2)-K345)&lt;$C$360,K345+$C$360,ROUND(K345*$B$360,2)))</f>
        <v>2763.31</v>
      </c>
      <c r="L369" s="37">
        <f t="shared" ref="L369:P370" si="260">IF(L345="-","-",IF((ROUND(L345*$B$360,2)-L345)&lt;$C$360,L345+$C$360,ROUND(L345*$B$360,2)))</f>
        <v>2999.79</v>
      </c>
      <c r="M369" s="37">
        <f t="shared" si="260"/>
        <v>3283.03</v>
      </c>
      <c r="N369" s="37">
        <f t="shared" si="260"/>
        <v>3494.84</v>
      </c>
      <c r="O369" s="37">
        <f t="shared" si="260"/>
        <v>3812.56</v>
      </c>
      <c r="P369" s="37">
        <f t="shared" si="260"/>
        <v>3950.23</v>
      </c>
      <c r="T369" s="75" t="s">
        <v>160</v>
      </c>
      <c r="U369" s="37">
        <f t="shared" si="250"/>
        <v>2812.08</v>
      </c>
      <c r="V369" s="37">
        <f t="shared" si="250"/>
        <v>3029.84</v>
      </c>
      <c r="W369" s="37">
        <f t="shared" si="250"/>
        <v>3308.42</v>
      </c>
      <c r="X369" s="37">
        <f t="shared" si="250"/>
        <v>3532.7</v>
      </c>
      <c r="Y369" s="37">
        <f t="shared" si="250"/>
        <v>3813.09</v>
      </c>
      <c r="Z369" s="37">
        <f t="shared" si="250"/>
        <v>3953.26</v>
      </c>
      <c r="AC369" s="75">
        <f t="shared" si="251"/>
        <v>8</v>
      </c>
      <c r="AD369" s="37">
        <v>2980.86</v>
      </c>
      <c r="AE369" s="37">
        <v>3165.35</v>
      </c>
      <c r="AF369" s="37">
        <v>3321.49</v>
      </c>
      <c r="AG369" s="37">
        <v>3470.56</v>
      </c>
      <c r="AH369" s="37">
        <v>3619.59</v>
      </c>
      <c r="AI369" s="37">
        <v>3726.05</v>
      </c>
    </row>
    <row r="370" spans="2:35">
      <c r="B370" s="75">
        <f t="shared" si="252"/>
        <v>8</v>
      </c>
      <c r="C370" s="37">
        <f t="shared" ref="C370:H370" si="261">IF(C346="-","-",IF((ROUND(C346*$B$360,2)-C346)&lt;$C$360,C346+$C$360,ROUND(C346*$B$360,2)))</f>
        <v>2370.34</v>
      </c>
      <c r="D370" s="37">
        <f t="shared" si="261"/>
        <v>2617.29</v>
      </c>
      <c r="E370" s="37">
        <f t="shared" si="261"/>
        <v>2732.71</v>
      </c>
      <c r="F370" s="37">
        <f t="shared" si="261"/>
        <v>2836.57</v>
      </c>
      <c r="G370" s="37">
        <f t="shared" si="261"/>
        <v>2951.96</v>
      </c>
      <c r="H370" s="37">
        <f t="shared" si="261"/>
        <v>3024.67</v>
      </c>
      <c r="J370" s="135" t="str">
        <f>J346</f>
        <v>9a</v>
      </c>
      <c r="K370" s="37">
        <f>IF(K346="-","-",IF((ROUND(K346*$B$360,2)-K346)&lt;$C$360,K346+$C$360,ROUND(K346*$B$360,2)))</f>
        <v>2526.14</v>
      </c>
      <c r="L370" s="37">
        <f t="shared" si="260"/>
        <v>2762.62</v>
      </c>
      <c r="M370" s="37">
        <f t="shared" si="260"/>
        <v>2928.89</v>
      </c>
      <c r="N370" s="37">
        <f t="shared" si="260"/>
        <v>3304.4</v>
      </c>
      <c r="O370" s="37">
        <f t="shared" si="260"/>
        <v>3388.23</v>
      </c>
      <c r="P370" s="37">
        <f t="shared" si="260"/>
        <v>3601.58</v>
      </c>
      <c r="T370" s="75" t="s">
        <v>159</v>
      </c>
      <c r="U370" s="37">
        <f t="shared" si="250"/>
        <v>2749.06</v>
      </c>
      <c r="V370" s="37">
        <f t="shared" si="250"/>
        <v>3021.27</v>
      </c>
      <c r="W370" s="37">
        <f t="shared" si="250"/>
        <v>3288.37</v>
      </c>
      <c r="X370" s="37">
        <f t="shared" si="250"/>
        <v>3523.88</v>
      </c>
      <c r="Y370" s="37">
        <f t="shared" si="250"/>
        <v>3815.47</v>
      </c>
      <c r="Z370" s="37">
        <f t="shared" si="250"/>
        <v>3938.84</v>
      </c>
      <c r="AC370" s="75">
        <f t="shared" si="251"/>
        <v>7</v>
      </c>
      <c r="AD370" s="37">
        <v>2767.92</v>
      </c>
      <c r="AE370" s="37">
        <v>2938.24</v>
      </c>
      <c r="AF370" s="37">
        <v>3087.29</v>
      </c>
      <c r="AG370" s="37">
        <v>3193.74</v>
      </c>
      <c r="AH370" s="37">
        <v>3264.73</v>
      </c>
      <c r="AI370" s="37">
        <v>3335.69</v>
      </c>
    </row>
    <row r="371" spans="2:35">
      <c r="B371" s="75">
        <f t="shared" si="252"/>
        <v>7</v>
      </c>
      <c r="C371" s="37">
        <f t="shared" ref="C371:H371" si="262">IF(C347="-","-",IF((ROUND(C347*$B$360,2)-C347)&lt;$C$360,C347+$C$360,ROUND(C347*$B$360,2)))</f>
        <v>2224.9499999999998</v>
      </c>
      <c r="D371" s="37">
        <f t="shared" si="262"/>
        <v>2455.73</v>
      </c>
      <c r="E371" s="37">
        <f t="shared" si="262"/>
        <v>2605.75</v>
      </c>
      <c r="F371" s="37">
        <f t="shared" si="262"/>
        <v>2721.17</v>
      </c>
      <c r="G371" s="37">
        <f t="shared" si="262"/>
        <v>2807.71</v>
      </c>
      <c r="H371" s="37">
        <f t="shared" si="262"/>
        <v>2888.5</v>
      </c>
      <c r="T371" s="75" t="s">
        <v>158</v>
      </c>
      <c r="U371" s="37">
        <f t="shared" si="250"/>
        <v>2703.2</v>
      </c>
      <c r="V371" s="37">
        <f t="shared" si="250"/>
        <v>2975.41</v>
      </c>
      <c r="W371" s="37">
        <f t="shared" si="250"/>
        <v>3241.13</v>
      </c>
      <c r="X371" s="37">
        <f t="shared" si="250"/>
        <v>3476.63</v>
      </c>
      <c r="Y371" s="37">
        <f t="shared" si="250"/>
        <v>3768.21</v>
      </c>
      <c r="Z371" s="37">
        <f t="shared" si="250"/>
        <v>3891.58</v>
      </c>
      <c r="AC371" s="75">
        <f t="shared" si="251"/>
        <v>6</v>
      </c>
      <c r="AD371" s="37">
        <v>2590.4699999999998</v>
      </c>
      <c r="AE371" s="37">
        <v>2746.61</v>
      </c>
      <c r="AF371" s="37">
        <v>2888.56</v>
      </c>
      <c r="AG371" s="37">
        <v>2987.92</v>
      </c>
      <c r="AH371" s="37">
        <v>3044.7</v>
      </c>
      <c r="AI371" s="37">
        <v>3094.38</v>
      </c>
    </row>
    <row r="372" spans="2:35">
      <c r="B372" s="75">
        <f t="shared" si="252"/>
        <v>6</v>
      </c>
      <c r="C372" s="37">
        <f t="shared" ref="C372:H372" si="263">IF(C348="-","-",IF((ROUND(C348*$B$360,2)-C348)&lt;$C$360,C348+$C$360,ROUND(C348*$B$360,2)))</f>
        <v>2183.38</v>
      </c>
      <c r="D372" s="37">
        <f t="shared" si="263"/>
        <v>2409.5700000000002</v>
      </c>
      <c r="E372" s="37">
        <f t="shared" si="263"/>
        <v>2524.9699999999998</v>
      </c>
      <c r="F372" s="37">
        <f t="shared" si="263"/>
        <v>2634.61</v>
      </c>
      <c r="G372" s="37">
        <f t="shared" si="263"/>
        <v>2709.63</v>
      </c>
      <c r="H372" s="37">
        <f t="shared" si="263"/>
        <v>2784.64</v>
      </c>
      <c r="T372" s="75" t="s">
        <v>157</v>
      </c>
      <c r="U372" s="37">
        <f t="shared" ref="U372:Z381" si="264">IF(U348="-","-",IF((ROUND(U348*$T$360,2)-U348)&lt;$U$360,U348+$U$360,ROUND(U348*$T$360,2)))</f>
        <v>2651.66</v>
      </c>
      <c r="V372" s="37">
        <f t="shared" si="264"/>
        <v>2978.3</v>
      </c>
      <c r="W372" s="37">
        <f t="shared" si="264"/>
        <v>3120.74</v>
      </c>
      <c r="X372" s="37">
        <f t="shared" si="264"/>
        <v>3479.62</v>
      </c>
      <c r="Y372" s="37">
        <f t="shared" si="264"/>
        <v>3760</v>
      </c>
      <c r="Z372" s="37">
        <f t="shared" si="264"/>
        <v>3928.22</v>
      </c>
      <c r="AC372" s="75">
        <f t="shared" si="251"/>
        <v>5</v>
      </c>
      <c r="AD372" s="37">
        <v>2413.0700000000002</v>
      </c>
      <c r="AE372" s="37">
        <v>2562.09</v>
      </c>
      <c r="AF372" s="37">
        <v>2689.86</v>
      </c>
      <c r="AG372" s="37">
        <v>2782.11</v>
      </c>
      <c r="AH372" s="37">
        <v>2838.89</v>
      </c>
      <c r="AI372" s="37">
        <v>2931.14</v>
      </c>
    </row>
    <row r="373" spans="2:35">
      <c r="B373" s="75">
        <f t="shared" si="252"/>
        <v>5</v>
      </c>
      <c r="C373" s="37">
        <f t="shared" ref="C373:H373" si="265">IF(C349="-","-",IF((ROUND(C349*$B$360,2)-C349)&lt;$C$360,C349+$C$360,ROUND(C349*$B$360,2)))</f>
        <v>2095.67</v>
      </c>
      <c r="D373" s="37">
        <f t="shared" si="265"/>
        <v>2311.4899999999998</v>
      </c>
      <c r="E373" s="37">
        <f t="shared" si="265"/>
        <v>2421.12</v>
      </c>
      <c r="F373" s="37">
        <f t="shared" si="265"/>
        <v>2530.75</v>
      </c>
      <c r="G373" s="37">
        <f t="shared" si="265"/>
        <v>2611.5300000000002</v>
      </c>
      <c r="H373" s="37">
        <f t="shared" si="265"/>
        <v>2669.24</v>
      </c>
      <c r="T373" s="75" t="s">
        <v>156</v>
      </c>
      <c r="U373" s="37">
        <f t="shared" si="264"/>
        <v>2594.3200000000002</v>
      </c>
      <c r="V373" s="37">
        <f t="shared" si="264"/>
        <v>2920.97</v>
      </c>
      <c r="W373" s="37">
        <f t="shared" si="264"/>
        <v>3062.51</v>
      </c>
      <c r="X373" s="37">
        <f t="shared" si="264"/>
        <v>3420.57</v>
      </c>
      <c r="Y373" s="37">
        <f t="shared" si="264"/>
        <v>3700.94</v>
      </c>
      <c r="Z373" s="37">
        <f t="shared" si="264"/>
        <v>3869.16</v>
      </c>
      <c r="AC373" s="75">
        <f t="shared" si="251"/>
        <v>4</v>
      </c>
      <c r="AD373" s="37">
        <v>2271.09</v>
      </c>
      <c r="AE373" s="37">
        <v>2413.0700000000002</v>
      </c>
      <c r="AF373" s="37">
        <v>2533.71</v>
      </c>
      <c r="AG373" s="37">
        <v>2618.87</v>
      </c>
      <c r="AH373" s="37">
        <v>2675.65</v>
      </c>
      <c r="AI373" s="37">
        <v>2810.49</v>
      </c>
    </row>
    <row r="374" spans="2:35">
      <c r="B374" s="75">
        <f t="shared" si="252"/>
        <v>4</v>
      </c>
      <c r="C374" s="37">
        <f t="shared" ref="C374:H374" si="266">IF(C350="-","-",IF((ROUND(C350*$B$360,2)-C350)&lt;$C$360,C350+$C$360,ROUND(C350*$B$360,2)))</f>
        <v>1996.43</v>
      </c>
      <c r="D374" s="37">
        <f t="shared" si="266"/>
        <v>2201.86</v>
      </c>
      <c r="E374" s="37">
        <f t="shared" si="266"/>
        <v>2340.33</v>
      </c>
      <c r="F374" s="37">
        <f t="shared" si="266"/>
        <v>2421.12</v>
      </c>
      <c r="G374" s="37">
        <f t="shared" si="266"/>
        <v>2501.9</v>
      </c>
      <c r="H374" s="37">
        <f t="shared" si="266"/>
        <v>2549.1999999999998</v>
      </c>
      <c r="T374" s="75" t="s">
        <v>155</v>
      </c>
      <c r="U374" s="37">
        <f t="shared" si="264"/>
        <v>2528.98</v>
      </c>
      <c r="V374" s="37">
        <f t="shared" si="264"/>
        <v>2790.3</v>
      </c>
      <c r="W374" s="37">
        <f t="shared" si="264"/>
        <v>2920.97</v>
      </c>
      <c r="X374" s="37">
        <f t="shared" si="264"/>
        <v>3308.42</v>
      </c>
      <c r="Y374" s="37">
        <f t="shared" si="264"/>
        <v>3622.44</v>
      </c>
      <c r="Z374" s="37">
        <f t="shared" si="264"/>
        <v>3880.37</v>
      </c>
      <c r="AC374" s="75">
        <f t="shared" si="251"/>
        <v>3</v>
      </c>
      <c r="AD374" s="37">
        <v>2129.17</v>
      </c>
      <c r="AE374" s="37">
        <v>2242.7199999999998</v>
      </c>
      <c r="AF374" s="37">
        <v>2334.9699999999998</v>
      </c>
      <c r="AG374" s="37">
        <v>2413.0700000000002</v>
      </c>
      <c r="AH374" s="37">
        <v>2462.7399999999998</v>
      </c>
      <c r="AI374" s="37">
        <v>2569.17</v>
      </c>
    </row>
    <row r="375" spans="2:35">
      <c r="B375" s="75">
        <f t="shared" si="252"/>
        <v>3</v>
      </c>
      <c r="C375" s="37">
        <f t="shared" ref="C375:H375" si="267">IF(C351="-","-",IF((ROUND(C351*$B$360,2)-C351)&lt;$C$360,C351+$C$360,ROUND(C351*$B$360,2)))</f>
        <v>1965.29</v>
      </c>
      <c r="D375" s="37">
        <f t="shared" si="267"/>
        <v>2167.2199999999998</v>
      </c>
      <c r="E375" s="37">
        <f t="shared" si="267"/>
        <v>2224.9499999999998</v>
      </c>
      <c r="F375" s="37">
        <f t="shared" si="267"/>
        <v>2317.2600000000002</v>
      </c>
      <c r="G375" s="37">
        <f t="shared" si="267"/>
        <v>2386.5100000000002</v>
      </c>
      <c r="H375" s="37">
        <f t="shared" si="267"/>
        <v>2449.9699999999998</v>
      </c>
      <c r="T375" s="75" t="s">
        <v>141</v>
      </c>
      <c r="U375" s="37">
        <f t="shared" si="264"/>
        <v>2518.09</v>
      </c>
      <c r="V375" s="37">
        <f t="shared" si="264"/>
        <v>2703.2</v>
      </c>
      <c r="W375" s="37">
        <f t="shared" si="264"/>
        <v>2866.52</v>
      </c>
      <c r="X375" s="37">
        <f t="shared" si="264"/>
        <v>3168.23</v>
      </c>
      <c r="Y375" s="37">
        <f t="shared" si="264"/>
        <v>3420.57</v>
      </c>
      <c r="Z375" s="37">
        <f t="shared" si="264"/>
        <v>3661.69</v>
      </c>
      <c r="AC375" s="75">
        <f>B209</f>
        <v>2</v>
      </c>
      <c r="AD375" s="37">
        <v>1987.2</v>
      </c>
      <c r="AE375" s="37">
        <v>2107.87</v>
      </c>
      <c r="AF375" s="37">
        <v>2214.34</v>
      </c>
      <c r="AG375" s="37">
        <v>2292.41</v>
      </c>
      <c r="AH375" s="37">
        <v>2342.09</v>
      </c>
      <c r="AI375" s="37">
        <v>2370.46</v>
      </c>
    </row>
    <row r="376" spans="2:35">
      <c r="B376" s="75" t="str">
        <f t="shared" si="252"/>
        <v>2Ü</v>
      </c>
      <c r="C376" s="37">
        <f t="shared" ref="C376:H376" si="268">IF(C352="-","-",IF((ROUND(C352*$B$360,2)-C352)&lt;$C$360,C352+$C$360,ROUND(C352*$B$360,2)))</f>
        <v>1882.17</v>
      </c>
      <c r="D376" s="37">
        <f t="shared" si="268"/>
        <v>2074.92</v>
      </c>
      <c r="E376" s="37">
        <f t="shared" si="268"/>
        <v>2144.16</v>
      </c>
      <c r="F376" s="37">
        <f t="shared" si="268"/>
        <v>2236.48</v>
      </c>
      <c r="G376" s="37">
        <f t="shared" si="268"/>
        <v>2299.94</v>
      </c>
      <c r="H376" s="37">
        <f t="shared" si="268"/>
        <v>2347.2800000000002</v>
      </c>
      <c r="T376" s="75" t="s">
        <v>142</v>
      </c>
      <c r="U376" s="37">
        <f t="shared" si="264"/>
        <v>2420.09</v>
      </c>
      <c r="V376" s="37">
        <f t="shared" si="264"/>
        <v>2594.3200000000002</v>
      </c>
      <c r="W376" s="37">
        <f t="shared" si="264"/>
        <v>2812.08</v>
      </c>
      <c r="X376" s="37">
        <f t="shared" si="264"/>
        <v>3123.37</v>
      </c>
      <c r="Y376" s="37">
        <f t="shared" si="264"/>
        <v>3414.95</v>
      </c>
      <c r="Z376" s="37">
        <f t="shared" si="264"/>
        <v>3644.85</v>
      </c>
      <c r="AC376" s="75">
        <f>B210</f>
        <v>1</v>
      </c>
      <c r="AD376" s="37"/>
      <c r="AE376" s="37"/>
      <c r="AF376" s="37">
        <v>1774.3</v>
      </c>
      <c r="AG376" s="37"/>
      <c r="AH376" s="37"/>
      <c r="AI376" s="37"/>
    </row>
    <row r="377" spans="2:35">
      <c r="B377" s="75">
        <f t="shared" si="252"/>
        <v>2</v>
      </c>
      <c r="C377" s="37">
        <f t="shared" ref="C377:H377" si="269">IF(C353="-","-",IF((ROUND(C353*$B$360,2)-C353)&lt;$C$360,C353+$C$360,ROUND(C353*$B$360,2)))</f>
        <v>1819.86</v>
      </c>
      <c r="D377" s="37">
        <f t="shared" si="269"/>
        <v>2005.66</v>
      </c>
      <c r="E377" s="37">
        <f t="shared" si="269"/>
        <v>2063.37</v>
      </c>
      <c r="F377" s="37">
        <f t="shared" si="269"/>
        <v>2121.08</v>
      </c>
      <c r="G377" s="37">
        <f t="shared" si="269"/>
        <v>2247.9899999999998</v>
      </c>
      <c r="H377" s="37">
        <f t="shared" si="269"/>
        <v>2380.73</v>
      </c>
      <c r="T377" s="75" t="s">
        <v>143</v>
      </c>
      <c r="U377" s="37">
        <f t="shared" si="264"/>
        <v>2349.3200000000002</v>
      </c>
      <c r="V377" s="37">
        <f t="shared" si="264"/>
        <v>2567.09</v>
      </c>
      <c r="W377" s="37">
        <f t="shared" si="264"/>
        <v>2741.32</v>
      </c>
      <c r="X377" s="37">
        <f t="shared" si="264"/>
        <v>2915.52</v>
      </c>
      <c r="Y377" s="37">
        <f t="shared" si="264"/>
        <v>3046.19</v>
      </c>
      <c r="Z377" s="37">
        <f t="shared" si="264"/>
        <v>3241.13</v>
      </c>
    </row>
    <row r="378" spans="2:35">
      <c r="B378" s="75">
        <f>B354</f>
        <v>1</v>
      </c>
      <c r="C378" s="37" t="str">
        <f t="shared" ref="C378:H378" si="270">IF(C354="-","-",IF((ROUND(C354*$B$360,2)-C354)&lt;$C$360,C354+$C$360,ROUND(C354*$B$360,2)))</f>
        <v>-</v>
      </c>
      <c r="D378" s="37">
        <f t="shared" si="270"/>
        <v>1631.78</v>
      </c>
      <c r="E378" s="37">
        <f t="shared" si="270"/>
        <v>1659.47</v>
      </c>
      <c r="F378" s="37">
        <f t="shared" si="270"/>
        <v>1694.1</v>
      </c>
      <c r="G378" s="37">
        <f t="shared" si="270"/>
        <v>1726.39</v>
      </c>
      <c r="H378" s="37">
        <f t="shared" si="270"/>
        <v>1809.48</v>
      </c>
      <c r="T378" s="75" t="s">
        <v>144</v>
      </c>
      <c r="U378" s="37">
        <f t="shared" si="264"/>
        <v>2311.21</v>
      </c>
      <c r="V378" s="37">
        <f t="shared" si="264"/>
        <v>2528.98</v>
      </c>
      <c r="W378" s="37">
        <f t="shared" si="264"/>
        <v>2703.2</v>
      </c>
      <c r="X378" s="37">
        <f t="shared" si="264"/>
        <v>2877.4</v>
      </c>
      <c r="Y378" s="37">
        <f t="shared" si="264"/>
        <v>3035.28</v>
      </c>
      <c r="Z378" s="37">
        <f t="shared" si="264"/>
        <v>3211.97</v>
      </c>
    </row>
    <row r="379" spans="2:35">
      <c r="T379" s="75" t="s">
        <v>145</v>
      </c>
      <c r="U379" s="37">
        <f t="shared" si="264"/>
        <v>2311.21</v>
      </c>
      <c r="V379" s="37">
        <f t="shared" si="264"/>
        <v>2528.98</v>
      </c>
      <c r="W379" s="37">
        <f t="shared" si="264"/>
        <v>2692.31</v>
      </c>
      <c r="X379" s="37">
        <f t="shared" si="264"/>
        <v>2779.41</v>
      </c>
      <c r="Y379" s="37">
        <f t="shared" si="264"/>
        <v>2899.19</v>
      </c>
      <c r="Z379" s="37">
        <f t="shared" si="264"/>
        <v>3106.55</v>
      </c>
    </row>
    <row r="380" spans="2:35">
      <c r="T380" s="75" t="s">
        <v>146</v>
      </c>
      <c r="U380" s="37">
        <f t="shared" si="264"/>
        <v>2104.34</v>
      </c>
      <c r="V380" s="37">
        <f t="shared" si="264"/>
        <v>2376.54</v>
      </c>
      <c r="W380" s="37">
        <f t="shared" si="264"/>
        <v>2518.09</v>
      </c>
      <c r="X380" s="37">
        <f t="shared" si="264"/>
        <v>2637.87</v>
      </c>
      <c r="Y380" s="37">
        <f t="shared" si="264"/>
        <v>2714.08</v>
      </c>
      <c r="Z380" s="37">
        <f t="shared" si="264"/>
        <v>2812.08</v>
      </c>
    </row>
    <row r="381" spans="2:35">
      <c r="T381" s="75" t="s">
        <v>147</v>
      </c>
      <c r="U381" s="37">
        <f t="shared" si="264"/>
        <v>1995.46</v>
      </c>
      <c r="V381" s="37">
        <f t="shared" si="264"/>
        <v>2224.12</v>
      </c>
      <c r="W381" s="37">
        <f t="shared" si="264"/>
        <v>2376.54</v>
      </c>
      <c r="X381" s="37">
        <f t="shared" si="264"/>
        <v>2528.98</v>
      </c>
      <c r="Y381" s="37">
        <f t="shared" si="264"/>
        <v>2572.54</v>
      </c>
      <c r="Z381" s="37">
        <f t="shared" si="264"/>
        <v>2616.1</v>
      </c>
    </row>
    <row r="382" spans="2:35">
      <c r="T382" s="75" t="s">
        <v>148</v>
      </c>
      <c r="U382" s="37">
        <f t="shared" ref="U382:Z382" si="271">IF(U358="-","-",IF((ROUND(U358*$T$360,2)-U358)&lt;$U$360,U358+$U$360,ROUND(U358*$T$360,2)))</f>
        <v>1913.79</v>
      </c>
      <c r="V382" s="37">
        <f t="shared" si="271"/>
        <v>2017.24</v>
      </c>
      <c r="W382" s="37">
        <f t="shared" si="271"/>
        <v>2093.4499999999998</v>
      </c>
      <c r="X382" s="37">
        <f t="shared" si="271"/>
        <v>2180.56</v>
      </c>
      <c r="Y382" s="37">
        <f t="shared" si="271"/>
        <v>2267.66</v>
      </c>
      <c r="Z382" s="37">
        <f t="shared" si="271"/>
        <v>2354.7800000000002</v>
      </c>
    </row>
    <row r="384" spans="2:35">
      <c r="B384" s="172" t="s">
        <v>264</v>
      </c>
      <c r="C384" s="247"/>
      <c r="T384" s="172" t="s">
        <v>264</v>
      </c>
      <c r="U384" s="248"/>
      <c r="AC384" s="172" t="s">
        <v>264</v>
      </c>
    </row>
    <row r="385" spans="1:35">
      <c r="A385" s="155" t="s">
        <v>263</v>
      </c>
      <c r="B385" s="75">
        <v>2015</v>
      </c>
      <c r="C385" s="75" t="str">
        <f t="shared" ref="C385:H385" si="272">C313</f>
        <v>Stufe 1</v>
      </c>
      <c r="D385" s="75" t="str">
        <f t="shared" si="272"/>
        <v>Stufe 2</v>
      </c>
      <c r="E385" s="75" t="str">
        <f t="shared" si="272"/>
        <v>Stufe 3</v>
      </c>
      <c r="F385" s="75" t="str">
        <f t="shared" si="272"/>
        <v>Stufe 4</v>
      </c>
      <c r="G385" s="75" t="str">
        <f t="shared" si="272"/>
        <v>Stufe 5</v>
      </c>
      <c r="H385" s="75" t="str">
        <f t="shared" si="272"/>
        <v>Stufe 6</v>
      </c>
      <c r="S385" s="155" t="s">
        <v>263</v>
      </c>
      <c r="T385" s="75" t="s">
        <v>336</v>
      </c>
      <c r="U385" s="75" t="str">
        <f t="shared" ref="U385:Z385" si="273">C1</f>
        <v>Stufe 1</v>
      </c>
      <c r="V385" s="75" t="str">
        <f t="shared" si="273"/>
        <v>Stufe 2</v>
      </c>
      <c r="W385" s="75" t="str">
        <f t="shared" si="273"/>
        <v>Stufe 3</v>
      </c>
      <c r="X385" s="75" t="str">
        <f t="shared" si="273"/>
        <v>Stufe 4</v>
      </c>
      <c r="Y385" s="75" t="str">
        <f t="shared" si="273"/>
        <v>Stufe 5</v>
      </c>
      <c r="Z385" s="75" t="str">
        <f t="shared" si="273"/>
        <v>Stufe 6</v>
      </c>
      <c r="AC385" s="75">
        <v>2015</v>
      </c>
      <c r="AD385" s="75" t="str">
        <f t="shared" ref="AD385:AI385" si="274">C217</f>
        <v>Stufe 1</v>
      </c>
      <c r="AE385" s="75" t="str">
        <f t="shared" si="274"/>
        <v>Stufe 2</v>
      </c>
      <c r="AF385" s="75" t="str">
        <f t="shared" si="274"/>
        <v>Stufe 3</v>
      </c>
      <c r="AG385" s="75" t="str">
        <f t="shared" si="274"/>
        <v>Stufe 4</v>
      </c>
      <c r="AH385" s="75" t="str">
        <f t="shared" si="274"/>
        <v>Stufe 5</v>
      </c>
      <c r="AI385" s="75" t="str">
        <f t="shared" si="274"/>
        <v>Stufe 6</v>
      </c>
    </row>
    <row r="386" spans="1:35">
      <c r="B386" s="75" t="str">
        <f>B362</f>
        <v>15Ü</v>
      </c>
      <c r="C386" s="37" t="str">
        <f t="shared" ref="C386:H386" si="275">IF(C362="-","-",ROUND(C362*$B$384,2))</f>
        <v>-</v>
      </c>
      <c r="D386" s="37">
        <f t="shared" si="275"/>
        <v>5331.19</v>
      </c>
      <c r="E386" s="37">
        <f t="shared" si="275"/>
        <v>5909.34</v>
      </c>
      <c r="F386" s="37">
        <f t="shared" si="275"/>
        <v>6457.07</v>
      </c>
      <c r="G386" s="37">
        <f t="shared" si="275"/>
        <v>6822.24</v>
      </c>
      <c r="H386" s="37">
        <f t="shared" si="275"/>
        <v>6907.42</v>
      </c>
      <c r="T386" s="75" t="s">
        <v>167</v>
      </c>
      <c r="U386" s="37">
        <f t="shared" ref="U386:Z395" si="276">IF(U362="-","-",ROUND(U362*$T$384,2))</f>
        <v>3445.25</v>
      </c>
      <c r="V386" s="37">
        <f t="shared" si="276"/>
        <v>3560.07</v>
      </c>
      <c r="W386" s="37">
        <f t="shared" si="276"/>
        <v>4019.46</v>
      </c>
      <c r="X386" s="37">
        <f t="shared" si="276"/>
        <v>4363.97</v>
      </c>
      <c r="Y386" s="37">
        <f t="shared" si="276"/>
        <v>4880.76</v>
      </c>
      <c r="Z386" s="37">
        <f t="shared" si="276"/>
        <v>5196.57</v>
      </c>
      <c r="AC386" s="75">
        <f t="shared" ref="AC386:AC398" si="277">B219</f>
        <v>15</v>
      </c>
      <c r="AD386" s="37">
        <f t="shared" ref="AD386:AI386" si="278">IF(AD362="","",ROUND(AD362*$AC$384,2))</f>
        <v>4905.59</v>
      </c>
      <c r="AE386" s="37">
        <f t="shared" si="278"/>
        <v>5450.64</v>
      </c>
      <c r="AF386" s="37">
        <f t="shared" si="278"/>
        <v>5973.9</v>
      </c>
      <c r="AG386" s="37">
        <f t="shared" si="278"/>
        <v>6460.85</v>
      </c>
      <c r="AH386" s="37">
        <f t="shared" si="278"/>
        <v>6911.44</v>
      </c>
      <c r="AI386" s="37">
        <f t="shared" si="278"/>
        <v>7325.67</v>
      </c>
    </row>
    <row r="387" spans="1:35">
      <c r="B387" s="75">
        <f t="shared" ref="B387:B401" si="279">B363</f>
        <v>15</v>
      </c>
      <c r="C387" s="37">
        <f t="shared" ref="C387:H387" si="280">IF(C363="-","-",ROUND(C363*$B$384,2))</f>
        <v>4179.74</v>
      </c>
      <c r="D387" s="37">
        <f t="shared" si="280"/>
        <v>4637.42</v>
      </c>
      <c r="E387" s="37">
        <f t="shared" si="280"/>
        <v>4807.8100000000004</v>
      </c>
      <c r="F387" s="37">
        <f t="shared" si="280"/>
        <v>5416.39</v>
      </c>
      <c r="G387" s="37">
        <f t="shared" si="280"/>
        <v>5878.91</v>
      </c>
      <c r="H387" s="37">
        <f t="shared" si="280"/>
        <v>6183.2</v>
      </c>
      <c r="T387" s="75" t="s">
        <v>166</v>
      </c>
      <c r="U387" s="37">
        <f t="shared" si="276"/>
        <v>3102.56</v>
      </c>
      <c r="V387" s="37">
        <f t="shared" si="276"/>
        <v>3416.52</v>
      </c>
      <c r="W387" s="37">
        <f t="shared" si="276"/>
        <v>3789.76</v>
      </c>
      <c r="X387" s="37">
        <f t="shared" si="276"/>
        <v>4019.46</v>
      </c>
      <c r="Y387" s="37">
        <f t="shared" si="276"/>
        <v>4478.8</v>
      </c>
      <c r="Z387" s="37">
        <f t="shared" si="276"/>
        <v>4748.6899999999996</v>
      </c>
      <c r="AC387" s="75">
        <f t="shared" si="277"/>
        <v>14</v>
      </c>
      <c r="AD387" s="37">
        <f t="shared" ref="AD387:AI387" si="281">IF(AD363="","",ROUND(AD363*$AC$384,2))</f>
        <v>4578.55</v>
      </c>
      <c r="AE387" s="37">
        <f t="shared" si="281"/>
        <v>5043.67</v>
      </c>
      <c r="AF387" s="37">
        <f t="shared" si="281"/>
        <v>5494.26</v>
      </c>
      <c r="AG387" s="37">
        <f t="shared" si="281"/>
        <v>5930.32</v>
      </c>
      <c r="AH387" s="37">
        <f t="shared" si="281"/>
        <v>6344.57</v>
      </c>
      <c r="AI387" s="37">
        <f t="shared" si="281"/>
        <v>6722.49</v>
      </c>
    </row>
    <row r="388" spans="1:35">
      <c r="B388" s="75">
        <f t="shared" si="279"/>
        <v>14</v>
      </c>
      <c r="C388" s="37">
        <f t="shared" ref="C388:H388" si="282">IF(C364="-","-",ROUND(C364*$B$384,2))</f>
        <v>3785.38</v>
      </c>
      <c r="D388" s="37">
        <f t="shared" si="282"/>
        <v>4199.21</v>
      </c>
      <c r="E388" s="37">
        <f t="shared" si="282"/>
        <v>4442.6400000000003</v>
      </c>
      <c r="F388" s="37">
        <f t="shared" si="282"/>
        <v>4807.8100000000004</v>
      </c>
      <c r="G388" s="37">
        <f t="shared" si="282"/>
        <v>5367.72</v>
      </c>
      <c r="H388" s="37">
        <f t="shared" si="282"/>
        <v>5671.99</v>
      </c>
      <c r="T388" s="75" t="s">
        <v>165</v>
      </c>
      <c r="U388" s="37" t="str">
        <f t="shared" si="276"/>
        <v>-</v>
      </c>
      <c r="V388" s="37" t="str">
        <f t="shared" si="276"/>
        <v>-</v>
      </c>
      <c r="W388" s="37">
        <f t="shared" si="276"/>
        <v>3726.6</v>
      </c>
      <c r="X388" s="37">
        <f t="shared" si="276"/>
        <v>4134.29</v>
      </c>
      <c r="Y388" s="37">
        <f t="shared" si="276"/>
        <v>4386.95</v>
      </c>
      <c r="Z388" s="37" t="str">
        <f t="shared" si="276"/>
        <v>-</v>
      </c>
      <c r="AC388" s="75">
        <f t="shared" si="277"/>
        <v>13</v>
      </c>
      <c r="AD388" s="37">
        <f t="shared" ref="AD388:AI388" si="283">IF(AD364="","",ROUND(AD364*$AC$384,2))</f>
        <v>4287.8599999999997</v>
      </c>
      <c r="AE388" s="37">
        <f t="shared" si="283"/>
        <v>4723.92</v>
      </c>
      <c r="AF388" s="37">
        <f t="shared" si="283"/>
        <v>5145.41</v>
      </c>
      <c r="AG388" s="37">
        <f t="shared" si="283"/>
        <v>5559.66</v>
      </c>
      <c r="AH388" s="37">
        <f t="shared" si="283"/>
        <v>5879.43</v>
      </c>
      <c r="AI388" s="37">
        <f t="shared" si="283"/>
        <v>6141.08</v>
      </c>
    </row>
    <row r="389" spans="1:35">
      <c r="B389" s="75">
        <f t="shared" si="279"/>
        <v>13</v>
      </c>
      <c r="C389" s="37">
        <f t="shared" ref="C389:H389" si="284">IF(C365="-","-",ROUND(C365*$B$384,2))</f>
        <v>3489.62</v>
      </c>
      <c r="D389" s="37">
        <f t="shared" si="284"/>
        <v>3870.59</v>
      </c>
      <c r="E389" s="37">
        <f t="shared" si="284"/>
        <v>4077.52</v>
      </c>
      <c r="F389" s="37">
        <f t="shared" si="284"/>
        <v>4479.1400000000003</v>
      </c>
      <c r="G389" s="37">
        <f t="shared" si="284"/>
        <v>5039.05</v>
      </c>
      <c r="H389" s="37">
        <f t="shared" si="284"/>
        <v>5270.33</v>
      </c>
      <c r="T389" s="75" t="s">
        <v>164</v>
      </c>
      <c r="U389" s="37">
        <f t="shared" si="276"/>
        <v>3024.52</v>
      </c>
      <c r="V389" s="37">
        <f t="shared" si="276"/>
        <v>3341.89</v>
      </c>
      <c r="W389" s="37">
        <f t="shared" si="276"/>
        <v>3594.53</v>
      </c>
      <c r="X389" s="37">
        <f t="shared" si="276"/>
        <v>3904.6</v>
      </c>
      <c r="Y389" s="37">
        <f t="shared" si="276"/>
        <v>4249.12</v>
      </c>
      <c r="Z389" s="37">
        <f t="shared" si="276"/>
        <v>4455.84</v>
      </c>
      <c r="AC389" s="75">
        <f t="shared" si="277"/>
        <v>12</v>
      </c>
      <c r="AD389" s="37">
        <f t="shared" ref="AD389:AI389" si="285">IF(AD365="","",ROUND(AD365*$AC$384,2))</f>
        <v>3997.14</v>
      </c>
      <c r="AE389" s="37">
        <f t="shared" si="285"/>
        <v>4382.34</v>
      </c>
      <c r="AF389" s="37">
        <f t="shared" si="285"/>
        <v>4767.5</v>
      </c>
      <c r="AG389" s="37">
        <f t="shared" si="285"/>
        <v>5094.54</v>
      </c>
      <c r="AH389" s="37">
        <f t="shared" si="285"/>
        <v>5414.33</v>
      </c>
      <c r="AI389" s="37">
        <f t="shared" si="285"/>
        <v>5639.46</v>
      </c>
    </row>
    <row r="390" spans="1:35">
      <c r="B390" s="75">
        <f t="shared" si="279"/>
        <v>12</v>
      </c>
      <c r="C390" s="37">
        <f t="shared" ref="C390:H390" si="286">IF(C366="-","-",ROUND(C366*$B$384,2))</f>
        <v>3129.17</v>
      </c>
      <c r="D390" s="37">
        <f t="shared" si="286"/>
        <v>3468.92</v>
      </c>
      <c r="E390" s="37">
        <f t="shared" si="286"/>
        <v>3955.78</v>
      </c>
      <c r="F390" s="37">
        <f t="shared" si="286"/>
        <v>4381.8</v>
      </c>
      <c r="G390" s="37">
        <f t="shared" si="286"/>
        <v>4929.53</v>
      </c>
      <c r="H390" s="37">
        <f t="shared" si="286"/>
        <v>5172.96</v>
      </c>
      <c r="T390" s="75" t="s">
        <v>163</v>
      </c>
      <c r="U390" s="37">
        <f t="shared" si="276"/>
        <v>2913.01</v>
      </c>
      <c r="V390" s="37">
        <f t="shared" si="276"/>
        <v>3215.54</v>
      </c>
      <c r="W390" s="37">
        <f t="shared" si="276"/>
        <v>3445.25</v>
      </c>
      <c r="X390" s="37">
        <f t="shared" si="276"/>
        <v>3709.38</v>
      </c>
      <c r="Y390" s="37">
        <f t="shared" si="276"/>
        <v>4134.29</v>
      </c>
      <c r="Z390" s="37">
        <f t="shared" si="276"/>
        <v>4318.0200000000004</v>
      </c>
      <c r="AC390" s="75">
        <f t="shared" si="277"/>
        <v>11</v>
      </c>
      <c r="AD390" s="37">
        <f t="shared" ref="AD390:AI390" si="287">IF(AD366="","",ROUND(AD366*$AC$384,2))</f>
        <v>3742.76</v>
      </c>
      <c r="AE390" s="37">
        <f t="shared" si="287"/>
        <v>4098.88</v>
      </c>
      <c r="AF390" s="37">
        <f t="shared" si="287"/>
        <v>4411.38</v>
      </c>
      <c r="AG390" s="37">
        <f t="shared" si="287"/>
        <v>4680.33</v>
      </c>
      <c r="AH390" s="37">
        <f t="shared" si="287"/>
        <v>4905.59</v>
      </c>
      <c r="AI390" s="37">
        <f t="shared" si="287"/>
        <v>5094.54</v>
      </c>
    </row>
    <row r="391" spans="1:35">
      <c r="B391" s="75">
        <f t="shared" si="279"/>
        <v>11</v>
      </c>
      <c r="C391" s="37">
        <f t="shared" ref="C391:H391" si="288">IF(C367="-","-",ROUND(C367*$B$384,2))</f>
        <v>3022.81</v>
      </c>
      <c r="D391" s="37">
        <f t="shared" si="288"/>
        <v>3347.23</v>
      </c>
      <c r="E391" s="37">
        <f t="shared" si="288"/>
        <v>3590.64</v>
      </c>
      <c r="F391" s="37">
        <f t="shared" si="288"/>
        <v>3955.78</v>
      </c>
      <c r="G391" s="37">
        <f t="shared" si="288"/>
        <v>4485.25</v>
      </c>
      <c r="H391" s="37">
        <f t="shared" si="288"/>
        <v>4728.6899999999996</v>
      </c>
      <c r="T391" s="75" t="s">
        <v>162</v>
      </c>
      <c r="U391" s="37">
        <f t="shared" si="276"/>
        <v>2879.57</v>
      </c>
      <c r="V391" s="37">
        <f t="shared" si="276"/>
        <v>3102.56</v>
      </c>
      <c r="W391" s="37">
        <f t="shared" si="276"/>
        <v>3387.82</v>
      </c>
      <c r="X391" s="37">
        <f t="shared" si="276"/>
        <v>3617.48</v>
      </c>
      <c r="Y391" s="37">
        <f t="shared" si="276"/>
        <v>3904.6</v>
      </c>
      <c r="Z391" s="37">
        <f t="shared" si="276"/>
        <v>4105.57</v>
      </c>
      <c r="AC391" s="75">
        <f t="shared" si="277"/>
        <v>10</v>
      </c>
      <c r="AD391" s="37">
        <f t="shared" ref="AD391:AI391" si="289">IF(AD367="","",ROUND(AD367*$AC$384,2))</f>
        <v>3488.42</v>
      </c>
      <c r="AE391" s="37">
        <f t="shared" si="289"/>
        <v>3822.74</v>
      </c>
      <c r="AF391" s="37">
        <f t="shared" si="289"/>
        <v>4149.76</v>
      </c>
      <c r="AG391" s="37">
        <f t="shared" si="289"/>
        <v>4367.7700000000004</v>
      </c>
      <c r="AH391" s="37">
        <f t="shared" si="289"/>
        <v>4520.3999999999996</v>
      </c>
      <c r="AI391" s="37">
        <f t="shared" si="289"/>
        <v>4629.38</v>
      </c>
    </row>
    <row r="392" spans="1:35">
      <c r="B392" s="75">
        <f t="shared" si="279"/>
        <v>10</v>
      </c>
      <c r="C392" s="37">
        <f t="shared" ref="C392:H392" si="290">IF(C368="-","-",ROUND(C368*$B$384,2))</f>
        <v>2916.44</v>
      </c>
      <c r="D392" s="37">
        <f t="shared" si="290"/>
        <v>3225.48</v>
      </c>
      <c r="E392" s="37">
        <f t="shared" si="290"/>
        <v>3468.92</v>
      </c>
      <c r="F392" s="37">
        <f t="shared" si="290"/>
        <v>3712.37</v>
      </c>
      <c r="G392" s="37">
        <f t="shared" si="290"/>
        <v>4174.88</v>
      </c>
      <c r="H392" s="37">
        <f t="shared" si="290"/>
        <v>4284.42</v>
      </c>
      <c r="T392" s="75" t="s">
        <v>161</v>
      </c>
      <c r="U392" s="37">
        <f t="shared" si="276"/>
        <v>2926.55</v>
      </c>
      <c r="V392" s="37">
        <f t="shared" si="276"/>
        <v>3149.53</v>
      </c>
      <c r="W392" s="37">
        <f t="shared" si="276"/>
        <v>3436.2</v>
      </c>
      <c r="X392" s="37">
        <f t="shared" si="276"/>
        <v>3665.88</v>
      </c>
      <c r="Y392" s="37">
        <f t="shared" si="276"/>
        <v>3952.98</v>
      </c>
      <c r="Z392" s="37">
        <f t="shared" si="276"/>
        <v>4096.53</v>
      </c>
      <c r="AC392" s="75">
        <f t="shared" si="277"/>
        <v>9</v>
      </c>
      <c r="AD392" s="37">
        <f t="shared" ref="AD392:AI392" si="291">IF(AD368="","",ROUND(AD368*$AC$384,2))</f>
        <v>3270.39</v>
      </c>
      <c r="AE392" s="37">
        <f t="shared" si="291"/>
        <v>3561.09</v>
      </c>
      <c r="AF392" s="37">
        <f t="shared" si="291"/>
        <v>3844.55</v>
      </c>
      <c r="AG392" s="37">
        <f t="shared" si="291"/>
        <v>4040.76</v>
      </c>
      <c r="AH392" s="37">
        <f t="shared" si="291"/>
        <v>4113.4399999999996</v>
      </c>
      <c r="AI392" s="37">
        <f t="shared" si="291"/>
        <v>4222.45</v>
      </c>
    </row>
    <row r="393" spans="1:35">
      <c r="B393" s="75">
        <f t="shared" si="279"/>
        <v>9</v>
      </c>
      <c r="C393" s="37">
        <f t="shared" ref="C393:H393" si="292">IF(C369="-","-",ROUND(C369*$B$384,2))</f>
        <v>2586.77</v>
      </c>
      <c r="D393" s="37">
        <f t="shared" si="292"/>
        <v>2857.36</v>
      </c>
      <c r="E393" s="37">
        <f t="shared" si="292"/>
        <v>2999.18</v>
      </c>
      <c r="F393" s="37">
        <f t="shared" si="292"/>
        <v>3383.71</v>
      </c>
      <c r="G393" s="37">
        <f t="shared" si="292"/>
        <v>3688.02</v>
      </c>
      <c r="H393" s="37">
        <f t="shared" si="292"/>
        <v>3931.43</v>
      </c>
      <c r="J393" s="135" t="str">
        <f>J369</f>
        <v>9c</v>
      </c>
      <c r="K393" s="37">
        <f>IF(K369="-","-",ROUND(K369*$B$384,2))</f>
        <v>2829.63</v>
      </c>
      <c r="L393" s="37">
        <f t="shared" ref="L393:P394" si="293">IF(L369="-","-",ROUND(L369*$B$384,2))</f>
        <v>3071.78</v>
      </c>
      <c r="M393" s="37">
        <f t="shared" si="293"/>
        <v>3361.82</v>
      </c>
      <c r="N393" s="37">
        <f t="shared" si="293"/>
        <v>3578.72</v>
      </c>
      <c r="O393" s="37">
        <f t="shared" si="293"/>
        <v>3904.06</v>
      </c>
      <c r="P393" s="37">
        <f t="shared" si="293"/>
        <v>4045.04</v>
      </c>
      <c r="T393" s="75" t="s">
        <v>160</v>
      </c>
      <c r="U393" s="37">
        <f t="shared" si="276"/>
        <v>2879.57</v>
      </c>
      <c r="V393" s="37">
        <f t="shared" si="276"/>
        <v>3102.56</v>
      </c>
      <c r="W393" s="37">
        <f t="shared" si="276"/>
        <v>3387.82</v>
      </c>
      <c r="X393" s="37">
        <f t="shared" si="276"/>
        <v>3617.48</v>
      </c>
      <c r="Y393" s="37">
        <f t="shared" si="276"/>
        <v>3904.6</v>
      </c>
      <c r="Z393" s="37">
        <f t="shared" si="276"/>
        <v>4048.14</v>
      </c>
      <c r="AC393" s="75">
        <f t="shared" si="277"/>
        <v>8</v>
      </c>
      <c r="AD393" s="37">
        <f t="shared" ref="AD393:AI393" si="294">IF(AD369="","",ROUND(AD369*$AC$384,2))</f>
        <v>3052.4</v>
      </c>
      <c r="AE393" s="37">
        <f t="shared" si="294"/>
        <v>3241.32</v>
      </c>
      <c r="AF393" s="37">
        <f t="shared" si="294"/>
        <v>3401.21</v>
      </c>
      <c r="AG393" s="37">
        <f t="shared" si="294"/>
        <v>3553.85</v>
      </c>
      <c r="AH393" s="37">
        <f t="shared" si="294"/>
        <v>3706.46</v>
      </c>
      <c r="AI393" s="37">
        <f t="shared" si="294"/>
        <v>3815.48</v>
      </c>
    </row>
    <row r="394" spans="1:35">
      <c r="B394" s="75">
        <f t="shared" si="279"/>
        <v>8</v>
      </c>
      <c r="C394" s="37">
        <f t="shared" ref="C394:H394" si="295">IF(C370="-","-",ROUND(C370*$B$384,2))</f>
        <v>2427.23</v>
      </c>
      <c r="D394" s="37">
        <f t="shared" si="295"/>
        <v>2680.1</v>
      </c>
      <c r="E394" s="37">
        <f t="shared" si="295"/>
        <v>2798.3</v>
      </c>
      <c r="F394" s="37">
        <f t="shared" si="295"/>
        <v>2904.65</v>
      </c>
      <c r="G394" s="37">
        <f t="shared" si="295"/>
        <v>3022.81</v>
      </c>
      <c r="H394" s="37">
        <f t="shared" si="295"/>
        <v>3097.26</v>
      </c>
      <c r="J394" s="135" t="str">
        <f>J370</f>
        <v>9a</v>
      </c>
      <c r="K394" s="37">
        <f>IF(K370="-","-",ROUND(K370*$B$384,2))</f>
        <v>2586.77</v>
      </c>
      <c r="L394" s="37">
        <f t="shared" si="293"/>
        <v>2828.92</v>
      </c>
      <c r="M394" s="37">
        <f t="shared" si="293"/>
        <v>2999.18</v>
      </c>
      <c r="N394" s="37">
        <f t="shared" si="293"/>
        <v>3383.71</v>
      </c>
      <c r="O394" s="37">
        <f t="shared" si="293"/>
        <v>3469.55</v>
      </c>
      <c r="P394" s="37">
        <f t="shared" si="293"/>
        <v>3688.02</v>
      </c>
      <c r="T394" s="75" t="s">
        <v>159</v>
      </c>
      <c r="U394" s="37">
        <f t="shared" si="276"/>
        <v>2815.04</v>
      </c>
      <c r="V394" s="37">
        <f t="shared" si="276"/>
        <v>3093.78</v>
      </c>
      <c r="W394" s="37">
        <f t="shared" si="276"/>
        <v>3367.29</v>
      </c>
      <c r="X394" s="37">
        <f t="shared" si="276"/>
        <v>3608.45</v>
      </c>
      <c r="Y394" s="37">
        <f t="shared" si="276"/>
        <v>3907.04</v>
      </c>
      <c r="Z394" s="37">
        <f t="shared" si="276"/>
        <v>4033.37</v>
      </c>
      <c r="AC394" s="75">
        <f t="shared" si="277"/>
        <v>7</v>
      </c>
      <c r="AD394" s="37">
        <f t="shared" ref="AD394:AI394" si="296">IF(AD370="","",ROUND(AD370*$AC$384,2))</f>
        <v>2834.35</v>
      </c>
      <c r="AE394" s="37">
        <f t="shared" si="296"/>
        <v>3008.76</v>
      </c>
      <c r="AF394" s="37">
        <f t="shared" si="296"/>
        <v>3161.38</v>
      </c>
      <c r="AG394" s="37">
        <f t="shared" si="296"/>
        <v>3270.39</v>
      </c>
      <c r="AH394" s="37">
        <f t="shared" si="296"/>
        <v>3343.08</v>
      </c>
      <c r="AI394" s="37">
        <f t="shared" si="296"/>
        <v>3415.75</v>
      </c>
    </row>
    <row r="395" spans="1:35">
      <c r="B395" s="75">
        <f t="shared" si="279"/>
        <v>7</v>
      </c>
      <c r="C395" s="37">
        <f t="shared" ref="C395:H395" si="297">IF(C371="-","-",ROUND(C371*$B$384,2))</f>
        <v>2278.35</v>
      </c>
      <c r="D395" s="37">
        <f t="shared" si="297"/>
        <v>2514.67</v>
      </c>
      <c r="E395" s="37">
        <f t="shared" si="297"/>
        <v>2668.29</v>
      </c>
      <c r="F395" s="37">
        <f t="shared" si="297"/>
        <v>2786.48</v>
      </c>
      <c r="G395" s="37">
        <f t="shared" si="297"/>
        <v>2875.1</v>
      </c>
      <c r="H395" s="37">
        <f t="shared" si="297"/>
        <v>2957.82</v>
      </c>
      <c r="T395" s="75" t="s">
        <v>158</v>
      </c>
      <c r="U395" s="37">
        <f t="shared" si="276"/>
        <v>2768.08</v>
      </c>
      <c r="V395" s="37">
        <f t="shared" si="276"/>
        <v>3046.82</v>
      </c>
      <c r="W395" s="37">
        <f t="shared" si="276"/>
        <v>3318.92</v>
      </c>
      <c r="X395" s="37">
        <f t="shared" si="276"/>
        <v>3560.07</v>
      </c>
      <c r="Y395" s="37">
        <f t="shared" si="276"/>
        <v>3858.65</v>
      </c>
      <c r="Z395" s="37">
        <f t="shared" si="276"/>
        <v>3984.98</v>
      </c>
      <c r="AC395" s="75">
        <f t="shared" si="277"/>
        <v>6</v>
      </c>
      <c r="AD395" s="37">
        <f t="shared" ref="AD395:AI395" si="298">IF(AD371="","",ROUND(AD371*$AC$384,2))</f>
        <v>2652.64</v>
      </c>
      <c r="AE395" s="37">
        <f t="shared" si="298"/>
        <v>2812.53</v>
      </c>
      <c r="AF395" s="37">
        <f t="shared" si="298"/>
        <v>2957.89</v>
      </c>
      <c r="AG395" s="37">
        <f t="shared" si="298"/>
        <v>3059.63</v>
      </c>
      <c r="AH395" s="37">
        <f t="shared" si="298"/>
        <v>3117.77</v>
      </c>
      <c r="AI395" s="37">
        <f t="shared" si="298"/>
        <v>3168.65</v>
      </c>
    </row>
    <row r="396" spans="1:35">
      <c r="B396" s="75">
        <f t="shared" si="279"/>
        <v>6</v>
      </c>
      <c r="C396" s="37">
        <f t="shared" ref="C396:H396" si="299">IF(C372="-","-",ROUND(C372*$B$384,2))</f>
        <v>2235.7800000000002</v>
      </c>
      <c r="D396" s="37">
        <f t="shared" si="299"/>
        <v>2467.4</v>
      </c>
      <c r="E396" s="37">
        <f t="shared" si="299"/>
        <v>2585.5700000000002</v>
      </c>
      <c r="F396" s="37">
        <f t="shared" si="299"/>
        <v>2697.84</v>
      </c>
      <c r="G396" s="37">
        <f t="shared" si="299"/>
        <v>2774.66</v>
      </c>
      <c r="H396" s="37">
        <f t="shared" si="299"/>
        <v>2851.47</v>
      </c>
      <c r="T396" s="75" t="s">
        <v>157</v>
      </c>
      <c r="U396" s="37">
        <f t="shared" ref="U396:Z405" si="300">IF(U372="-","-",ROUND(U372*$T$384,2))</f>
        <v>2715.3</v>
      </c>
      <c r="V396" s="37">
        <f t="shared" si="300"/>
        <v>3049.78</v>
      </c>
      <c r="W396" s="37">
        <f t="shared" si="300"/>
        <v>3195.64</v>
      </c>
      <c r="X396" s="37">
        <f t="shared" si="300"/>
        <v>3563.13</v>
      </c>
      <c r="Y396" s="37">
        <f t="shared" si="300"/>
        <v>3850.24</v>
      </c>
      <c r="Z396" s="37">
        <f t="shared" si="300"/>
        <v>4022.5</v>
      </c>
      <c r="AC396" s="75">
        <f t="shared" si="277"/>
        <v>5</v>
      </c>
      <c r="AD396" s="37">
        <f t="shared" ref="AD396:AI396" si="301">IF(AD372="","",ROUND(AD372*$AC$384,2))</f>
        <v>2470.98</v>
      </c>
      <c r="AE396" s="37">
        <f t="shared" si="301"/>
        <v>2623.58</v>
      </c>
      <c r="AF396" s="37">
        <f t="shared" si="301"/>
        <v>2754.42</v>
      </c>
      <c r="AG396" s="37">
        <f t="shared" si="301"/>
        <v>2848.88</v>
      </c>
      <c r="AH396" s="37">
        <f t="shared" si="301"/>
        <v>2907.02</v>
      </c>
      <c r="AI396" s="37">
        <f t="shared" si="301"/>
        <v>3001.49</v>
      </c>
    </row>
    <row r="397" spans="1:35">
      <c r="B397" s="75">
        <f t="shared" si="279"/>
        <v>5</v>
      </c>
      <c r="C397" s="37">
        <f t="shared" ref="C397:H397" si="302">IF(C373="-","-",ROUND(C373*$B$384,2))</f>
        <v>2145.9699999999998</v>
      </c>
      <c r="D397" s="37">
        <f t="shared" si="302"/>
        <v>2366.9699999999998</v>
      </c>
      <c r="E397" s="37">
        <f t="shared" si="302"/>
        <v>2479.23</v>
      </c>
      <c r="F397" s="37">
        <f t="shared" si="302"/>
        <v>2591.4899999999998</v>
      </c>
      <c r="G397" s="37">
        <f t="shared" si="302"/>
        <v>2674.21</v>
      </c>
      <c r="H397" s="37">
        <f t="shared" si="302"/>
        <v>2733.3</v>
      </c>
      <c r="T397" s="75" t="s">
        <v>156</v>
      </c>
      <c r="U397" s="37">
        <f t="shared" si="300"/>
        <v>2656.58</v>
      </c>
      <c r="V397" s="37">
        <f t="shared" si="300"/>
        <v>2991.07</v>
      </c>
      <c r="W397" s="37">
        <f t="shared" si="300"/>
        <v>3136.01</v>
      </c>
      <c r="X397" s="37">
        <f t="shared" si="300"/>
        <v>3502.66</v>
      </c>
      <c r="Y397" s="37">
        <f t="shared" si="300"/>
        <v>3789.76</v>
      </c>
      <c r="Z397" s="37">
        <f t="shared" si="300"/>
        <v>3962.02</v>
      </c>
      <c r="AC397" s="75">
        <f t="shared" si="277"/>
        <v>4</v>
      </c>
      <c r="AD397" s="37">
        <f t="shared" ref="AD397:AI397" si="303">IF(AD373="","",ROUND(AD373*$AC$384,2))</f>
        <v>2325.6</v>
      </c>
      <c r="AE397" s="37">
        <f t="shared" si="303"/>
        <v>2470.98</v>
      </c>
      <c r="AF397" s="37">
        <f t="shared" si="303"/>
        <v>2594.52</v>
      </c>
      <c r="AG397" s="37">
        <f t="shared" si="303"/>
        <v>2681.72</v>
      </c>
      <c r="AH397" s="37">
        <f t="shared" si="303"/>
        <v>2739.87</v>
      </c>
      <c r="AI397" s="37">
        <f t="shared" si="303"/>
        <v>2877.94</v>
      </c>
    </row>
    <row r="398" spans="1:35">
      <c r="B398" s="75">
        <f t="shared" si="279"/>
        <v>4</v>
      </c>
      <c r="C398" s="37">
        <f t="shared" ref="C398:H398" si="304">IF(C374="-","-",ROUND(C374*$B$384,2))</f>
        <v>2044.34</v>
      </c>
      <c r="D398" s="37">
        <f t="shared" si="304"/>
        <v>2254.6999999999998</v>
      </c>
      <c r="E398" s="37">
        <f t="shared" si="304"/>
        <v>2396.5</v>
      </c>
      <c r="F398" s="37">
        <f t="shared" si="304"/>
        <v>2479.23</v>
      </c>
      <c r="G398" s="37">
        <f t="shared" si="304"/>
        <v>2561.9499999999998</v>
      </c>
      <c r="H398" s="37">
        <f t="shared" si="304"/>
        <v>2610.38</v>
      </c>
      <c r="T398" s="75" t="s">
        <v>155</v>
      </c>
      <c r="U398" s="37">
        <f t="shared" si="300"/>
        <v>2589.6799999999998</v>
      </c>
      <c r="V398" s="37">
        <f t="shared" si="300"/>
        <v>2857.27</v>
      </c>
      <c r="W398" s="37">
        <f t="shared" si="300"/>
        <v>2991.07</v>
      </c>
      <c r="X398" s="37">
        <f t="shared" si="300"/>
        <v>3387.82</v>
      </c>
      <c r="Y398" s="37">
        <f t="shared" si="300"/>
        <v>3709.38</v>
      </c>
      <c r="Z398" s="37">
        <f t="shared" si="300"/>
        <v>3973.5</v>
      </c>
      <c r="AC398" s="75">
        <f t="shared" si="277"/>
        <v>3</v>
      </c>
      <c r="AD398" s="37">
        <f t="shared" ref="AD398:AI398" si="305">IF(AD374="","",ROUND(AD374*$AC$384,2))</f>
        <v>2180.27</v>
      </c>
      <c r="AE398" s="37">
        <f t="shared" si="305"/>
        <v>2296.5500000000002</v>
      </c>
      <c r="AF398" s="37">
        <f t="shared" si="305"/>
        <v>2391.0100000000002</v>
      </c>
      <c r="AG398" s="37">
        <f t="shared" si="305"/>
        <v>2470.98</v>
      </c>
      <c r="AH398" s="37">
        <f t="shared" si="305"/>
        <v>2521.85</v>
      </c>
      <c r="AI398" s="37">
        <f t="shared" si="305"/>
        <v>2630.83</v>
      </c>
    </row>
    <row r="399" spans="1:35">
      <c r="B399" s="75">
        <f t="shared" si="279"/>
        <v>3</v>
      </c>
      <c r="C399" s="37">
        <f t="shared" ref="C399:H399" si="306">IF(C375="-","-",ROUND(C375*$B$384,2))</f>
        <v>2012.46</v>
      </c>
      <c r="D399" s="37">
        <f t="shared" si="306"/>
        <v>2219.23</v>
      </c>
      <c r="E399" s="37">
        <f t="shared" si="306"/>
        <v>2278.35</v>
      </c>
      <c r="F399" s="37">
        <f t="shared" si="306"/>
        <v>2372.87</v>
      </c>
      <c r="G399" s="37">
        <f t="shared" si="306"/>
        <v>2443.79</v>
      </c>
      <c r="H399" s="37">
        <f t="shared" si="306"/>
        <v>2508.77</v>
      </c>
      <c r="T399" s="75" t="s">
        <v>141</v>
      </c>
      <c r="U399" s="37">
        <f t="shared" si="300"/>
        <v>2578.52</v>
      </c>
      <c r="V399" s="37">
        <f t="shared" si="300"/>
        <v>2768.08</v>
      </c>
      <c r="W399" s="37">
        <f t="shared" si="300"/>
        <v>2935.32</v>
      </c>
      <c r="X399" s="37">
        <f t="shared" si="300"/>
        <v>3244.27</v>
      </c>
      <c r="Y399" s="37">
        <f t="shared" si="300"/>
        <v>3502.66</v>
      </c>
      <c r="Z399" s="37">
        <f t="shared" si="300"/>
        <v>3749.57</v>
      </c>
      <c r="AC399" s="75">
        <f>B233</f>
        <v>2</v>
      </c>
      <c r="AD399" s="37">
        <f t="shared" ref="AD399:AI399" si="307">IF(AD375="","",ROUND(AD375*$AC$384,2))</f>
        <v>2034.89</v>
      </c>
      <c r="AE399" s="37">
        <f t="shared" si="307"/>
        <v>2158.46</v>
      </c>
      <c r="AF399" s="37">
        <f t="shared" si="307"/>
        <v>2267.48</v>
      </c>
      <c r="AG399" s="37">
        <f t="shared" si="307"/>
        <v>2347.4299999999998</v>
      </c>
      <c r="AH399" s="37">
        <f t="shared" si="307"/>
        <v>2398.3000000000002</v>
      </c>
      <c r="AI399" s="37">
        <f t="shared" si="307"/>
        <v>2427.35</v>
      </c>
    </row>
    <row r="400" spans="1:35">
      <c r="B400" s="75" t="str">
        <f t="shared" si="279"/>
        <v>2Ü</v>
      </c>
      <c r="C400" s="37">
        <f t="shared" ref="C400:H400" si="308">IF(C376="-","-",ROUND(C376*$B$384,2))</f>
        <v>1927.34</v>
      </c>
      <c r="D400" s="37">
        <f t="shared" si="308"/>
        <v>2124.7199999999998</v>
      </c>
      <c r="E400" s="37">
        <f t="shared" si="308"/>
        <v>2195.62</v>
      </c>
      <c r="F400" s="37">
        <f t="shared" si="308"/>
        <v>2290.16</v>
      </c>
      <c r="G400" s="37">
        <f t="shared" si="308"/>
        <v>2355.14</v>
      </c>
      <c r="H400" s="37">
        <f t="shared" si="308"/>
        <v>2403.61</v>
      </c>
      <c r="T400" s="75" t="s">
        <v>142</v>
      </c>
      <c r="U400" s="37">
        <f t="shared" si="300"/>
        <v>2478.17</v>
      </c>
      <c r="V400" s="37">
        <f t="shared" si="300"/>
        <v>2656.58</v>
      </c>
      <c r="W400" s="37">
        <f t="shared" si="300"/>
        <v>2879.57</v>
      </c>
      <c r="X400" s="37">
        <f t="shared" si="300"/>
        <v>3198.33</v>
      </c>
      <c r="Y400" s="37">
        <f t="shared" si="300"/>
        <v>3496.91</v>
      </c>
      <c r="Z400" s="37">
        <f t="shared" si="300"/>
        <v>3732.33</v>
      </c>
      <c r="AC400" s="75">
        <f>B234</f>
        <v>1</v>
      </c>
      <c r="AD400" s="37" t="str">
        <f t="shared" ref="AD400:AI400" si="309">IF(AD376="","",ROUND(AD376*$AC$384,2))</f>
        <v/>
      </c>
      <c r="AE400" s="37" t="str">
        <f t="shared" si="309"/>
        <v/>
      </c>
      <c r="AF400" s="37">
        <f t="shared" si="309"/>
        <v>1816.88</v>
      </c>
      <c r="AG400" s="37" t="str">
        <f t="shared" si="309"/>
        <v/>
      </c>
      <c r="AH400" s="37" t="str">
        <f t="shared" si="309"/>
        <v/>
      </c>
      <c r="AI400" s="37" t="str">
        <f t="shared" si="309"/>
        <v/>
      </c>
    </row>
    <row r="401" spans="1:35">
      <c r="B401" s="75">
        <f t="shared" si="279"/>
        <v>2</v>
      </c>
      <c r="C401" s="37">
        <f t="shared" ref="C401:H401" si="310">IF(C377="-","-",ROUND(C377*$B$384,2))</f>
        <v>1863.54</v>
      </c>
      <c r="D401" s="37">
        <f t="shared" si="310"/>
        <v>2053.8000000000002</v>
      </c>
      <c r="E401" s="37">
        <f t="shared" si="310"/>
        <v>2112.89</v>
      </c>
      <c r="F401" s="37">
        <f t="shared" si="310"/>
        <v>2171.9899999999998</v>
      </c>
      <c r="G401" s="37">
        <f t="shared" si="310"/>
        <v>2301.94</v>
      </c>
      <c r="H401" s="37">
        <f t="shared" si="310"/>
        <v>2437.87</v>
      </c>
      <c r="T401" s="75" t="s">
        <v>143</v>
      </c>
      <c r="U401" s="37">
        <f t="shared" si="300"/>
        <v>2405.6999999999998</v>
      </c>
      <c r="V401" s="37">
        <f t="shared" si="300"/>
        <v>2628.7</v>
      </c>
      <c r="W401" s="37">
        <f t="shared" si="300"/>
        <v>2807.11</v>
      </c>
      <c r="X401" s="37">
        <f t="shared" si="300"/>
        <v>2985.49</v>
      </c>
      <c r="Y401" s="37">
        <f t="shared" si="300"/>
        <v>3119.3</v>
      </c>
      <c r="Z401" s="37">
        <f t="shared" si="300"/>
        <v>3318.92</v>
      </c>
    </row>
    <row r="402" spans="1:35">
      <c r="B402" s="75">
        <f>B378</f>
        <v>1</v>
      </c>
      <c r="C402" s="37" t="str">
        <f t="shared" ref="C402:H402" si="311">IF(C378="-","-",ROUND(C378*$B$384,2))</f>
        <v>-</v>
      </c>
      <c r="D402" s="37">
        <f t="shared" si="311"/>
        <v>1670.94</v>
      </c>
      <c r="E402" s="37">
        <f t="shared" si="311"/>
        <v>1699.3</v>
      </c>
      <c r="F402" s="37">
        <f t="shared" si="311"/>
        <v>1734.76</v>
      </c>
      <c r="G402" s="37">
        <f t="shared" si="311"/>
        <v>1767.82</v>
      </c>
      <c r="H402" s="37">
        <f t="shared" si="311"/>
        <v>1852.91</v>
      </c>
      <c r="T402" s="75" t="s">
        <v>144</v>
      </c>
      <c r="U402" s="37">
        <f t="shared" si="300"/>
        <v>2366.6799999999998</v>
      </c>
      <c r="V402" s="37">
        <f t="shared" si="300"/>
        <v>2589.6799999999998</v>
      </c>
      <c r="W402" s="37">
        <f t="shared" si="300"/>
        <v>2768.08</v>
      </c>
      <c r="X402" s="37">
        <f t="shared" si="300"/>
        <v>2946.46</v>
      </c>
      <c r="Y402" s="37">
        <f t="shared" si="300"/>
        <v>3108.13</v>
      </c>
      <c r="Z402" s="37">
        <f t="shared" si="300"/>
        <v>3289.06</v>
      </c>
    </row>
    <row r="403" spans="1:35">
      <c r="T403" s="75" t="s">
        <v>145</v>
      </c>
      <c r="U403" s="37">
        <f t="shared" si="300"/>
        <v>2366.6799999999998</v>
      </c>
      <c r="V403" s="37">
        <f t="shared" si="300"/>
        <v>2589.6799999999998</v>
      </c>
      <c r="W403" s="37">
        <f t="shared" si="300"/>
        <v>2756.93</v>
      </c>
      <c r="X403" s="37">
        <f t="shared" si="300"/>
        <v>2846.12</v>
      </c>
      <c r="Y403" s="37">
        <f t="shared" si="300"/>
        <v>2968.77</v>
      </c>
      <c r="Z403" s="37">
        <f t="shared" si="300"/>
        <v>3181.11</v>
      </c>
    </row>
    <row r="404" spans="1:35">
      <c r="T404" s="75" t="s">
        <v>146</v>
      </c>
      <c r="U404" s="37">
        <f t="shared" si="300"/>
        <v>2154.84</v>
      </c>
      <c r="V404" s="37">
        <f t="shared" si="300"/>
        <v>2433.58</v>
      </c>
      <c r="W404" s="37">
        <f t="shared" si="300"/>
        <v>2578.52</v>
      </c>
      <c r="X404" s="37">
        <f t="shared" si="300"/>
        <v>2701.18</v>
      </c>
      <c r="Y404" s="37">
        <f t="shared" si="300"/>
        <v>2779.22</v>
      </c>
      <c r="Z404" s="37">
        <f t="shared" si="300"/>
        <v>2879.57</v>
      </c>
    </row>
    <row r="405" spans="1:35">
      <c r="T405" s="75" t="s">
        <v>147</v>
      </c>
      <c r="U405" s="37">
        <f t="shared" si="300"/>
        <v>2043.35</v>
      </c>
      <c r="V405" s="37">
        <f t="shared" si="300"/>
        <v>2277.5</v>
      </c>
      <c r="W405" s="37">
        <f t="shared" si="300"/>
        <v>2433.58</v>
      </c>
      <c r="X405" s="37">
        <f t="shared" si="300"/>
        <v>2589.6799999999998</v>
      </c>
      <c r="Y405" s="37">
        <f t="shared" si="300"/>
        <v>2634.28</v>
      </c>
      <c r="Z405" s="37">
        <f t="shared" si="300"/>
        <v>2678.89</v>
      </c>
    </row>
    <row r="406" spans="1:35">
      <c r="T406" s="75" t="s">
        <v>148</v>
      </c>
      <c r="U406" s="37">
        <f t="shared" ref="U406:Z406" si="312">IF(U382="-","-",ROUND(U382*$T$384,2))</f>
        <v>1959.72</v>
      </c>
      <c r="V406" s="37">
        <f t="shared" si="312"/>
        <v>2065.65</v>
      </c>
      <c r="W406" s="37">
        <f t="shared" si="312"/>
        <v>2143.69</v>
      </c>
      <c r="X406" s="37">
        <f t="shared" si="312"/>
        <v>2232.89</v>
      </c>
      <c r="Y406" s="37">
        <f t="shared" si="312"/>
        <v>2322.08</v>
      </c>
      <c r="Z406" s="37">
        <f t="shared" si="312"/>
        <v>2411.29</v>
      </c>
    </row>
    <row r="408" spans="1:35">
      <c r="B408" s="172" t="s">
        <v>264</v>
      </c>
      <c r="C408" s="247"/>
      <c r="T408" s="172"/>
      <c r="U408" s="248"/>
    </row>
    <row r="409" spans="1:35">
      <c r="A409" s="155" t="s">
        <v>354</v>
      </c>
      <c r="B409" s="75">
        <v>2016</v>
      </c>
      <c r="C409" s="75" t="str">
        <f t="shared" ref="C409:H409" si="313">C337</f>
        <v>Stufe 1</v>
      </c>
      <c r="D409" s="75" t="str">
        <f t="shared" si="313"/>
        <v>Stufe 2</v>
      </c>
      <c r="E409" s="75" t="str">
        <f t="shared" si="313"/>
        <v>Stufe 3</v>
      </c>
      <c r="F409" s="75" t="str">
        <f t="shared" si="313"/>
        <v>Stufe 4</v>
      </c>
      <c r="G409" s="75" t="str">
        <f t="shared" si="313"/>
        <v>Stufe 5</v>
      </c>
      <c r="H409" s="75" t="str">
        <f t="shared" si="313"/>
        <v>Stufe 6</v>
      </c>
      <c r="S409" s="155" t="s">
        <v>330</v>
      </c>
      <c r="T409" s="75" t="s">
        <v>337</v>
      </c>
      <c r="U409" s="75" t="str">
        <f t="shared" ref="U409:Z409" si="314">C25</f>
        <v>Stufe 1</v>
      </c>
      <c r="V409" s="75" t="str">
        <f t="shared" si="314"/>
        <v>Stufe 2</v>
      </c>
      <c r="W409" s="75" t="str">
        <f t="shared" si="314"/>
        <v>Stufe 3</v>
      </c>
      <c r="X409" s="75" t="str">
        <f t="shared" si="314"/>
        <v>Stufe 4</v>
      </c>
      <c r="Y409" s="75" t="str">
        <f t="shared" si="314"/>
        <v>Stufe 5</v>
      </c>
      <c r="Z409" s="75" t="str">
        <f t="shared" si="314"/>
        <v>Stufe 6</v>
      </c>
    </row>
    <row r="410" spans="1:35" ht="11.25" customHeight="1">
      <c r="A410" s="429" t="s">
        <v>6</v>
      </c>
      <c r="B410" s="75" t="str">
        <f>B386</f>
        <v>15Ü</v>
      </c>
      <c r="C410" s="37" t="str">
        <f t="shared" ref="C410:H410" si="315">IF(C386="-","-",ROUND(C386*$B$408,2))</f>
        <v>-</v>
      </c>
      <c r="D410" s="37">
        <f t="shared" si="315"/>
        <v>5459.14</v>
      </c>
      <c r="E410" s="37">
        <f t="shared" si="315"/>
        <v>6051.16</v>
      </c>
      <c r="F410" s="37">
        <f t="shared" si="315"/>
        <v>6612.04</v>
      </c>
      <c r="G410" s="37">
        <f t="shared" si="315"/>
        <v>6985.97</v>
      </c>
      <c r="H410" s="37">
        <f t="shared" si="315"/>
        <v>7073.2</v>
      </c>
      <c r="T410" s="135" t="s">
        <v>338</v>
      </c>
      <c r="U410" s="458">
        <f t="shared" ref="U410:Z410" si="316">U386</f>
        <v>3445.25</v>
      </c>
      <c r="V410" s="458">
        <f t="shared" si="316"/>
        <v>3560.07</v>
      </c>
      <c r="W410" s="458">
        <f t="shared" si="316"/>
        <v>4019.46</v>
      </c>
      <c r="X410" s="458">
        <f t="shared" si="316"/>
        <v>4363.97</v>
      </c>
      <c r="Y410" s="458">
        <f t="shared" si="316"/>
        <v>4880.76</v>
      </c>
      <c r="Z410" s="458">
        <f t="shared" si="316"/>
        <v>5196.57</v>
      </c>
    </row>
    <row r="411" spans="1:35" ht="11.25" customHeight="1">
      <c r="A411" s="155" t="str">
        <f>$A$410</f>
        <v>EG</v>
      </c>
      <c r="B411" s="75">
        <f t="shared" ref="B411:B426" si="317">B387</f>
        <v>15</v>
      </c>
      <c r="C411" s="37">
        <f t="shared" ref="C411:H411" si="318">IF(C387="-","-",ROUND(C387*$B$408,2))</f>
        <v>4280.05</v>
      </c>
      <c r="D411" s="37">
        <f t="shared" si="318"/>
        <v>4748.72</v>
      </c>
      <c r="E411" s="37">
        <f t="shared" si="318"/>
        <v>4923.2</v>
      </c>
      <c r="F411" s="37">
        <f t="shared" si="318"/>
        <v>5546.38</v>
      </c>
      <c r="G411" s="37">
        <f t="shared" si="318"/>
        <v>6020</v>
      </c>
      <c r="H411" s="37">
        <f t="shared" si="318"/>
        <v>6331.6</v>
      </c>
      <c r="T411" s="135" t="s">
        <v>339</v>
      </c>
      <c r="U411" s="458">
        <f t="shared" ref="U411:Z411" si="319">U387</f>
        <v>3102.56</v>
      </c>
      <c r="V411" s="458">
        <f t="shared" si="319"/>
        <v>3416.52</v>
      </c>
      <c r="W411" s="458">
        <f t="shared" si="319"/>
        <v>3789.76</v>
      </c>
      <c r="X411" s="458">
        <f t="shared" si="319"/>
        <v>4019.46</v>
      </c>
      <c r="Y411" s="458">
        <f t="shared" si="319"/>
        <v>4478.8</v>
      </c>
      <c r="Z411" s="458">
        <f t="shared" si="319"/>
        <v>4748.6899999999996</v>
      </c>
    </row>
    <row r="412" spans="1:35" ht="11.25" customHeight="1">
      <c r="A412" s="155" t="str">
        <f t="shared" ref="A412:A426" si="320">$A$410</f>
        <v>EG</v>
      </c>
      <c r="B412" s="75">
        <f t="shared" si="317"/>
        <v>14</v>
      </c>
      <c r="C412" s="37">
        <f t="shared" ref="C412:H412" si="321">IF(C388="-","-",ROUND(C388*$B$408,2))</f>
        <v>3876.23</v>
      </c>
      <c r="D412" s="37">
        <f t="shared" si="321"/>
        <v>4299.99</v>
      </c>
      <c r="E412" s="37">
        <f t="shared" si="321"/>
        <v>4549.26</v>
      </c>
      <c r="F412" s="37">
        <f t="shared" si="321"/>
        <v>4923.2</v>
      </c>
      <c r="G412" s="37">
        <f t="shared" si="321"/>
        <v>5496.55</v>
      </c>
      <c r="H412" s="37">
        <f t="shared" si="321"/>
        <v>5808.12</v>
      </c>
      <c r="T412" s="135" t="s">
        <v>340</v>
      </c>
      <c r="U412" s="458" t="str">
        <f t="shared" ref="U412:Z412" si="322">U388</f>
        <v>-</v>
      </c>
      <c r="V412" s="458" t="str">
        <f t="shared" si="322"/>
        <v>-</v>
      </c>
      <c r="W412" s="458">
        <f t="shared" si="322"/>
        <v>3726.6</v>
      </c>
      <c r="X412" s="458">
        <f t="shared" si="322"/>
        <v>4134.29</v>
      </c>
      <c r="Y412" s="458">
        <f t="shared" si="322"/>
        <v>4386.95</v>
      </c>
      <c r="Z412" s="458" t="str">
        <f t="shared" si="322"/>
        <v>-</v>
      </c>
    </row>
    <row r="413" spans="1:35" ht="11.25" customHeight="1">
      <c r="A413" s="155" t="str">
        <f t="shared" si="320"/>
        <v>EG</v>
      </c>
      <c r="B413" s="75">
        <f t="shared" si="317"/>
        <v>13</v>
      </c>
      <c r="C413" s="37">
        <f t="shared" ref="C413:H413" si="323">IF(C389="-","-",ROUND(C389*$B$408,2))</f>
        <v>3573.37</v>
      </c>
      <c r="D413" s="37">
        <f t="shared" si="323"/>
        <v>3963.48</v>
      </c>
      <c r="E413" s="37">
        <f t="shared" si="323"/>
        <v>4175.38</v>
      </c>
      <c r="F413" s="37">
        <f t="shared" si="323"/>
        <v>4586.6400000000003</v>
      </c>
      <c r="G413" s="37">
        <f t="shared" si="323"/>
        <v>5159.99</v>
      </c>
      <c r="H413" s="37">
        <f t="shared" si="323"/>
        <v>5396.82</v>
      </c>
      <c r="T413" s="135" t="s">
        <v>341</v>
      </c>
      <c r="U413" s="458">
        <f t="shared" ref="U413:Z413" si="324">U389</f>
        <v>3024.52</v>
      </c>
      <c r="V413" s="458">
        <f t="shared" si="324"/>
        <v>3341.89</v>
      </c>
      <c r="W413" s="458">
        <f t="shared" si="324"/>
        <v>3594.53</v>
      </c>
      <c r="X413" s="458">
        <f t="shared" si="324"/>
        <v>3904.6</v>
      </c>
      <c r="Y413" s="458">
        <f t="shared" si="324"/>
        <v>4249.12</v>
      </c>
      <c r="Z413" s="458">
        <f t="shared" si="324"/>
        <v>4455.84</v>
      </c>
    </row>
    <row r="414" spans="1:35" ht="11.25" customHeight="1">
      <c r="A414" s="155" t="str">
        <f t="shared" si="320"/>
        <v>EG</v>
      </c>
      <c r="B414" s="75">
        <f t="shared" si="317"/>
        <v>12</v>
      </c>
      <c r="C414" s="37">
        <f t="shared" ref="C414:H414" si="325">IF(C390="-","-",ROUND(C390*$B$408,2))</f>
        <v>3204.27</v>
      </c>
      <c r="D414" s="37">
        <f t="shared" si="325"/>
        <v>3552.17</v>
      </c>
      <c r="E414" s="37">
        <f t="shared" si="325"/>
        <v>4050.72</v>
      </c>
      <c r="F414" s="37">
        <f t="shared" si="325"/>
        <v>4486.96</v>
      </c>
      <c r="G414" s="37">
        <f t="shared" si="325"/>
        <v>5047.84</v>
      </c>
      <c r="H414" s="37">
        <f t="shared" si="325"/>
        <v>5297.11</v>
      </c>
      <c r="T414" s="135" t="s">
        <v>342</v>
      </c>
      <c r="U414" s="458">
        <f t="shared" ref="U414:Z414" si="326">U390</f>
        <v>2913.01</v>
      </c>
      <c r="V414" s="458">
        <f t="shared" si="326"/>
        <v>3215.54</v>
      </c>
      <c r="W414" s="458">
        <f t="shared" si="326"/>
        <v>3445.25</v>
      </c>
      <c r="X414" s="458">
        <f t="shared" si="326"/>
        <v>3709.38</v>
      </c>
      <c r="Y414" s="458">
        <f t="shared" si="326"/>
        <v>4134.29</v>
      </c>
      <c r="Z414" s="458">
        <f t="shared" si="326"/>
        <v>4318.0200000000004</v>
      </c>
    </row>
    <row r="415" spans="1:35" ht="11.25" customHeight="1">
      <c r="A415" s="155" t="str">
        <f t="shared" si="320"/>
        <v>EG</v>
      </c>
      <c r="B415" s="75">
        <f t="shared" si="317"/>
        <v>11</v>
      </c>
      <c r="C415" s="37">
        <f t="shared" ref="C415:H415" si="327">IF(C391="-","-",ROUND(C391*$B$408,2))</f>
        <v>3095.36</v>
      </c>
      <c r="D415" s="37">
        <f t="shared" si="327"/>
        <v>3427.56</v>
      </c>
      <c r="E415" s="37">
        <f t="shared" si="327"/>
        <v>3676.82</v>
      </c>
      <c r="F415" s="37">
        <f t="shared" si="327"/>
        <v>4050.72</v>
      </c>
      <c r="G415" s="37">
        <f t="shared" si="327"/>
        <v>4592.8999999999996</v>
      </c>
      <c r="H415" s="37">
        <f t="shared" si="327"/>
        <v>4842.18</v>
      </c>
      <c r="T415" s="135" t="s">
        <v>343</v>
      </c>
      <c r="U415" s="461">
        <f t="shared" ref="U415:Z415" si="328">U391+AD415</f>
        <v>2909.57</v>
      </c>
      <c r="V415" s="461">
        <f t="shared" si="328"/>
        <v>3182.56</v>
      </c>
      <c r="W415" s="461">
        <f t="shared" si="328"/>
        <v>3437.82</v>
      </c>
      <c r="X415" s="461">
        <f t="shared" si="328"/>
        <v>3697.48</v>
      </c>
      <c r="Y415" s="461">
        <f t="shared" si="328"/>
        <v>3984.6</v>
      </c>
      <c r="Z415" s="461">
        <f t="shared" si="328"/>
        <v>4185.57</v>
      </c>
      <c r="AD415" s="459">
        <v>30</v>
      </c>
      <c r="AE415" s="459">
        <v>80</v>
      </c>
      <c r="AF415" s="459">
        <v>50</v>
      </c>
      <c r="AG415" s="459">
        <v>80</v>
      </c>
      <c r="AH415" s="459">
        <v>80</v>
      </c>
      <c r="AI415" s="459">
        <v>80</v>
      </c>
    </row>
    <row r="416" spans="1:35" ht="11.25" customHeight="1">
      <c r="A416" s="155" t="str">
        <f t="shared" si="320"/>
        <v>EG</v>
      </c>
      <c r="B416" s="75">
        <f t="shared" si="317"/>
        <v>10</v>
      </c>
      <c r="C416" s="37">
        <f t="shared" ref="C416:H416" si="329">IF(C392="-","-",ROUND(C392*$B$408,2))</f>
        <v>2986.43</v>
      </c>
      <c r="D416" s="37">
        <f t="shared" si="329"/>
        <v>3302.89</v>
      </c>
      <c r="E416" s="37">
        <f t="shared" si="329"/>
        <v>3552.17</v>
      </c>
      <c r="F416" s="37">
        <f t="shared" si="329"/>
        <v>3801.47</v>
      </c>
      <c r="G416" s="37">
        <f t="shared" si="329"/>
        <v>4275.08</v>
      </c>
      <c r="H416" s="37">
        <f t="shared" si="329"/>
        <v>4387.25</v>
      </c>
      <c r="T416" s="135" t="s">
        <v>344</v>
      </c>
      <c r="U416" s="462">
        <f>U392</f>
        <v>2926.55</v>
      </c>
      <c r="V416" s="462">
        <f t="shared" ref="V416:Z417" si="330">V392</f>
        <v>3149.53</v>
      </c>
      <c r="W416" s="462">
        <f t="shared" si="330"/>
        <v>3436.2</v>
      </c>
      <c r="X416" s="462">
        <f t="shared" si="330"/>
        <v>3665.88</v>
      </c>
      <c r="Y416" s="462">
        <f t="shared" si="330"/>
        <v>3952.98</v>
      </c>
      <c r="Z416" s="462">
        <f t="shared" si="330"/>
        <v>4096.53</v>
      </c>
      <c r="AD416" s="459"/>
      <c r="AE416" s="459"/>
      <c r="AF416" s="459"/>
      <c r="AG416" s="459"/>
      <c r="AH416" s="459"/>
      <c r="AI416" s="459"/>
    </row>
    <row r="417" spans="1:35" ht="11.25" customHeight="1">
      <c r="A417" s="155" t="str">
        <f t="shared" si="320"/>
        <v>EG</v>
      </c>
      <c r="B417" s="75">
        <f t="shared" si="317"/>
        <v>9</v>
      </c>
      <c r="C417" s="37">
        <f t="shared" ref="C417:H417" si="331">IF(C393="-","-",ROUND(C393*$B$408,2))</f>
        <v>2648.85</v>
      </c>
      <c r="D417" s="37">
        <f t="shared" si="331"/>
        <v>2925.94</v>
      </c>
      <c r="E417" s="37">
        <f t="shared" si="331"/>
        <v>3071.16</v>
      </c>
      <c r="F417" s="37">
        <f t="shared" si="331"/>
        <v>3464.92</v>
      </c>
      <c r="G417" s="37">
        <f t="shared" si="331"/>
        <v>3776.53</v>
      </c>
      <c r="H417" s="37">
        <f t="shared" si="331"/>
        <v>4025.78</v>
      </c>
      <c r="J417" s="135" t="str">
        <f>J393</f>
        <v>9c</v>
      </c>
      <c r="K417" s="37">
        <f>IF(K393="-","-",ROUND(K393*$B$408,2))</f>
        <v>2897.54</v>
      </c>
      <c r="L417" s="37">
        <f t="shared" ref="L417:P418" si="332">IF(L393="-","-",ROUND(L393*$B$408,2))</f>
        <v>3145.5</v>
      </c>
      <c r="M417" s="37">
        <f t="shared" si="332"/>
        <v>3442.5</v>
      </c>
      <c r="N417" s="37">
        <f t="shared" si="332"/>
        <v>3664.61</v>
      </c>
      <c r="O417" s="37">
        <f t="shared" si="332"/>
        <v>3997.76</v>
      </c>
      <c r="P417" s="37">
        <f t="shared" si="332"/>
        <v>4142.12</v>
      </c>
      <c r="T417" s="135" t="s">
        <v>345</v>
      </c>
      <c r="U417" s="462">
        <f>U393</f>
        <v>2879.57</v>
      </c>
      <c r="V417" s="462">
        <f t="shared" si="330"/>
        <v>3102.56</v>
      </c>
      <c r="W417" s="462">
        <f t="shared" si="330"/>
        <v>3387.82</v>
      </c>
      <c r="X417" s="462">
        <f t="shared" si="330"/>
        <v>3617.48</v>
      </c>
      <c r="Y417" s="462">
        <f t="shared" si="330"/>
        <v>3904.6</v>
      </c>
      <c r="Z417" s="462">
        <f t="shared" si="330"/>
        <v>4048.14</v>
      </c>
      <c r="AD417" s="459"/>
      <c r="AE417" s="459"/>
      <c r="AF417" s="459"/>
      <c r="AG417" s="459"/>
      <c r="AH417" s="459"/>
      <c r="AI417" s="459"/>
    </row>
    <row r="418" spans="1:35" ht="11.25" customHeight="1">
      <c r="A418" s="155" t="str">
        <f t="shared" si="320"/>
        <v>EG</v>
      </c>
      <c r="B418" s="75">
        <f t="shared" si="317"/>
        <v>8</v>
      </c>
      <c r="C418" s="37">
        <f t="shared" ref="C418:H418" si="333">IF(C394="-","-",ROUND(C394*$B$408,2))</f>
        <v>2485.48</v>
      </c>
      <c r="D418" s="37">
        <f t="shared" si="333"/>
        <v>2744.42</v>
      </c>
      <c r="E418" s="37">
        <f t="shared" si="333"/>
        <v>2865.46</v>
      </c>
      <c r="F418" s="37">
        <f t="shared" si="333"/>
        <v>2974.36</v>
      </c>
      <c r="G418" s="37">
        <f t="shared" si="333"/>
        <v>3095.36</v>
      </c>
      <c r="H418" s="37">
        <f t="shared" si="333"/>
        <v>3171.59</v>
      </c>
      <c r="J418" s="135" t="str">
        <f>J394</f>
        <v>9a</v>
      </c>
      <c r="K418" s="37">
        <f>IF(K394="-","-",ROUND(K394*$B$408,2))</f>
        <v>2648.85</v>
      </c>
      <c r="L418" s="37">
        <f t="shared" si="332"/>
        <v>2896.81</v>
      </c>
      <c r="M418" s="37">
        <f t="shared" si="332"/>
        <v>3071.16</v>
      </c>
      <c r="N418" s="37">
        <f t="shared" si="332"/>
        <v>3464.92</v>
      </c>
      <c r="O418" s="37">
        <f t="shared" si="332"/>
        <v>3552.82</v>
      </c>
      <c r="P418" s="37">
        <f t="shared" si="332"/>
        <v>3776.53</v>
      </c>
      <c r="T418" s="135" t="s">
        <v>346</v>
      </c>
      <c r="U418" s="462">
        <f>U394</f>
        <v>2815.04</v>
      </c>
      <c r="V418" s="462">
        <f>V394</f>
        <v>3093.78</v>
      </c>
      <c r="W418" s="462">
        <f>W394</f>
        <v>3367.29</v>
      </c>
      <c r="X418" s="462">
        <f>X394</f>
        <v>3608.45</v>
      </c>
      <c r="Y418" s="462">
        <f>Y394</f>
        <v>3907.04</v>
      </c>
      <c r="Z418" s="463">
        <f>Z394+AI418</f>
        <v>4113.37</v>
      </c>
      <c r="AA418" s="460">
        <f>Z418-Z419</f>
        <v>80</v>
      </c>
      <c r="AD418" s="459"/>
      <c r="AE418" s="459"/>
      <c r="AF418" s="459"/>
      <c r="AG418" s="459"/>
      <c r="AH418" s="459"/>
      <c r="AI418" s="460">
        <v>80</v>
      </c>
    </row>
    <row r="419" spans="1:35" ht="11.25" customHeight="1">
      <c r="A419" s="155" t="str">
        <f t="shared" si="320"/>
        <v>EG</v>
      </c>
      <c r="B419" s="75">
        <f t="shared" si="317"/>
        <v>7</v>
      </c>
      <c r="C419" s="37">
        <f t="shared" ref="C419:H419" si="334">IF(C395="-","-",ROUND(C395*$B$408,2))</f>
        <v>2333.0300000000002</v>
      </c>
      <c r="D419" s="37">
        <f t="shared" si="334"/>
        <v>2575.02</v>
      </c>
      <c r="E419" s="37">
        <f t="shared" si="334"/>
        <v>2732.33</v>
      </c>
      <c r="F419" s="37">
        <f t="shared" si="334"/>
        <v>2853.36</v>
      </c>
      <c r="G419" s="37">
        <f t="shared" si="334"/>
        <v>2944.1</v>
      </c>
      <c r="H419" s="37">
        <f t="shared" si="334"/>
        <v>3028.81</v>
      </c>
      <c r="T419" s="135" t="s">
        <v>347</v>
      </c>
      <c r="U419" s="462">
        <f t="shared" ref="U419:Z419" si="335">U394</f>
        <v>2815.04</v>
      </c>
      <c r="V419" s="462">
        <f t="shared" si="335"/>
        <v>3093.78</v>
      </c>
      <c r="W419" s="462">
        <f t="shared" si="335"/>
        <v>3367.29</v>
      </c>
      <c r="X419" s="462">
        <f t="shared" si="335"/>
        <v>3608.45</v>
      </c>
      <c r="Y419" s="462">
        <f t="shared" si="335"/>
        <v>3907.04</v>
      </c>
      <c r="Z419" s="462">
        <f t="shared" si="335"/>
        <v>4033.37</v>
      </c>
      <c r="AA419" s="459"/>
      <c r="AD419" s="459"/>
      <c r="AE419" s="459"/>
      <c r="AF419" s="459"/>
      <c r="AG419" s="459"/>
      <c r="AH419" s="459"/>
      <c r="AI419" s="459"/>
    </row>
    <row r="420" spans="1:35" ht="11.25" customHeight="1">
      <c r="A420" s="155" t="str">
        <f t="shared" si="320"/>
        <v>EG</v>
      </c>
      <c r="B420" s="75">
        <f t="shared" si="317"/>
        <v>6</v>
      </c>
      <c r="C420" s="37">
        <f t="shared" ref="C420:H420" si="336">IF(C396="-","-",ROUND(C396*$B$408,2))</f>
        <v>2289.44</v>
      </c>
      <c r="D420" s="37">
        <f t="shared" si="336"/>
        <v>2526.62</v>
      </c>
      <c r="E420" s="37">
        <f t="shared" si="336"/>
        <v>2647.62</v>
      </c>
      <c r="F420" s="37">
        <f t="shared" si="336"/>
        <v>2762.59</v>
      </c>
      <c r="G420" s="37">
        <f t="shared" si="336"/>
        <v>2841.25</v>
      </c>
      <c r="H420" s="37">
        <f t="shared" si="336"/>
        <v>2919.91</v>
      </c>
      <c r="T420" s="135" t="s">
        <v>348</v>
      </c>
      <c r="U420" s="462">
        <f>U396</f>
        <v>2715.3</v>
      </c>
      <c r="V420" s="462">
        <f>V396</f>
        <v>3049.78</v>
      </c>
      <c r="W420" s="462">
        <f>W396</f>
        <v>3195.64</v>
      </c>
      <c r="X420" s="462">
        <f>X396</f>
        <v>3563.13</v>
      </c>
      <c r="Y420" s="462">
        <f>Y396</f>
        <v>3850.24</v>
      </c>
      <c r="Z420" s="463">
        <f>Z396+AI420</f>
        <v>4092.5</v>
      </c>
      <c r="AA420" s="460">
        <f>Z420-Z421</f>
        <v>70</v>
      </c>
      <c r="AD420" s="459"/>
      <c r="AE420" s="459"/>
      <c r="AF420" s="459"/>
      <c r="AG420" s="459"/>
      <c r="AH420" s="459"/>
      <c r="AI420" s="460">
        <v>70</v>
      </c>
    </row>
    <row r="421" spans="1:35" ht="11.25" customHeight="1">
      <c r="A421" s="155" t="str">
        <f t="shared" si="320"/>
        <v>EG</v>
      </c>
      <c r="B421" s="75">
        <f t="shared" si="317"/>
        <v>5</v>
      </c>
      <c r="C421" s="37">
        <f t="shared" ref="C421:H421" si="337">IF(C397="-","-",ROUND(C397*$B$408,2))</f>
        <v>2197.4699999999998</v>
      </c>
      <c r="D421" s="37">
        <f t="shared" si="337"/>
        <v>2423.7800000000002</v>
      </c>
      <c r="E421" s="37">
        <f t="shared" si="337"/>
        <v>2538.73</v>
      </c>
      <c r="F421" s="37">
        <f t="shared" si="337"/>
        <v>2653.69</v>
      </c>
      <c r="G421" s="37">
        <f t="shared" si="337"/>
        <v>2738.39</v>
      </c>
      <c r="H421" s="37">
        <f t="shared" si="337"/>
        <v>2798.9</v>
      </c>
      <c r="T421" s="135" t="s">
        <v>349</v>
      </c>
      <c r="U421" s="462">
        <f t="shared" ref="U421:Z423" si="338">U396</f>
        <v>2715.3</v>
      </c>
      <c r="V421" s="462">
        <f t="shared" si="338"/>
        <v>3049.78</v>
      </c>
      <c r="W421" s="462">
        <f t="shared" si="338"/>
        <v>3195.64</v>
      </c>
      <c r="X421" s="462">
        <f t="shared" si="338"/>
        <v>3563.13</v>
      </c>
      <c r="Y421" s="462">
        <f t="shared" si="338"/>
        <v>3850.24</v>
      </c>
      <c r="Z421" s="462">
        <f t="shared" si="338"/>
        <v>4022.5</v>
      </c>
      <c r="AD421" s="459"/>
      <c r="AE421" s="459"/>
      <c r="AF421" s="459"/>
      <c r="AG421" s="459"/>
      <c r="AH421" s="459"/>
      <c r="AI421" s="459"/>
    </row>
    <row r="422" spans="1:35" ht="11.25" customHeight="1">
      <c r="A422" s="155" t="str">
        <f t="shared" si="320"/>
        <v>EG</v>
      </c>
      <c r="B422" s="75">
        <f t="shared" si="317"/>
        <v>4</v>
      </c>
      <c r="C422" s="37">
        <f t="shared" ref="C422:H422" si="339">IF(C398="-","-",ROUND(C398*$B$408,2))</f>
        <v>2093.4</v>
      </c>
      <c r="D422" s="37">
        <f t="shared" si="339"/>
        <v>2308.81</v>
      </c>
      <c r="E422" s="37">
        <f t="shared" si="339"/>
        <v>2454.02</v>
      </c>
      <c r="F422" s="37">
        <f t="shared" si="339"/>
        <v>2538.73</v>
      </c>
      <c r="G422" s="37">
        <f t="shared" si="339"/>
        <v>2623.44</v>
      </c>
      <c r="H422" s="37">
        <f t="shared" si="339"/>
        <v>2673.03</v>
      </c>
      <c r="T422" s="135" t="s">
        <v>350</v>
      </c>
      <c r="U422" s="462">
        <f t="shared" si="338"/>
        <v>2656.58</v>
      </c>
      <c r="V422" s="462">
        <f t="shared" si="338"/>
        <v>2991.07</v>
      </c>
      <c r="W422" s="462">
        <f t="shared" si="338"/>
        <v>3136.01</v>
      </c>
      <c r="X422" s="462">
        <f t="shared" si="338"/>
        <v>3502.66</v>
      </c>
      <c r="Y422" s="462">
        <f t="shared" si="338"/>
        <v>3789.76</v>
      </c>
      <c r="Z422" s="462">
        <f t="shared" si="338"/>
        <v>3962.02</v>
      </c>
      <c r="AD422" s="459"/>
      <c r="AE422" s="459"/>
      <c r="AF422" s="459"/>
      <c r="AG422" s="459"/>
      <c r="AH422" s="459"/>
      <c r="AI422" s="459"/>
    </row>
    <row r="423" spans="1:35" ht="11.25" customHeight="1">
      <c r="A423" s="155" t="str">
        <f t="shared" si="320"/>
        <v>EG</v>
      </c>
      <c r="B423" s="75">
        <f t="shared" si="317"/>
        <v>3</v>
      </c>
      <c r="C423" s="37">
        <f t="shared" ref="C423:H423" si="340">IF(C399="-","-",ROUND(C399*$B$408,2))</f>
        <v>2060.7600000000002</v>
      </c>
      <c r="D423" s="37">
        <f t="shared" si="340"/>
        <v>2272.4899999999998</v>
      </c>
      <c r="E423" s="37">
        <f t="shared" si="340"/>
        <v>2333.0300000000002</v>
      </c>
      <c r="F423" s="37">
        <f t="shared" si="340"/>
        <v>2429.8200000000002</v>
      </c>
      <c r="G423" s="37">
        <f t="shared" si="340"/>
        <v>2502.44</v>
      </c>
      <c r="H423" s="37">
        <f t="shared" si="340"/>
        <v>2568.98</v>
      </c>
      <c r="T423" s="135" t="s">
        <v>351</v>
      </c>
      <c r="U423" s="462">
        <f t="shared" si="338"/>
        <v>2589.6799999999998</v>
      </c>
      <c r="V423" s="462">
        <f t="shared" si="338"/>
        <v>2857.27</v>
      </c>
      <c r="W423" s="462">
        <f t="shared" si="338"/>
        <v>2991.07</v>
      </c>
      <c r="X423" s="462">
        <f t="shared" si="338"/>
        <v>3387.82</v>
      </c>
      <c r="Y423" s="462">
        <f t="shared" si="338"/>
        <v>3709.38</v>
      </c>
      <c r="Z423" s="462">
        <f t="shared" si="338"/>
        <v>3973.5</v>
      </c>
      <c r="AD423" s="459"/>
      <c r="AE423" s="459"/>
      <c r="AF423" s="459"/>
      <c r="AG423" s="459"/>
      <c r="AH423" s="459"/>
      <c r="AI423" s="459"/>
    </row>
    <row r="424" spans="1:35" ht="11.25" customHeight="1">
      <c r="A424" s="155" t="str">
        <f t="shared" si="320"/>
        <v>EG</v>
      </c>
      <c r="B424" s="75" t="str">
        <f t="shared" si="317"/>
        <v>2Ü</v>
      </c>
      <c r="C424" s="37">
        <f t="shared" ref="C424:H424" si="341">IF(C400="-","-",ROUND(C400*$B$408,2))</f>
        <v>1973.6</v>
      </c>
      <c r="D424" s="37">
        <f t="shared" si="341"/>
        <v>2175.71</v>
      </c>
      <c r="E424" s="37">
        <f t="shared" si="341"/>
        <v>2248.31</v>
      </c>
      <c r="F424" s="37">
        <f t="shared" si="341"/>
        <v>2345.12</v>
      </c>
      <c r="G424" s="37">
        <f t="shared" si="341"/>
        <v>2411.66</v>
      </c>
      <c r="H424" s="37">
        <f t="shared" si="341"/>
        <v>2461.3000000000002</v>
      </c>
      <c r="T424" s="135" t="s">
        <v>141</v>
      </c>
      <c r="U424" s="461">
        <v>2480</v>
      </c>
      <c r="V424" s="461">
        <v>2760</v>
      </c>
      <c r="W424" s="461">
        <v>2980</v>
      </c>
      <c r="X424" s="461">
        <v>3300</v>
      </c>
      <c r="Y424" s="461">
        <v>3600</v>
      </c>
      <c r="Z424" s="461">
        <v>3830</v>
      </c>
      <c r="AD424" s="459"/>
      <c r="AE424" s="459"/>
      <c r="AF424" s="459"/>
      <c r="AG424" s="459"/>
      <c r="AH424" s="459"/>
      <c r="AI424" s="459"/>
    </row>
    <row r="425" spans="1:35" ht="11.25" customHeight="1">
      <c r="A425" s="155" t="str">
        <f t="shared" si="320"/>
        <v>EG</v>
      </c>
      <c r="B425" s="75">
        <f t="shared" si="317"/>
        <v>2</v>
      </c>
      <c r="C425" s="37">
        <f t="shared" ref="C425:H425" si="342">IF(C401="-","-",ROUND(C401*$B$408,2))</f>
        <v>1908.26</v>
      </c>
      <c r="D425" s="37">
        <f t="shared" si="342"/>
        <v>2103.09</v>
      </c>
      <c r="E425" s="37">
        <f t="shared" si="342"/>
        <v>2163.6</v>
      </c>
      <c r="F425" s="37">
        <f t="shared" si="342"/>
        <v>2224.12</v>
      </c>
      <c r="G425" s="37">
        <f t="shared" si="342"/>
        <v>2357.19</v>
      </c>
      <c r="H425" s="37">
        <f t="shared" si="342"/>
        <v>2496.38</v>
      </c>
      <c r="T425" s="135" t="s">
        <v>352</v>
      </c>
      <c r="U425" s="461">
        <v>2480</v>
      </c>
      <c r="V425" s="461">
        <v>2760</v>
      </c>
      <c r="W425" s="461">
        <v>2980</v>
      </c>
      <c r="X425" s="461">
        <v>3300</v>
      </c>
      <c r="Y425" s="461">
        <v>3600</v>
      </c>
      <c r="Z425" s="461">
        <v>3830</v>
      </c>
      <c r="AD425" s="459"/>
      <c r="AE425" s="459"/>
      <c r="AF425" s="459"/>
      <c r="AG425" s="459"/>
      <c r="AH425" s="459"/>
      <c r="AI425" s="459"/>
    </row>
    <row r="426" spans="1:35" ht="11.25" customHeight="1">
      <c r="A426" s="155" t="str">
        <f t="shared" si="320"/>
        <v>EG</v>
      </c>
      <c r="B426" s="75">
        <f t="shared" si="317"/>
        <v>1</v>
      </c>
      <c r="C426" s="37" t="str">
        <f t="shared" ref="C426:H426" si="343">IF(C402="-","-",ROUND(C402*$B$408,2))</f>
        <v>-</v>
      </c>
      <c r="D426" s="37">
        <f t="shared" si="343"/>
        <v>1711.04</v>
      </c>
      <c r="E426" s="37">
        <f t="shared" si="343"/>
        <v>1740.08</v>
      </c>
      <c r="F426" s="37">
        <f t="shared" si="343"/>
        <v>1776.39</v>
      </c>
      <c r="G426" s="37">
        <f t="shared" si="343"/>
        <v>1810.25</v>
      </c>
      <c r="H426" s="37">
        <f t="shared" si="343"/>
        <v>1897.38</v>
      </c>
      <c r="T426" s="135" t="s">
        <v>353</v>
      </c>
      <c r="U426" s="461">
        <v>2460</v>
      </c>
      <c r="V426" s="461">
        <v>2700</v>
      </c>
      <c r="W426" s="461">
        <v>2890</v>
      </c>
      <c r="X426" s="461">
        <v>3070</v>
      </c>
      <c r="Y426" s="461">
        <v>3245</v>
      </c>
      <c r="Z426" s="461">
        <v>3427.5</v>
      </c>
      <c r="AD426" s="459"/>
      <c r="AE426" s="459"/>
      <c r="AF426" s="459"/>
      <c r="AG426" s="459"/>
      <c r="AH426" s="459"/>
      <c r="AI426" s="459"/>
    </row>
    <row r="427" spans="1:35">
      <c r="A427" s="155"/>
      <c r="B427" s="155"/>
      <c r="C427" s="37">
        <v>0</v>
      </c>
      <c r="D427" s="37">
        <v>0</v>
      </c>
      <c r="E427" s="37">
        <v>0</v>
      </c>
      <c r="F427" s="37">
        <v>0</v>
      </c>
      <c r="G427" s="37">
        <v>0</v>
      </c>
      <c r="H427" s="37">
        <v>0</v>
      </c>
      <c r="I427" s="155"/>
      <c r="T427" s="135" t="s">
        <v>143</v>
      </c>
      <c r="U427" s="462">
        <f t="shared" ref="U427:Z427" si="344">U401</f>
        <v>2405.6999999999998</v>
      </c>
      <c r="V427" s="462">
        <f t="shared" si="344"/>
        <v>2628.7</v>
      </c>
      <c r="W427" s="462">
        <f t="shared" si="344"/>
        <v>2807.11</v>
      </c>
      <c r="X427" s="462">
        <f t="shared" si="344"/>
        <v>2985.49</v>
      </c>
      <c r="Y427" s="462">
        <f t="shared" si="344"/>
        <v>3119.3</v>
      </c>
      <c r="Z427" s="462">
        <f t="shared" si="344"/>
        <v>3318.92</v>
      </c>
      <c r="AD427" s="459"/>
      <c r="AE427" s="459"/>
      <c r="AF427" s="459"/>
      <c r="AG427" s="459"/>
      <c r="AH427" s="459"/>
      <c r="AI427" s="459"/>
    </row>
    <row r="428" spans="1:35">
      <c r="A428" s="155"/>
      <c r="B428" s="75"/>
      <c r="C428" s="37">
        <v>0</v>
      </c>
      <c r="D428" s="37">
        <v>0</v>
      </c>
      <c r="E428" s="37">
        <v>0</v>
      </c>
      <c r="F428" s="37">
        <v>0</v>
      </c>
      <c r="G428" s="37">
        <v>0</v>
      </c>
      <c r="H428" s="37">
        <v>0</v>
      </c>
      <c r="T428" s="135" t="s">
        <v>146</v>
      </c>
      <c r="U428" s="461">
        <v>2260.7600000000002</v>
      </c>
      <c r="V428" s="461">
        <v>2511.63</v>
      </c>
      <c r="W428" s="461">
        <v>2667.73</v>
      </c>
      <c r="X428" s="461">
        <v>2773.65</v>
      </c>
      <c r="Y428" s="461">
        <v>2874</v>
      </c>
      <c r="Z428" s="461">
        <v>3030.34</v>
      </c>
      <c r="AD428" s="459"/>
      <c r="AE428" s="459"/>
      <c r="AF428" s="459"/>
      <c r="AG428" s="459"/>
      <c r="AH428" s="459"/>
      <c r="AI428" s="459"/>
    </row>
    <row r="429" spans="1:35">
      <c r="A429" s="155"/>
      <c r="T429" s="135" t="s">
        <v>147</v>
      </c>
      <c r="U429" s="461">
        <v>2104.67</v>
      </c>
      <c r="V429" s="461">
        <v>2363.34</v>
      </c>
      <c r="W429" s="461">
        <v>2513.3000000000002</v>
      </c>
      <c r="X429" s="461">
        <v>2651.01</v>
      </c>
      <c r="Y429" s="461">
        <v>2714</v>
      </c>
      <c r="Z429" s="461">
        <v>2789.26</v>
      </c>
      <c r="AD429" s="459"/>
      <c r="AE429" s="459"/>
      <c r="AF429" s="459"/>
      <c r="AG429" s="459"/>
      <c r="AH429" s="459"/>
      <c r="AI429" s="459"/>
    </row>
    <row r="430" spans="1:35">
      <c r="T430" s="135" t="s">
        <v>148</v>
      </c>
      <c r="U430" s="461">
        <f t="shared" ref="U430:Z430" si="345">U406+AD430</f>
        <v>2009.72</v>
      </c>
      <c r="V430" s="461">
        <f t="shared" si="345"/>
        <v>2115.65</v>
      </c>
      <c r="W430" s="461">
        <f t="shared" si="345"/>
        <v>2193.69</v>
      </c>
      <c r="X430" s="461">
        <f t="shared" si="345"/>
        <v>2282.89</v>
      </c>
      <c r="Y430" s="461">
        <f t="shared" si="345"/>
        <v>2372.08</v>
      </c>
      <c r="Z430" s="461">
        <f t="shared" si="345"/>
        <v>2461.29</v>
      </c>
      <c r="AD430" s="459">
        <v>50</v>
      </c>
      <c r="AE430" s="459">
        <v>50</v>
      </c>
      <c r="AF430" s="459">
        <v>50</v>
      </c>
      <c r="AG430" s="459">
        <v>50</v>
      </c>
      <c r="AH430" s="459">
        <v>50</v>
      </c>
      <c r="AI430" s="459">
        <v>50</v>
      </c>
    </row>
    <row r="432" spans="1:35">
      <c r="B432" s="172"/>
      <c r="C432" s="247"/>
      <c r="T432" s="172" t="s">
        <v>264</v>
      </c>
      <c r="U432" s="248"/>
      <c r="AC432" s="172" t="s">
        <v>264</v>
      </c>
    </row>
    <row r="433" spans="1:35">
      <c r="A433" s="155" t="s">
        <v>355</v>
      </c>
      <c r="B433" s="75">
        <v>2017</v>
      </c>
      <c r="C433" s="75" t="str">
        <f t="shared" ref="C433:H434" si="346">C409</f>
        <v>Stufe 1</v>
      </c>
      <c r="D433" s="75" t="str">
        <f t="shared" si="346"/>
        <v>Stufe 2</v>
      </c>
      <c r="E433" s="75" t="str">
        <f t="shared" si="346"/>
        <v>Stufe 3</v>
      </c>
      <c r="F433" s="75" t="str">
        <f t="shared" si="346"/>
        <v>Stufe 4</v>
      </c>
      <c r="G433" s="75" t="str">
        <f t="shared" si="346"/>
        <v>Stufe 5</v>
      </c>
      <c r="H433" s="75" t="str">
        <f t="shared" si="346"/>
        <v>Stufe 6</v>
      </c>
      <c r="S433" s="155" t="str">
        <f>A409</f>
        <v>ab Mrz 2016</v>
      </c>
      <c r="T433" s="75">
        <v>2016</v>
      </c>
      <c r="U433" s="75" t="str">
        <f t="shared" ref="U433:Z433" si="347">C49</f>
        <v>Stufe 1</v>
      </c>
      <c r="V433" s="75" t="str">
        <f t="shared" si="347"/>
        <v>Stufe 2</v>
      </c>
      <c r="W433" s="75" t="str">
        <f t="shared" si="347"/>
        <v>Stufe 3</v>
      </c>
      <c r="X433" s="75" t="str">
        <f t="shared" si="347"/>
        <v>Stufe 4</v>
      </c>
      <c r="Y433" s="75" t="str">
        <f t="shared" si="347"/>
        <v>Stufe 5</v>
      </c>
      <c r="Z433" s="75" t="str">
        <f t="shared" si="347"/>
        <v>Stufe 6</v>
      </c>
      <c r="AC433" s="75">
        <v>2016</v>
      </c>
      <c r="AD433" s="75" t="str">
        <f t="shared" ref="AD433:AI433" si="348">C265</f>
        <v>Stufe 1</v>
      </c>
      <c r="AE433" s="75" t="str">
        <f t="shared" si="348"/>
        <v>Stufe 2</v>
      </c>
      <c r="AF433" s="75" t="str">
        <f t="shared" si="348"/>
        <v>Stufe 3</v>
      </c>
      <c r="AG433" s="75" t="str">
        <f t="shared" si="348"/>
        <v>Stufe 4</v>
      </c>
      <c r="AH433" s="75" t="str">
        <f t="shared" si="348"/>
        <v>Stufe 5</v>
      </c>
      <c r="AI433" s="75" t="str">
        <f t="shared" si="348"/>
        <v>Stufe 6</v>
      </c>
    </row>
    <row r="434" spans="1:35" ht="11.25" customHeight="1">
      <c r="A434" s="155" t="str">
        <f>$A$410</f>
        <v>EG</v>
      </c>
      <c r="B434" s="75" t="str">
        <f>B410</f>
        <v>15Ü</v>
      </c>
      <c r="C434" s="37" t="str">
        <f t="shared" si="346"/>
        <v>-</v>
      </c>
      <c r="D434" s="37">
        <f t="shared" si="346"/>
        <v>5459.14</v>
      </c>
      <c r="E434" s="37">
        <f t="shared" si="346"/>
        <v>6051.16</v>
      </c>
      <c r="F434" s="37">
        <f t="shared" si="346"/>
        <v>6612.04</v>
      </c>
      <c r="G434" s="37">
        <f t="shared" si="346"/>
        <v>6985.97</v>
      </c>
      <c r="H434" s="37">
        <f t="shared" si="346"/>
        <v>7073.2</v>
      </c>
      <c r="T434" s="135" t="s">
        <v>338</v>
      </c>
      <c r="U434" s="37">
        <f t="shared" ref="U434:Z434" si="349">IF(U410="-","-",ROUND(U410*$T$432,2))</f>
        <v>3527.94</v>
      </c>
      <c r="V434" s="37">
        <f t="shared" si="349"/>
        <v>3645.51</v>
      </c>
      <c r="W434" s="37">
        <f t="shared" si="349"/>
        <v>4115.93</v>
      </c>
      <c r="X434" s="37">
        <f t="shared" si="349"/>
        <v>4468.71</v>
      </c>
      <c r="Y434" s="37">
        <f t="shared" si="349"/>
        <v>4997.8999999999996</v>
      </c>
      <c r="Z434" s="37">
        <f t="shared" si="349"/>
        <v>5321.29</v>
      </c>
      <c r="AC434" s="75">
        <f t="shared" ref="AC434:AC446" si="350">B267</f>
        <v>15</v>
      </c>
      <c r="AD434" s="37">
        <f t="shared" ref="AD434:AI434" si="351">IF(AD386="","",ROUND(AD386*$AC$432,2))</f>
        <v>5023.32</v>
      </c>
      <c r="AE434" s="37">
        <f t="shared" si="351"/>
        <v>5581.46</v>
      </c>
      <c r="AF434" s="37">
        <f t="shared" si="351"/>
        <v>6117.27</v>
      </c>
      <c r="AG434" s="37">
        <f t="shared" si="351"/>
        <v>6615.91</v>
      </c>
      <c r="AH434" s="37">
        <f t="shared" si="351"/>
        <v>7077.31</v>
      </c>
      <c r="AI434" s="37">
        <f t="shared" si="351"/>
        <v>7501.49</v>
      </c>
    </row>
    <row r="435" spans="1:35" ht="11.25" customHeight="1">
      <c r="A435" s="155" t="str">
        <f t="shared" ref="A435:A452" si="352">$A$410</f>
        <v>EG</v>
      </c>
      <c r="B435" s="75">
        <f t="shared" ref="B435:H440" si="353">B411</f>
        <v>15</v>
      </c>
      <c r="C435" s="37">
        <f t="shared" si="353"/>
        <v>4280.05</v>
      </c>
      <c r="D435" s="37">
        <f t="shared" si="353"/>
        <v>4748.72</v>
      </c>
      <c r="E435" s="37">
        <f t="shared" si="353"/>
        <v>4923.2</v>
      </c>
      <c r="F435" s="37">
        <f t="shared" si="353"/>
        <v>5546.38</v>
      </c>
      <c r="G435" s="37">
        <f t="shared" si="353"/>
        <v>6020</v>
      </c>
      <c r="H435" s="37">
        <f t="shared" si="353"/>
        <v>6331.6</v>
      </c>
      <c r="T435" s="135" t="s">
        <v>339</v>
      </c>
      <c r="U435" s="37">
        <f t="shared" ref="U435:Z435" si="354">IF(U411="-","-",ROUND(U411*$T$432,2))</f>
        <v>3177.02</v>
      </c>
      <c r="V435" s="37">
        <f t="shared" si="354"/>
        <v>3498.52</v>
      </c>
      <c r="W435" s="37">
        <f t="shared" si="354"/>
        <v>3880.71</v>
      </c>
      <c r="X435" s="37">
        <f t="shared" si="354"/>
        <v>4115.93</v>
      </c>
      <c r="Y435" s="37">
        <f t="shared" si="354"/>
        <v>4586.29</v>
      </c>
      <c r="Z435" s="37">
        <f t="shared" si="354"/>
        <v>4862.66</v>
      </c>
      <c r="AC435" s="75">
        <f t="shared" si="350"/>
        <v>14</v>
      </c>
      <c r="AD435" s="37">
        <f t="shared" ref="AD435:AI435" si="355">IF(AD387="","",ROUND(AD387*$AC$432,2))</f>
        <v>4688.4399999999996</v>
      </c>
      <c r="AE435" s="37">
        <f t="shared" si="355"/>
        <v>5164.72</v>
      </c>
      <c r="AF435" s="37">
        <f t="shared" si="355"/>
        <v>5626.12</v>
      </c>
      <c r="AG435" s="37">
        <f t="shared" si="355"/>
        <v>6072.65</v>
      </c>
      <c r="AH435" s="37">
        <f t="shared" si="355"/>
        <v>6496.84</v>
      </c>
      <c r="AI435" s="37">
        <f t="shared" si="355"/>
        <v>6883.83</v>
      </c>
    </row>
    <row r="436" spans="1:35" ht="11.25" customHeight="1">
      <c r="A436" s="155" t="str">
        <f t="shared" si="352"/>
        <v>EG</v>
      </c>
      <c r="B436" s="75">
        <f t="shared" si="353"/>
        <v>14</v>
      </c>
      <c r="C436" s="37">
        <f t="shared" si="353"/>
        <v>3876.23</v>
      </c>
      <c r="D436" s="37">
        <f t="shared" si="353"/>
        <v>4299.99</v>
      </c>
      <c r="E436" s="37">
        <f t="shared" si="353"/>
        <v>4549.26</v>
      </c>
      <c r="F436" s="37">
        <f t="shared" si="353"/>
        <v>4923.2</v>
      </c>
      <c r="G436" s="37">
        <f t="shared" si="353"/>
        <v>5496.55</v>
      </c>
      <c r="H436" s="37">
        <f t="shared" si="353"/>
        <v>5808.12</v>
      </c>
      <c r="T436" s="135" t="s">
        <v>340</v>
      </c>
      <c r="U436" s="37" t="str">
        <f t="shared" ref="U436:Z436" si="356">IF(U412="-","-",ROUND(U412*$T$432,2))</f>
        <v>-</v>
      </c>
      <c r="V436" s="37" t="str">
        <f t="shared" si="356"/>
        <v>-</v>
      </c>
      <c r="W436" s="37">
        <f t="shared" si="356"/>
        <v>3816.04</v>
      </c>
      <c r="X436" s="37">
        <f t="shared" si="356"/>
        <v>4233.51</v>
      </c>
      <c r="Y436" s="37">
        <f t="shared" si="356"/>
        <v>4492.24</v>
      </c>
      <c r="Z436" s="37" t="str">
        <f t="shared" si="356"/>
        <v>-</v>
      </c>
      <c r="AC436" s="75">
        <f t="shared" si="350"/>
        <v>13</v>
      </c>
      <c r="AD436" s="37">
        <f t="shared" ref="AD436:AI436" si="357">IF(AD388="","",ROUND(AD388*$AC$432,2))</f>
        <v>4390.7700000000004</v>
      </c>
      <c r="AE436" s="37">
        <f t="shared" si="357"/>
        <v>4837.29</v>
      </c>
      <c r="AF436" s="37">
        <f t="shared" si="357"/>
        <v>5268.9</v>
      </c>
      <c r="AG436" s="37">
        <f t="shared" si="357"/>
        <v>5693.09</v>
      </c>
      <c r="AH436" s="37">
        <f t="shared" si="357"/>
        <v>6020.54</v>
      </c>
      <c r="AI436" s="37">
        <f t="shared" si="357"/>
        <v>6288.47</v>
      </c>
    </row>
    <row r="437" spans="1:35" ht="11.25" customHeight="1">
      <c r="A437" s="155" t="str">
        <f t="shared" si="352"/>
        <v>EG</v>
      </c>
      <c r="B437" s="75">
        <f t="shared" si="353"/>
        <v>13</v>
      </c>
      <c r="C437" s="37">
        <f t="shared" si="353"/>
        <v>3573.37</v>
      </c>
      <c r="D437" s="37">
        <f t="shared" si="353"/>
        <v>3963.48</v>
      </c>
      <c r="E437" s="37">
        <f t="shared" si="353"/>
        <v>4175.38</v>
      </c>
      <c r="F437" s="37">
        <f t="shared" si="353"/>
        <v>4586.6400000000003</v>
      </c>
      <c r="G437" s="37">
        <f t="shared" si="353"/>
        <v>5159.99</v>
      </c>
      <c r="H437" s="37">
        <f t="shared" si="353"/>
        <v>5396.82</v>
      </c>
      <c r="T437" s="135" t="s">
        <v>341</v>
      </c>
      <c r="U437" s="37">
        <f t="shared" ref="U437:Z437" si="358">IF(U413="-","-",ROUND(U413*$T$432,2))</f>
        <v>3097.11</v>
      </c>
      <c r="V437" s="37">
        <f t="shared" si="358"/>
        <v>3422.1</v>
      </c>
      <c r="W437" s="37">
        <f t="shared" si="358"/>
        <v>3680.8</v>
      </c>
      <c r="X437" s="37">
        <f t="shared" si="358"/>
        <v>3998.31</v>
      </c>
      <c r="Y437" s="37">
        <f t="shared" si="358"/>
        <v>4351.1000000000004</v>
      </c>
      <c r="Z437" s="37">
        <f t="shared" si="358"/>
        <v>4562.78</v>
      </c>
      <c r="AC437" s="75">
        <f t="shared" si="350"/>
        <v>12</v>
      </c>
      <c r="AD437" s="37">
        <f t="shared" ref="AD437:AI437" si="359">IF(AD389="","",ROUND(AD389*$AC$432,2))</f>
        <v>4093.07</v>
      </c>
      <c r="AE437" s="37">
        <f t="shared" si="359"/>
        <v>4487.5200000000004</v>
      </c>
      <c r="AF437" s="37">
        <f t="shared" si="359"/>
        <v>4881.92</v>
      </c>
      <c r="AG437" s="37">
        <f t="shared" si="359"/>
        <v>5216.8100000000004</v>
      </c>
      <c r="AH437" s="37">
        <f t="shared" si="359"/>
        <v>5544.27</v>
      </c>
      <c r="AI437" s="37">
        <f t="shared" si="359"/>
        <v>5774.81</v>
      </c>
    </row>
    <row r="438" spans="1:35" ht="11.25" customHeight="1">
      <c r="A438" s="155" t="str">
        <f t="shared" si="352"/>
        <v>EG</v>
      </c>
      <c r="B438" s="75">
        <f t="shared" si="353"/>
        <v>12</v>
      </c>
      <c r="C438" s="37">
        <f t="shared" si="353"/>
        <v>3204.27</v>
      </c>
      <c r="D438" s="37">
        <f t="shared" si="353"/>
        <v>3552.17</v>
      </c>
      <c r="E438" s="37">
        <f t="shared" si="353"/>
        <v>4050.72</v>
      </c>
      <c r="F438" s="37">
        <f t="shared" si="353"/>
        <v>4486.96</v>
      </c>
      <c r="G438" s="37">
        <f t="shared" si="353"/>
        <v>5047.84</v>
      </c>
      <c r="H438" s="37">
        <f t="shared" si="353"/>
        <v>5297.11</v>
      </c>
      <c r="T438" s="135" t="s">
        <v>342</v>
      </c>
      <c r="U438" s="37">
        <f t="shared" ref="U438:Z438" si="360">IF(U414="-","-",ROUND(U414*$T$432,2))</f>
        <v>2982.92</v>
      </c>
      <c r="V438" s="37">
        <f t="shared" si="360"/>
        <v>3292.71</v>
      </c>
      <c r="W438" s="37">
        <f t="shared" si="360"/>
        <v>3527.94</v>
      </c>
      <c r="X438" s="37">
        <f t="shared" si="360"/>
        <v>3798.41</v>
      </c>
      <c r="Y438" s="37">
        <f t="shared" si="360"/>
        <v>4233.51</v>
      </c>
      <c r="Z438" s="37">
        <f t="shared" si="360"/>
        <v>4421.6499999999996</v>
      </c>
      <c r="AC438" s="75">
        <f t="shared" si="350"/>
        <v>11</v>
      </c>
      <c r="AD438" s="37">
        <f t="shared" ref="AD438:AI438" si="361">IF(AD390="","",ROUND(AD390*$AC$432,2))</f>
        <v>3832.59</v>
      </c>
      <c r="AE438" s="37">
        <f t="shared" si="361"/>
        <v>4197.25</v>
      </c>
      <c r="AF438" s="37">
        <f t="shared" si="361"/>
        <v>4517.25</v>
      </c>
      <c r="AG438" s="37">
        <f t="shared" si="361"/>
        <v>4792.66</v>
      </c>
      <c r="AH438" s="37">
        <f t="shared" si="361"/>
        <v>5023.32</v>
      </c>
      <c r="AI438" s="37">
        <f t="shared" si="361"/>
        <v>5216.8100000000004</v>
      </c>
    </row>
    <row r="439" spans="1:35" ht="11.25" customHeight="1">
      <c r="A439" s="155" t="str">
        <f t="shared" si="352"/>
        <v>EG</v>
      </c>
      <c r="B439" s="75">
        <f t="shared" si="353"/>
        <v>11</v>
      </c>
      <c r="C439" s="37">
        <f t="shared" si="353"/>
        <v>3095.36</v>
      </c>
      <c r="D439" s="37">
        <f t="shared" si="353"/>
        <v>3427.56</v>
      </c>
      <c r="E439" s="37">
        <f t="shared" si="353"/>
        <v>3676.82</v>
      </c>
      <c r="F439" s="37">
        <f t="shared" si="353"/>
        <v>4050.72</v>
      </c>
      <c r="G439" s="37">
        <f t="shared" si="353"/>
        <v>4592.8999999999996</v>
      </c>
      <c r="H439" s="37">
        <f t="shared" si="353"/>
        <v>4842.18</v>
      </c>
      <c r="T439" s="135" t="s">
        <v>343</v>
      </c>
      <c r="U439" s="37">
        <f t="shared" ref="U439:Z439" si="362">IF(U415="-","-",ROUND(U415*$T$432,2))</f>
        <v>2979.4</v>
      </c>
      <c r="V439" s="37">
        <f t="shared" si="362"/>
        <v>3258.94</v>
      </c>
      <c r="W439" s="37">
        <f t="shared" si="362"/>
        <v>3520.33</v>
      </c>
      <c r="X439" s="37">
        <f t="shared" si="362"/>
        <v>3786.22</v>
      </c>
      <c r="Y439" s="37">
        <f t="shared" si="362"/>
        <v>4080.23</v>
      </c>
      <c r="Z439" s="37">
        <f t="shared" si="362"/>
        <v>4286.0200000000004</v>
      </c>
      <c r="AC439" s="75">
        <f t="shared" si="350"/>
        <v>10</v>
      </c>
      <c r="AD439" s="37">
        <f t="shared" ref="AD439:AI439" si="363">IF(AD391="","",ROUND(AD391*$AC$432,2))</f>
        <v>3572.14</v>
      </c>
      <c r="AE439" s="37">
        <f t="shared" si="363"/>
        <v>3914.49</v>
      </c>
      <c r="AF439" s="37">
        <f t="shared" si="363"/>
        <v>4249.3500000000004</v>
      </c>
      <c r="AG439" s="37">
        <f t="shared" si="363"/>
        <v>4472.6000000000004</v>
      </c>
      <c r="AH439" s="37">
        <f t="shared" si="363"/>
        <v>4628.8900000000003</v>
      </c>
      <c r="AI439" s="37">
        <f t="shared" si="363"/>
        <v>4740.49</v>
      </c>
    </row>
    <row r="440" spans="1:35" ht="11.25" customHeight="1">
      <c r="A440" s="155" t="str">
        <f t="shared" si="352"/>
        <v>EG</v>
      </c>
      <c r="B440" s="75">
        <f t="shared" si="353"/>
        <v>10</v>
      </c>
      <c r="C440" s="37">
        <f t="shared" si="353"/>
        <v>2986.43</v>
      </c>
      <c r="D440" s="37">
        <f t="shared" si="353"/>
        <v>3302.89</v>
      </c>
      <c r="E440" s="37">
        <f t="shared" si="353"/>
        <v>3552.17</v>
      </c>
      <c r="F440" s="37">
        <f t="shared" si="353"/>
        <v>3801.47</v>
      </c>
      <c r="G440" s="37">
        <f t="shared" si="353"/>
        <v>4275.08</v>
      </c>
      <c r="H440" s="37">
        <f t="shared" si="353"/>
        <v>4387.25</v>
      </c>
      <c r="T440" s="135" t="s">
        <v>344</v>
      </c>
      <c r="U440" s="37">
        <f t="shared" ref="U440:Z440" si="364">IF(U416="-","-",ROUND(U416*$T$432,2))</f>
        <v>2996.79</v>
      </c>
      <c r="V440" s="37">
        <f t="shared" si="364"/>
        <v>3225.12</v>
      </c>
      <c r="W440" s="37">
        <f t="shared" si="364"/>
        <v>3518.67</v>
      </c>
      <c r="X440" s="37">
        <f t="shared" si="364"/>
        <v>3753.86</v>
      </c>
      <c r="Y440" s="37">
        <f t="shared" si="364"/>
        <v>4047.85</v>
      </c>
      <c r="Z440" s="37">
        <f t="shared" si="364"/>
        <v>4194.8500000000004</v>
      </c>
      <c r="AC440" s="75">
        <f t="shared" si="350"/>
        <v>9</v>
      </c>
      <c r="AD440" s="37">
        <f t="shared" ref="AD440:AI440" si="365">IF(AD392="","",ROUND(AD392*$AC$432,2))</f>
        <v>3348.88</v>
      </c>
      <c r="AE440" s="37">
        <f t="shared" si="365"/>
        <v>3646.56</v>
      </c>
      <c r="AF440" s="37">
        <f t="shared" si="365"/>
        <v>3936.82</v>
      </c>
      <c r="AG440" s="37">
        <f t="shared" si="365"/>
        <v>4137.74</v>
      </c>
      <c r="AH440" s="37">
        <f t="shared" si="365"/>
        <v>4212.16</v>
      </c>
      <c r="AI440" s="37">
        <f t="shared" si="365"/>
        <v>4323.79</v>
      </c>
    </row>
    <row r="441" spans="1:35" ht="11.25" customHeight="1">
      <c r="A441" s="155" t="str">
        <f t="shared" si="352"/>
        <v>EG</v>
      </c>
      <c r="B441" s="421" t="s">
        <v>284</v>
      </c>
      <c r="C441" s="37">
        <f t="shared" ref="C441:H441" si="366">K417</f>
        <v>2897.54</v>
      </c>
      <c r="D441" s="37">
        <f t="shared" si="366"/>
        <v>3145.5</v>
      </c>
      <c r="E441" s="37">
        <f t="shared" si="366"/>
        <v>3442.5</v>
      </c>
      <c r="F441" s="37">
        <f t="shared" si="366"/>
        <v>3664.61</v>
      </c>
      <c r="G441" s="37">
        <f t="shared" si="366"/>
        <v>3997.76</v>
      </c>
      <c r="H441" s="37">
        <f t="shared" si="366"/>
        <v>4142.12</v>
      </c>
      <c r="T441" s="135" t="s">
        <v>345</v>
      </c>
      <c r="U441" s="37">
        <f t="shared" ref="U441:Z441" si="367">IF(U417="-","-",ROUND(U417*$T$432,2))</f>
        <v>2948.68</v>
      </c>
      <c r="V441" s="37">
        <f t="shared" si="367"/>
        <v>3177.02</v>
      </c>
      <c r="W441" s="37">
        <f t="shared" si="367"/>
        <v>3469.13</v>
      </c>
      <c r="X441" s="37">
        <f t="shared" si="367"/>
        <v>3704.3</v>
      </c>
      <c r="Y441" s="37">
        <f t="shared" si="367"/>
        <v>3998.31</v>
      </c>
      <c r="Z441" s="37">
        <f t="shared" si="367"/>
        <v>4145.3</v>
      </c>
      <c r="AC441" s="75">
        <f t="shared" si="350"/>
        <v>8</v>
      </c>
      <c r="AD441" s="37">
        <f t="shared" ref="AD441:AI441" si="368">IF(AD393="","",ROUND(AD393*$AC$432,2))</f>
        <v>3125.66</v>
      </c>
      <c r="AE441" s="37">
        <f t="shared" si="368"/>
        <v>3319.11</v>
      </c>
      <c r="AF441" s="37">
        <f t="shared" si="368"/>
        <v>3482.84</v>
      </c>
      <c r="AG441" s="37">
        <f t="shared" si="368"/>
        <v>3639.14</v>
      </c>
      <c r="AH441" s="37">
        <f t="shared" si="368"/>
        <v>3795.42</v>
      </c>
      <c r="AI441" s="37">
        <f t="shared" si="368"/>
        <v>3907.05</v>
      </c>
    </row>
    <row r="442" spans="1:35" ht="11.25" customHeight="1">
      <c r="A442" s="155" t="str">
        <f t="shared" si="352"/>
        <v>EG</v>
      </c>
      <c r="B442" s="75" t="s">
        <v>251</v>
      </c>
      <c r="C442" s="37">
        <f t="shared" ref="C442:H442" si="369">C417</f>
        <v>2648.85</v>
      </c>
      <c r="D442" s="37">
        <f t="shared" si="369"/>
        <v>2925.94</v>
      </c>
      <c r="E442" s="37">
        <f t="shared" si="369"/>
        <v>3071.16</v>
      </c>
      <c r="F442" s="37">
        <f t="shared" si="369"/>
        <v>3464.92</v>
      </c>
      <c r="G442" s="37">
        <f t="shared" si="369"/>
        <v>3776.53</v>
      </c>
      <c r="H442" s="37">
        <f t="shared" si="369"/>
        <v>4025.78</v>
      </c>
      <c r="T442" s="135" t="s">
        <v>346</v>
      </c>
      <c r="U442" s="37">
        <f>IF(U418="-","-",ROUND(U418*$T$432,2))</f>
        <v>2882.6</v>
      </c>
      <c r="V442" s="37">
        <f>IF(V418="-","-",ROUND(V418*$T$432,2))</f>
        <v>3168.03</v>
      </c>
      <c r="W442" s="37">
        <f>IF(W418="-","-",ROUND(W418*$T$432,2))</f>
        <v>3448.1</v>
      </c>
      <c r="X442" s="37">
        <f>IF(X418="-","-",ROUND(X418*$T$432,2))</f>
        <v>3695.05</v>
      </c>
      <c r="Y442" s="37">
        <f>IF(Y418="-","-",ROUND(Y418*$T$432,2))</f>
        <v>4000.81</v>
      </c>
      <c r="Z442" s="463">
        <f>IF(Z418="-","-",Z443+AA442)</f>
        <v>4212.09</v>
      </c>
      <c r="AA442" s="460">
        <f>IF(AI418="-","-",ROUND(AI418*$T$432,2))</f>
        <v>81.92</v>
      </c>
      <c r="AC442" s="75">
        <f t="shared" si="350"/>
        <v>7</v>
      </c>
      <c r="AD442" s="37">
        <f t="shared" ref="AD442:AI442" si="370">IF(AD394="","",ROUND(AD394*$AC$432,2))</f>
        <v>2902.37</v>
      </c>
      <c r="AE442" s="37">
        <f t="shared" si="370"/>
        <v>3080.97</v>
      </c>
      <c r="AF442" s="37">
        <f t="shared" si="370"/>
        <v>3237.25</v>
      </c>
      <c r="AG442" s="37">
        <f t="shared" si="370"/>
        <v>3348.88</v>
      </c>
      <c r="AH442" s="37">
        <f t="shared" si="370"/>
        <v>3423.31</v>
      </c>
      <c r="AI442" s="37">
        <f t="shared" si="370"/>
        <v>3497.73</v>
      </c>
    </row>
    <row r="443" spans="1:35" ht="11.25" customHeight="1">
      <c r="A443" s="155" t="str">
        <f t="shared" si="352"/>
        <v>EG</v>
      </c>
      <c r="B443" s="421" t="s">
        <v>252</v>
      </c>
      <c r="C443" s="37">
        <f t="shared" ref="C443:H443" si="371">K418</f>
        <v>2648.85</v>
      </c>
      <c r="D443" s="37">
        <f t="shared" si="371"/>
        <v>2896.81</v>
      </c>
      <c r="E443" s="37">
        <f t="shared" si="371"/>
        <v>3071.16</v>
      </c>
      <c r="F443" s="37">
        <f t="shared" si="371"/>
        <v>3464.92</v>
      </c>
      <c r="G443" s="37">
        <f t="shared" si="371"/>
        <v>3552.82</v>
      </c>
      <c r="H443" s="37">
        <f t="shared" si="371"/>
        <v>3776.53</v>
      </c>
      <c r="T443" s="135" t="s">
        <v>347</v>
      </c>
      <c r="U443" s="37">
        <f t="shared" ref="U443:Z443" si="372">IF(U419="-","-",ROUND(U419*$T$432,2))</f>
        <v>2882.6</v>
      </c>
      <c r="V443" s="37">
        <f t="shared" si="372"/>
        <v>3168.03</v>
      </c>
      <c r="W443" s="37">
        <f t="shared" si="372"/>
        <v>3448.1</v>
      </c>
      <c r="X443" s="37">
        <f t="shared" si="372"/>
        <v>3695.05</v>
      </c>
      <c r="Y443" s="37">
        <f t="shared" si="372"/>
        <v>4000.81</v>
      </c>
      <c r="Z443" s="37">
        <f t="shared" si="372"/>
        <v>4130.17</v>
      </c>
      <c r="AA443" s="459"/>
      <c r="AC443" s="75">
        <f t="shared" si="350"/>
        <v>6</v>
      </c>
      <c r="AD443" s="37">
        <f t="shared" ref="AD443:AI443" si="373">IF(AD395="","",ROUND(AD395*$AC$432,2))</f>
        <v>2716.3</v>
      </c>
      <c r="AE443" s="37">
        <f t="shared" si="373"/>
        <v>2880.03</v>
      </c>
      <c r="AF443" s="37">
        <f t="shared" si="373"/>
        <v>3028.88</v>
      </c>
      <c r="AG443" s="37">
        <f t="shared" si="373"/>
        <v>3133.06</v>
      </c>
      <c r="AH443" s="37">
        <f t="shared" si="373"/>
        <v>3192.6</v>
      </c>
      <c r="AI443" s="37">
        <f t="shared" si="373"/>
        <v>3244.7</v>
      </c>
    </row>
    <row r="444" spans="1:35" ht="11.25" customHeight="1">
      <c r="A444" s="155" t="str">
        <f t="shared" si="352"/>
        <v>EG</v>
      </c>
      <c r="B444" s="75">
        <f t="shared" ref="B444:H444" si="374">B418</f>
        <v>8</v>
      </c>
      <c r="C444" s="37">
        <f t="shared" si="374"/>
        <v>2485.48</v>
      </c>
      <c r="D444" s="37">
        <f t="shared" si="374"/>
        <v>2744.42</v>
      </c>
      <c r="E444" s="37">
        <f t="shared" si="374"/>
        <v>2865.46</v>
      </c>
      <c r="F444" s="37">
        <f t="shared" si="374"/>
        <v>2974.36</v>
      </c>
      <c r="G444" s="37">
        <f t="shared" si="374"/>
        <v>3095.36</v>
      </c>
      <c r="H444" s="37">
        <f t="shared" si="374"/>
        <v>3171.59</v>
      </c>
      <c r="T444" s="135" t="s">
        <v>348</v>
      </c>
      <c r="U444" s="37">
        <f>IF(U420="-","-",ROUND(U420*$T$432,2))</f>
        <v>2780.47</v>
      </c>
      <c r="V444" s="37">
        <f>IF(V420="-","-",ROUND(V420*$T$432,2))</f>
        <v>3122.97</v>
      </c>
      <c r="W444" s="37">
        <f>IF(W420="-","-",ROUND(W420*$T$432,2))</f>
        <v>3272.34</v>
      </c>
      <c r="X444" s="37">
        <f>IF(X420="-","-",ROUND(X420*$T$432,2))</f>
        <v>3648.65</v>
      </c>
      <c r="Y444" s="37">
        <f>IF(Y420="-","-",ROUND(Y420*$T$432,2))</f>
        <v>3942.65</v>
      </c>
      <c r="Z444" s="463">
        <f>IF(Z420="-","-",Z445+AA444)</f>
        <v>4190.72</v>
      </c>
      <c r="AA444" s="460">
        <f>IF(AI420="-","-",ROUND(AI420*$T$432,2))</f>
        <v>71.680000000000007</v>
      </c>
      <c r="AC444" s="75">
        <f t="shared" si="350"/>
        <v>5</v>
      </c>
      <c r="AD444" s="37">
        <f t="shared" ref="AD444:AI444" si="375">IF(AD396="","",ROUND(AD396*$AC$432,2))</f>
        <v>2530.2800000000002</v>
      </c>
      <c r="AE444" s="37">
        <f t="shared" si="375"/>
        <v>2686.55</v>
      </c>
      <c r="AF444" s="37">
        <f t="shared" si="375"/>
        <v>2820.53</v>
      </c>
      <c r="AG444" s="37">
        <f t="shared" si="375"/>
        <v>2917.25</v>
      </c>
      <c r="AH444" s="37">
        <f t="shared" si="375"/>
        <v>2976.79</v>
      </c>
      <c r="AI444" s="37">
        <f t="shared" si="375"/>
        <v>3073.53</v>
      </c>
    </row>
    <row r="445" spans="1:35" ht="11.25" customHeight="1">
      <c r="A445" s="155" t="str">
        <f t="shared" si="352"/>
        <v>EG</v>
      </c>
      <c r="B445" s="75">
        <f t="shared" ref="B445:H452" si="376">B419</f>
        <v>7</v>
      </c>
      <c r="C445" s="37">
        <f t="shared" si="376"/>
        <v>2333.0300000000002</v>
      </c>
      <c r="D445" s="37">
        <f t="shared" si="376"/>
        <v>2575.02</v>
      </c>
      <c r="E445" s="37">
        <f t="shared" si="376"/>
        <v>2732.33</v>
      </c>
      <c r="F445" s="37">
        <f t="shared" si="376"/>
        <v>2853.36</v>
      </c>
      <c r="G445" s="37">
        <f t="shared" si="376"/>
        <v>2944.1</v>
      </c>
      <c r="H445" s="37">
        <f t="shared" si="376"/>
        <v>3028.81</v>
      </c>
      <c r="T445" s="135" t="s">
        <v>349</v>
      </c>
      <c r="U445" s="37">
        <f t="shared" ref="U445:Z445" si="377">IF(U421="-","-",ROUND(U421*$T$432,2))</f>
        <v>2780.47</v>
      </c>
      <c r="V445" s="37">
        <f t="shared" si="377"/>
        <v>3122.97</v>
      </c>
      <c r="W445" s="37">
        <f t="shared" si="377"/>
        <v>3272.34</v>
      </c>
      <c r="X445" s="37">
        <f t="shared" si="377"/>
        <v>3648.65</v>
      </c>
      <c r="Y445" s="37">
        <f t="shared" si="377"/>
        <v>3942.65</v>
      </c>
      <c r="Z445" s="37">
        <f t="shared" si="377"/>
        <v>4119.04</v>
      </c>
      <c r="AC445" s="75">
        <f t="shared" si="350"/>
        <v>4</v>
      </c>
      <c r="AD445" s="37">
        <f t="shared" ref="AD445:AI445" si="378">IF(AD397="","",ROUND(AD397*$AC$432,2))</f>
        <v>2381.41</v>
      </c>
      <c r="AE445" s="37">
        <f t="shared" si="378"/>
        <v>2530.2800000000002</v>
      </c>
      <c r="AF445" s="37">
        <f t="shared" si="378"/>
        <v>2656.79</v>
      </c>
      <c r="AG445" s="37">
        <f t="shared" si="378"/>
        <v>2746.08</v>
      </c>
      <c r="AH445" s="37">
        <f t="shared" si="378"/>
        <v>2805.63</v>
      </c>
      <c r="AI445" s="37">
        <f t="shared" si="378"/>
        <v>2947.01</v>
      </c>
    </row>
    <row r="446" spans="1:35" ht="11.25" customHeight="1">
      <c r="A446" s="155" t="str">
        <f t="shared" si="352"/>
        <v>EG</v>
      </c>
      <c r="B446" s="75">
        <f t="shared" si="376"/>
        <v>6</v>
      </c>
      <c r="C446" s="37">
        <f t="shared" si="376"/>
        <v>2289.44</v>
      </c>
      <c r="D446" s="37">
        <f t="shared" si="376"/>
        <v>2526.62</v>
      </c>
      <c r="E446" s="37">
        <f t="shared" si="376"/>
        <v>2647.62</v>
      </c>
      <c r="F446" s="37">
        <f t="shared" si="376"/>
        <v>2762.59</v>
      </c>
      <c r="G446" s="37">
        <f t="shared" si="376"/>
        <v>2841.25</v>
      </c>
      <c r="H446" s="37">
        <f t="shared" si="376"/>
        <v>2919.91</v>
      </c>
      <c r="T446" s="135" t="s">
        <v>350</v>
      </c>
      <c r="U446" s="37">
        <f t="shared" ref="U446:Z446" si="379">IF(U422="-","-",ROUND(U422*$T$432,2))</f>
        <v>2720.34</v>
      </c>
      <c r="V446" s="37">
        <f t="shared" si="379"/>
        <v>3062.86</v>
      </c>
      <c r="W446" s="37">
        <f t="shared" si="379"/>
        <v>3211.27</v>
      </c>
      <c r="X446" s="37">
        <f t="shared" si="379"/>
        <v>3586.72</v>
      </c>
      <c r="Y446" s="37">
        <f t="shared" si="379"/>
        <v>3880.71</v>
      </c>
      <c r="Z446" s="37">
        <f t="shared" si="379"/>
        <v>4057.11</v>
      </c>
      <c r="AC446" s="75">
        <f t="shared" si="350"/>
        <v>3</v>
      </c>
      <c r="AD446" s="37">
        <f t="shared" ref="AD446:AI446" si="380">IF(AD398="","",ROUND(AD398*$AC$432,2))</f>
        <v>2232.6</v>
      </c>
      <c r="AE446" s="37">
        <f t="shared" si="380"/>
        <v>2351.67</v>
      </c>
      <c r="AF446" s="37">
        <f t="shared" si="380"/>
        <v>2448.39</v>
      </c>
      <c r="AG446" s="37">
        <f t="shared" si="380"/>
        <v>2530.2800000000002</v>
      </c>
      <c r="AH446" s="37">
        <f t="shared" si="380"/>
        <v>2582.37</v>
      </c>
      <c r="AI446" s="37">
        <f t="shared" si="380"/>
        <v>2693.97</v>
      </c>
    </row>
    <row r="447" spans="1:35" ht="11.25" customHeight="1">
      <c r="A447" s="155" t="str">
        <f t="shared" si="352"/>
        <v>EG</v>
      </c>
      <c r="B447" s="75">
        <f t="shared" si="376"/>
        <v>5</v>
      </c>
      <c r="C447" s="37">
        <f t="shared" si="376"/>
        <v>2197.4699999999998</v>
      </c>
      <c r="D447" s="37">
        <f t="shared" si="376"/>
        <v>2423.7800000000002</v>
      </c>
      <c r="E447" s="37">
        <f t="shared" si="376"/>
        <v>2538.73</v>
      </c>
      <c r="F447" s="37">
        <f t="shared" si="376"/>
        <v>2653.69</v>
      </c>
      <c r="G447" s="37">
        <f t="shared" si="376"/>
        <v>2738.39</v>
      </c>
      <c r="H447" s="37">
        <f t="shared" si="376"/>
        <v>2798.9</v>
      </c>
      <c r="T447" s="135" t="s">
        <v>351</v>
      </c>
      <c r="U447" s="37">
        <f t="shared" ref="U447:Z447" si="381">IF(U423="-","-",ROUND(U423*$T$432,2))</f>
        <v>2651.83</v>
      </c>
      <c r="V447" s="37">
        <f t="shared" si="381"/>
        <v>2925.84</v>
      </c>
      <c r="W447" s="37">
        <f t="shared" si="381"/>
        <v>3062.86</v>
      </c>
      <c r="X447" s="37">
        <f t="shared" si="381"/>
        <v>3469.13</v>
      </c>
      <c r="Y447" s="37">
        <f t="shared" si="381"/>
        <v>3798.41</v>
      </c>
      <c r="Z447" s="37">
        <f t="shared" si="381"/>
        <v>4068.86</v>
      </c>
      <c r="AC447" s="75">
        <f>B281</f>
        <v>2</v>
      </c>
      <c r="AD447" s="37">
        <f t="shared" ref="AD447:AI447" si="382">IF(AD399="","",ROUND(AD399*$AC$432,2))</f>
        <v>2083.73</v>
      </c>
      <c r="AE447" s="37">
        <f t="shared" si="382"/>
        <v>2210.2600000000002</v>
      </c>
      <c r="AF447" s="37">
        <f t="shared" si="382"/>
        <v>2321.9</v>
      </c>
      <c r="AG447" s="37">
        <f t="shared" si="382"/>
        <v>2403.77</v>
      </c>
      <c r="AH447" s="37">
        <f t="shared" si="382"/>
        <v>2455.86</v>
      </c>
      <c r="AI447" s="37">
        <f t="shared" si="382"/>
        <v>2485.61</v>
      </c>
    </row>
    <row r="448" spans="1:35" ht="11.25" customHeight="1">
      <c r="A448" s="155" t="str">
        <f t="shared" si="352"/>
        <v>EG</v>
      </c>
      <c r="B448" s="75">
        <f t="shared" si="376"/>
        <v>4</v>
      </c>
      <c r="C448" s="37">
        <f t="shared" si="376"/>
        <v>2093.4</v>
      </c>
      <c r="D448" s="37">
        <f t="shared" si="376"/>
        <v>2308.81</v>
      </c>
      <c r="E448" s="37">
        <f t="shared" si="376"/>
        <v>2454.02</v>
      </c>
      <c r="F448" s="37">
        <f t="shared" si="376"/>
        <v>2538.73</v>
      </c>
      <c r="G448" s="37">
        <f t="shared" si="376"/>
        <v>2623.44</v>
      </c>
      <c r="H448" s="37">
        <f t="shared" si="376"/>
        <v>2673.03</v>
      </c>
      <c r="T448" s="135" t="s">
        <v>141</v>
      </c>
      <c r="U448" s="37">
        <f t="shared" ref="U448:Z448" si="383">IF(U424="-","-",ROUND(U424*$T$432,2))</f>
        <v>2539.52</v>
      </c>
      <c r="V448" s="37">
        <f t="shared" si="383"/>
        <v>2826.24</v>
      </c>
      <c r="W448" s="37">
        <f t="shared" si="383"/>
        <v>3051.52</v>
      </c>
      <c r="X448" s="37">
        <f t="shared" si="383"/>
        <v>3379.2</v>
      </c>
      <c r="Y448" s="37">
        <f t="shared" si="383"/>
        <v>3686.4</v>
      </c>
      <c r="Z448" s="37">
        <f t="shared" si="383"/>
        <v>3921.92</v>
      </c>
      <c r="AC448" s="75">
        <f>B282</f>
        <v>1</v>
      </c>
      <c r="AD448" s="37" t="str">
        <f t="shared" ref="AD448:AI448" si="384">IF(AD400="","",ROUND(AD400*$AC$432,2))</f>
        <v/>
      </c>
      <c r="AE448" s="37" t="str">
        <f t="shared" si="384"/>
        <v/>
      </c>
      <c r="AF448" s="37">
        <f t="shared" si="384"/>
        <v>1860.49</v>
      </c>
      <c r="AG448" s="37" t="str">
        <f t="shared" si="384"/>
        <v/>
      </c>
      <c r="AH448" s="37" t="str">
        <f t="shared" si="384"/>
        <v/>
      </c>
      <c r="AI448" s="37" t="str">
        <f t="shared" si="384"/>
        <v/>
      </c>
    </row>
    <row r="449" spans="1:35" ht="11.25" customHeight="1">
      <c r="A449" s="155" t="str">
        <f t="shared" si="352"/>
        <v>EG</v>
      </c>
      <c r="B449" s="75">
        <f t="shared" si="376"/>
        <v>3</v>
      </c>
      <c r="C449" s="37">
        <f t="shared" si="376"/>
        <v>2060.7600000000002</v>
      </c>
      <c r="D449" s="37">
        <f t="shared" si="376"/>
        <v>2272.4899999999998</v>
      </c>
      <c r="E449" s="37">
        <f t="shared" si="376"/>
        <v>2333.0300000000002</v>
      </c>
      <c r="F449" s="37">
        <f t="shared" si="376"/>
        <v>2429.8200000000002</v>
      </c>
      <c r="G449" s="37">
        <f t="shared" si="376"/>
        <v>2502.44</v>
      </c>
      <c r="H449" s="37">
        <f t="shared" si="376"/>
        <v>2568.98</v>
      </c>
      <c r="T449" s="135" t="s">
        <v>352</v>
      </c>
      <c r="U449" s="37">
        <f t="shared" ref="U449:Z449" si="385">IF(U425="-","-",ROUND(U425*$T$432,2))</f>
        <v>2539.52</v>
      </c>
      <c r="V449" s="37">
        <f t="shared" si="385"/>
        <v>2826.24</v>
      </c>
      <c r="W449" s="37">
        <f t="shared" si="385"/>
        <v>3051.52</v>
      </c>
      <c r="X449" s="37">
        <f t="shared" si="385"/>
        <v>3379.2</v>
      </c>
      <c r="Y449" s="37">
        <f t="shared" si="385"/>
        <v>3686.4</v>
      </c>
      <c r="Z449" s="37">
        <f t="shared" si="385"/>
        <v>3921.92</v>
      </c>
    </row>
    <row r="450" spans="1:35" ht="11.25" customHeight="1">
      <c r="A450" s="155" t="str">
        <f t="shared" si="352"/>
        <v>EG</v>
      </c>
      <c r="B450" s="75" t="str">
        <f t="shared" si="376"/>
        <v>2Ü</v>
      </c>
      <c r="C450" s="37">
        <f t="shared" si="376"/>
        <v>1973.6</v>
      </c>
      <c r="D450" s="37">
        <f t="shared" si="376"/>
        <v>2175.71</v>
      </c>
      <c r="E450" s="37">
        <f t="shared" si="376"/>
        <v>2248.31</v>
      </c>
      <c r="F450" s="37">
        <f t="shared" si="376"/>
        <v>2345.12</v>
      </c>
      <c r="G450" s="37">
        <f t="shared" si="376"/>
        <v>2411.66</v>
      </c>
      <c r="H450" s="37">
        <f t="shared" si="376"/>
        <v>2461.3000000000002</v>
      </c>
      <c r="T450" s="135" t="s">
        <v>353</v>
      </c>
      <c r="U450" s="37">
        <f t="shared" ref="U450:Z450" si="386">IF(U426="-","-",ROUND(U426*$T$432,2))</f>
        <v>2519.04</v>
      </c>
      <c r="V450" s="37">
        <f t="shared" si="386"/>
        <v>2764.8</v>
      </c>
      <c r="W450" s="37">
        <f t="shared" si="386"/>
        <v>2959.36</v>
      </c>
      <c r="X450" s="37">
        <f t="shared" si="386"/>
        <v>3143.68</v>
      </c>
      <c r="Y450" s="37">
        <f t="shared" si="386"/>
        <v>3322.88</v>
      </c>
      <c r="Z450" s="37">
        <f t="shared" si="386"/>
        <v>3509.76</v>
      </c>
    </row>
    <row r="451" spans="1:35" ht="11.25" customHeight="1">
      <c r="A451" s="155" t="str">
        <f t="shared" si="352"/>
        <v>EG</v>
      </c>
      <c r="B451" s="75">
        <f t="shared" si="376"/>
        <v>2</v>
      </c>
      <c r="C451" s="37">
        <f t="shared" si="376"/>
        <v>1908.26</v>
      </c>
      <c r="D451" s="37">
        <f t="shared" si="376"/>
        <v>2103.09</v>
      </c>
      <c r="E451" s="37">
        <f t="shared" si="376"/>
        <v>2163.6</v>
      </c>
      <c r="F451" s="37">
        <f t="shared" si="376"/>
        <v>2224.12</v>
      </c>
      <c r="G451" s="37">
        <f t="shared" si="376"/>
        <v>2357.19</v>
      </c>
      <c r="H451" s="37">
        <f t="shared" si="376"/>
        <v>2496.38</v>
      </c>
      <c r="T451" s="135" t="s">
        <v>143</v>
      </c>
      <c r="U451" s="37">
        <f t="shared" ref="U451:Z451" si="387">IF(U427="-","-",ROUND(U427*$T$432,2))</f>
        <v>2463.44</v>
      </c>
      <c r="V451" s="37">
        <f t="shared" si="387"/>
        <v>2691.79</v>
      </c>
      <c r="W451" s="37">
        <f t="shared" si="387"/>
        <v>2874.48</v>
      </c>
      <c r="X451" s="37">
        <f t="shared" si="387"/>
        <v>3057.14</v>
      </c>
      <c r="Y451" s="37">
        <f t="shared" si="387"/>
        <v>3194.16</v>
      </c>
      <c r="Z451" s="37">
        <f t="shared" si="387"/>
        <v>3398.57</v>
      </c>
    </row>
    <row r="452" spans="1:35" ht="11.25" customHeight="1">
      <c r="A452" s="155" t="str">
        <f t="shared" si="352"/>
        <v>EG</v>
      </c>
      <c r="B452" s="75">
        <f t="shared" si="376"/>
        <v>1</v>
      </c>
      <c r="C452" s="37" t="str">
        <f t="shared" si="376"/>
        <v>-</v>
      </c>
      <c r="D452" s="37">
        <f t="shared" si="376"/>
        <v>1711.04</v>
      </c>
      <c r="E452" s="37">
        <f t="shared" si="376"/>
        <v>1740.08</v>
      </c>
      <c r="F452" s="37">
        <f t="shared" si="376"/>
        <v>1776.39</v>
      </c>
      <c r="G452" s="37">
        <f t="shared" si="376"/>
        <v>1810.25</v>
      </c>
      <c r="H452" s="37">
        <f t="shared" si="376"/>
        <v>1897.38</v>
      </c>
      <c r="T452" s="135" t="s">
        <v>146</v>
      </c>
      <c r="U452" s="37">
        <f t="shared" ref="U452:Z452" si="388">IF(U428="-","-",ROUND(U428*$T$432,2))</f>
        <v>2315.02</v>
      </c>
      <c r="V452" s="37">
        <f t="shared" si="388"/>
        <v>2571.91</v>
      </c>
      <c r="W452" s="37">
        <f t="shared" si="388"/>
        <v>2731.76</v>
      </c>
      <c r="X452" s="37">
        <f t="shared" si="388"/>
        <v>2840.22</v>
      </c>
      <c r="Y452" s="37">
        <f t="shared" si="388"/>
        <v>2942.98</v>
      </c>
      <c r="Z452" s="37">
        <f t="shared" si="388"/>
        <v>3103.07</v>
      </c>
    </row>
    <row r="453" spans="1:35">
      <c r="T453" s="135" t="s">
        <v>147</v>
      </c>
      <c r="U453" s="37">
        <f t="shared" ref="U453:Z453" si="389">IF(U429="-","-",ROUND(U429*$T$432,2))</f>
        <v>2155.1799999999998</v>
      </c>
      <c r="V453" s="37">
        <f t="shared" si="389"/>
        <v>2420.06</v>
      </c>
      <c r="W453" s="37">
        <f t="shared" si="389"/>
        <v>2573.62</v>
      </c>
      <c r="X453" s="37">
        <f t="shared" si="389"/>
        <v>2714.63</v>
      </c>
      <c r="Y453" s="37">
        <f t="shared" si="389"/>
        <v>2779.14</v>
      </c>
      <c r="Z453" s="37">
        <f t="shared" si="389"/>
        <v>2856.2</v>
      </c>
    </row>
    <row r="454" spans="1:35">
      <c r="T454" s="135" t="s">
        <v>148</v>
      </c>
      <c r="U454" s="37">
        <f t="shared" ref="U454:Z454" si="390">IF(U430="-","-",ROUND(U430*$T$432,2))</f>
        <v>2057.9499999999998</v>
      </c>
      <c r="V454" s="37">
        <f t="shared" si="390"/>
        <v>2166.4299999999998</v>
      </c>
      <c r="W454" s="37">
        <f t="shared" si="390"/>
        <v>2246.34</v>
      </c>
      <c r="X454" s="37">
        <f t="shared" si="390"/>
        <v>2337.6799999999998</v>
      </c>
      <c r="Y454" s="37">
        <f t="shared" si="390"/>
        <v>2429.0100000000002</v>
      </c>
      <c r="Z454" s="37">
        <f t="shared" si="390"/>
        <v>2520.36</v>
      </c>
    </row>
    <row r="456" spans="1:35">
      <c r="B456" s="172" t="s">
        <v>376</v>
      </c>
      <c r="C456" s="247"/>
      <c r="T456" s="172" t="s">
        <v>376</v>
      </c>
      <c r="U456" s="248"/>
      <c r="AC456" s="172" t="s">
        <v>376</v>
      </c>
    </row>
    <row r="457" spans="1:35">
      <c r="A457" s="155" t="s">
        <v>356</v>
      </c>
      <c r="B457" s="75">
        <v>2017</v>
      </c>
      <c r="C457" s="75" t="str">
        <f t="shared" ref="C457:H457" si="391">C361</f>
        <v>Stufe 1</v>
      </c>
      <c r="D457" s="75" t="str">
        <f t="shared" si="391"/>
        <v>Stufe 2</v>
      </c>
      <c r="E457" s="75" t="str">
        <f t="shared" si="391"/>
        <v>Stufe 3</v>
      </c>
      <c r="F457" s="75" t="str">
        <f t="shared" si="391"/>
        <v>Stufe 4</v>
      </c>
      <c r="G457" s="75" t="str">
        <f t="shared" si="391"/>
        <v>Stufe 5</v>
      </c>
      <c r="H457" s="75" t="str">
        <f t="shared" si="391"/>
        <v>Stufe 6</v>
      </c>
      <c r="S457" s="155" t="str">
        <f>A457</f>
        <v>ab Feb 2017</v>
      </c>
      <c r="T457" s="75">
        <v>2017</v>
      </c>
      <c r="U457" s="75" t="str">
        <f t="shared" ref="U457:Z457" si="392">C73</f>
        <v>Stufe 1</v>
      </c>
      <c r="V457" s="75" t="str">
        <f t="shared" si="392"/>
        <v>Stufe 2</v>
      </c>
      <c r="W457" s="75" t="str">
        <f t="shared" si="392"/>
        <v>Stufe 3</v>
      </c>
      <c r="X457" s="75" t="str">
        <f t="shared" si="392"/>
        <v>Stufe 4</v>
      </c>
      <c r="Y457" s="75" t="str">
        <f t="shared" si="392"/>
        <v>Stufe 5</v>
      </c>
      <c r="Z457" s="75" t="str">
        <f t="shared" si="392"/>
        <v>Stufe 6</v>
      </c>
      <c r="AC457" s="75">
        <v>2017</v>
      </c>
      <c r="AD457" s="75" t="str">
        <f t="shared" ref="AD457:AI457" si="393">C289</f>
        <v>Stufe 1</v>
      </c>
      <c r="AE457" s="75" t="str">
        <f t="shared" si="393"/>
        <v>Stufe 2</v>
      </c>
      <c r="AF457" s="75" t="str">
        <f t="shared" si="393"/>
        <v>Stufe 3</v>
      </c>
      <c r="AG457" s="75" t="str">
        <f t="shared" si="393"/>
        <v>Stufe 4</v>
      </c>
      <c r="AH457" s="75" t="str">
        <f t="shared" si="393"/>
        <v>Stufe 5</v>
      </c>
      <c r="AI457" s="75" t="str">
        <f t="shared" si="393"/>
        <v>Stufe 6</v>
      </c>
    </row>
    <row r="458" spans="1:35">
      <c r="A458" s="155" t="str">
        <f>$A$410</f>
        <v>EG</v>
      </c>
      <c r="B458" s="75" t="str">
        <f>B434</f>
        <v>15Ü</v>
      </c>
      <c r="C458" s="37" t="str">
        <f t="shared" ref="C458:H458" si="394">IF(C434="-","-",ROUND(C434*$B$456,2))</f>
        <v>-</v>
      </c>
      <c r="D458" s="37">
        <f t="shared" si="394"/>
        <v>5587.43</v>
      </c>
      <c r="E458" s="37">
        <f t="shared" si="394"/>
        <v>6193.36</v>
      </c>
      <c r="F458" s="37">
        <f t="shared" si="394"/>
        <v>6767.42</v>
      </c>
      <c r="G458" s="37">
        <f t="shared" si="394"/>
        <v>7150.14</v>
      </c>
      <c r="H458" s="37">
        <f t="shared" si="394"/>
        <v>7239.42</v>
      </c>
      <c r="T458" s="135" t="s">
        <v>338</v>
      </c>
      <c r="U458" s="37">
        <f t="shared" ref="U458:Z458" si="395">IF(U434="-","-",ROUND(U434*$T$456,2))</f>
        <v>3610.85</v>
      </c>
      <c r="V458" s="37">
        <f t="shared" si="395"/>
        <v>3731.18</v>
      </c>
      <c r="W458" s="37">
        <f t="shared" si="395"/>
        <v>4212.6499999999996</v>
      </c>
      <c r="X458" s="37">
        <f t="shared" si="395"/>
        <v>4573.72</v>
      </c>
      <c r="Y458" s="37">
        <f t="shared" si="395"/>
        <v>5115.3500000000004</v>
      </c>
      <c r="Z458" s="37">
        <f t="shared" si="395"/>
        <v>5446.34</v>
      </c>
      <c r="AC458" s="75">
        <f t="shared" ref="AC458:AC470" si="396">B291</f>
        <v>15</v>
      </c>
      <c r="AD458" s="37">
        <f t="shared" ref="AD458:AI458" si="397">IF(AD434="","",ROUND(AD434*$AC$456,2))</f>
        <v>5141.37</v>
      </c>
      <c r="AE458" s="37">
        <f t="shared" si="397"/>
        <v>5712.62</v>
      </c>
      <c r="AF458" s="37">
        <f t="shared" si="397"/>
        <v>6261.03</v>
      </c>
      <c r="AG458" s="37">
        <f t="shared" si="397"/>
        <v>6771.38</v>
      </c>
      <c r="AH458" s="37">
        <f t="shared" si="397"/>
        <v>7243.63</v>
      </c>
      <c r="AI458" s="37">
        <f t="shared" si="397"/>
        <v>7677.78</v>
      </c>
    </row>
    <row r="459" spans="1:35">
      <c r="A459" s="155" t="str">
        <f t="shared" ref="A459:A476" si="398">$A$410</f>
        <v>EG</v>
      </c>
      <c r="B459" s="75">
        <f t="shared" ref="B459:B476" si="399">B435</f>
        <v>15</v>
      </c>
      <c r="C459" s="37">
        <f t="shared" ref="C459:H459" si="400">IF(C435="-","-",ROUND(C435*$B$456,2))</f>
        <v>4380.63</v>
      </c>
      <c r="D459" s="37">
        <f t="shared" si="400"/>
        <v>4860.3100000000004</v>
      </c>
      <c r="E459" s="37">
        <f t="shared" si="400"/>
        <v>5038.8999999999996</v>
      </c>
      <c r="F459" s="37">
        <f t="shared" si="400"/>
        <v>5676.72</v>
      </c>
      <c r="G459" s="37">
        <f t="shared" si="400"/>
        <v>6161.47</v>
      </c>
      <c r="H459" s="37">
        <f t="shared" si="400"/>
        <v>6480.39</v>
      </c>
      <c r="T459" s="135" t="s">
        <v>339</v>
      </c>
      <c r="U459" s="37">
        <f t="shared" ref="U459:Z459" si="401">IF(U435="-","-",ROUND(U435*$T$456,2))</f>
        <v>3251.68</v>
      </c>
      <c r="V459" s="37">
        <f t="shared" si="401"/>
        <v>3580.74</v>
      </c>
      <c r="W459" s="37">
        <f t="shared" si="401"/>
        <v>3971.91</v>
      </c>
      <c r="X459" s="37">
        <f t="shared" si="401"/>
        <v>4212.6499999999996</v>
      </c>
      <c r="Y459" s="37">
        <f t="shared" si="401"/>
        <v>4694.07</v>
      </c>
      <c r="Z459" s="37">
        <f t="shared" si="401"/>
        <v>4976.93</v>
      </c>
      <c r="AC459" s="75">
        <f t="shared" si="396"/>
        <v>14</v>
      </c>
      <c r="AD459" s="37">
        <f t="shared" ref="AD459:AI459" si="402">IF(AD435="","",ROUND(AD435*$AC$456,2))</f>
        <v>4798.62</v>
      </c>
      <c r="AE459" s="37">
        <f t="shared" si="402"/>
        <v>5286.09</v>
      </c>
      <c r="AF459" s="37">
        <f t="shared" si="402"/>
        <v>5758.33</v>
      </c>
      <c r="AG459" s="37">
        <f t="shared" si="402"/>
        <v>6215.36</v>
      </c>
      <c r="AH459" s="37">
        <f t="shared" si="402"/>
        <v>6649.52</v>
      </c>
      <c r="AI459" s="37">
        <f t="shared" si="402"/>
        <v>7045.6</v>
      </c>
    </row>
    <row r="460" spans="1:35">
      <c r="A460" s="155" t="str">
        <f t="shared" si="398"/>
        <v>EG</v>
      </c>
      <c r="B460" s="75">
        <f t="shared" si="399"/>
        <v>14</v>
      </c>
      <c r="C460" s="37">
        <f t="shared" ref="C460:H460" si="403">IF(C436="-","-",ROUND(C436*$B$456,2))</f>
        <v>3967.32</v>
      </c>
      <c r="D460" s="37">
        <f t="shared" si="403"/>
        <v>4401.04</v>
      </c>
      <c r="E460" s="37">
        <f t="shared" si="403"/>
        <v>4656.17</v>
      </c>
      <c r="F460" s="37">
        <f t="shared" si="403"/>
        <v>5038.8999999999996</v>
      </c>
      <c r="G460" s="37">
        <f t="shared" si="403"/>
        <v>5625.72</v>
      </c>
      <c r="H460" s="37">
        <f t="shared" si="403"/>
        <v>5944.61</v>
      </c>
      <c r="T460" s="135" t="s">
        <v>340</v>
      </c>
      <c r="U460" s="37" t="str">
        <f t="shared" ref="U460:Z460" si="404">IF(U436="-","-",ROUND(U436*$T$456,2))</f>
        <v>-</v>
      </c>
      <c r="V460" s="37" t="str">
        <f t="shared" si="404"/>
        <v>-</v>
      </c>
      <c r="W460" s="37">
        <f t="shared" si="404"/>
        <v>3905.72</v>
      </c>
      <c r="X460" s="37">
        <f t="shared" si="404"/>
        <v>4333</v>
      </c>
      <c r="Y460" s="37">
        <f t="shared" si="404"/>
        <v>4597.8100000000004</v>
      </c>
      <c r="Z460" s="37" t="str">
        <f t="shared" si="404"/>
        <v>-</v>
      </c>
      <c r="AC460" s="75">
        <f t="shared" si="396"/>
        <v>13</v>
      </c>
      <c r="AD460" s="37">
        <f t="shared" ref="AD460:AI460" si="405">IF(AD436="","",ROUND(AD436*$AC$456,2))</f>
        <v>4493.95</v>
      </c>
      <c r="AE460" s="37">
        <f t="shared" si="405"/>
        <v>4950.97</v>
      </c>
      <c r="AF460" s="37">
        <f t="shared" si="405"/>
        <v>5392.72</v>
      </c>
      <c r="AG460" s="37">
        <f t="shared" si="405"/>
        <v>5826.88</v>
      </c>
      <c r="AH460" s="37">
        <f t="shared" si="405"/>
        <v>6162.02</v>
      </c>
      <c r="AI460" s="37">
        <f t="shared" si="405"/>
        <v>6436.25</v>
      </c>
    </row>
    <row r="461" spans="1:35">
      <c r="A461" s="155" t="str">
        <f t="shared" si="398"/>
        <v>EG</v>
      </c>
      <c r="B461" s="75">
        <f t="shared" si="399"/>
        <v>13</v>
      </c>
      <c r="C461" s="37">
        <f t="shared" ref="C461:H461" si="406">IF(C437="-","-",ROUND(C437*$B$456,2))</f>
        <v>3657.34</v>
      </c>
      <c r="D461" s="37">
        <f t="shared" si="406"/>
        <v>4056.62</v>
      </c>
      <c r="E461" s="37">
        <f t="shared" si="406"/>
        <v>4273.5</v>
      </c>
      <c r="F461" s="37">
        <f t="shared" si="406"/>
        <v>4694.43</v>
      </c>
      <c r="G461" s="37">
        <f t="shared" si="406"/>
        <v>5281.25</v>
      </c>
      <c r="H461" s="37">
        <f t="shared" si="406"/>
        <v>5523.65</v>
      </c>
      <c r="T461" s="135" t="s">
        <v>341</v>
      </c>
      <c r="U461" s="37">
        <f t="shared" ref="U461:Z461" si="407">IF(U437="-","-",ROUND(U437*$T$456,2))</f>
        <v>3169.89</v>
      </c>
      <c r="V461" s="37">
        <f t="shared" si="407"/>
        <v>3502.52</v>
      </c>
      <c r="W461" s="37">
        <f t="shared" si="407"/>
        <v>3767.3</v>
      </c>
      <c r="X461" s="37">
        <f t="shared" si="407"/>
        <v>4092.27</v>
      </c>
      <c r="Y461" s="37">
        <f t="shared" si="407"/>
        <v>4453.3500000000004</v>
      </c>
      <c r="Z461" s="37">
        <f t="shared" si="407"/>
        <v>4670.01</v>
      </c>
      <c r="AC461" s="75">
        <f t="shared" si="396"/>
        <v>12</v>
      </c>
      <c r="AD461" s="37">
        <f t="shared" ref="AD461:AI461" si="408">IF(AD437="","",ROUND(AD437*$AC$456,2))</f>
        <v>4189.26</v>
      </c>
      <c r="AE461" s="37">
        <f t="shared" si="408"/>
        <v>4592.9799999999996</v>
      </c>
      <c r="AF461" s="37">
        <f t="shared" si="408"/>
        <v>4996.6499999999996</v>
      </c>
      <c r="AG461" s="37">
        <f t="shared" si="408"/>
        <v>5339.41</v>
      </c>
      <c r="AH461" s="37">
        <f t="shared" si="408"/>
        <v>5674.56</v>
      </c>
      <c r="AI461" s="37">
        <f t="shared" si="408"/>
        <v>5910.52</v>
      </c>
    </row>
    <row r="462" spans="1:35">
      <c r="A462" s="155" t="str">
        <f t="shared" si="398"/>
        <v>EG</v>
      </c>
      <c r="B462" s="75">
        <f t="shared" si="399"/>
        <v>12</v>
      </c>
      <c r="C462" s="37">
        <f t="shared" ref="C462:H462" si="409">IF(C438="-","-",ROUND(C438*$B$456,2))</f>
        <v>3279.57</v>
      </c>
      <c r="D462" s="37">
        <f t="shared" si="409"/>
        <v>3635.65</v>
      </c>
      <c r="E462" s="37">
        <f t="shared" si="409"/>
        <v>4145.91</v>
      </c>
      <c r="F462" s="37">
        <f t="shared" si="409"/>
        <v>4592.3999999999996</v>
      </c>
      <c r="G462" s="37">
        <f t="shared" si="409"/>
        <v>5166.46</v>
      </c>
      <c r="H462" s="37">
        <f t="shared" si="409"/>
        <v>5421.59</v>
      </c>
      <c r="T462" s="135" t="s">
        <v>342</v>
      </c>
      <c r="U462" s="37">
        <f t="shared" ref="U462:Z462" si="410">IF(U438="-","-",ROUND(U438*$T$456,2))</f>
        <v>3053.02</v>
      </c>
      <c r="V462" s="37">
        <f t="shared" si="410"/>
        <v>3370.09</v>
      </c>
      <c r="W462" s="37">
        <f t="shared" si="410"/>
        <v>3610.85</v>
      </c>
      <c r="X462" s="37">
        <f t="shared" si="410"/>
        <v>3887.67</v>
      </c>
      <c r="Y462" s="37">
        <f t="shared" si="410"/>
        <v>4333</v>
      </c>
      <c r="Z462" s="37">
        <f t="shared" si="410"/>
        <v>4525.5600000000004</v>
      </c>
      <c r="AC462" s="75">
        <f t="shared" si="396"/>
        <v>11</v>
      </c>
      <c r="AD462" s="37">
        <f t="shared" ref="AD462:AI462" si="411">IF(AD438="","",ROUND(AD438*$AC$456,2))</f>
        <v>3922.66</v>
      </c>
      <c r="AE462" s="37">
        <f t="shared" si="411"/>
        <v>4295.8900000000003</v>
      </c>
      <c r="AF462" s="37">
        <f t="shared" si="411"/>
        <v>4623.41</v>
      </c>
      <c r="AG462" s="37">
        <f t="shared" si="411"/>
        <v>4905.29</v>
      </c>
      <c r="AH462" s="37">
        <f t="shared" si="411"/>
        <v>5141.37</v>
      </c>
      <c r="AI462" s="37">
        <f t="shared" si="411"/>
        <v>5339.41</v>
      </c>
    </row>
    <row r="463" spans="1:35">
      <c r="A463" s="155" t="str">
        <f t="shared" si="398"/>
        <v>EG</v>
      </c>
      <c r="B463" s="75">
        <f t="shared" si="399"/>
        <v>11</v>
      </c>
      <c r="C463" s="37">
        <f t="shared" ref="C463:H463" si="412">IF(C439="-","-",ROUND(C439*$B$456,2))</f>
        <v>3168.1</v>
      </c>
      <c r="D463" s="37">
        <f t="shared" si="412"/>
        <v>3508.11</v>
      </c>
      <c r="E463" s="37">
        <f t="shared" si="412"/>
        <v>3763.23</v>
      </c>
      <c r="F463" s="37">
        <f t="shared" si="412"/>
        <v>4145.91</v>
      </c>
      <c r="G463" s="37">
        <f t="shared" si="412"/>
        <v>4700.83</v>
      </c>
      <c r="H463" s="37">
        <f t="shared" si="412"/>
        <v>4955.97</v>
      </c>
      <c r="T463" s="135" t="s">
        <v>343</v>
      </c>
      <c r="U463" s="37">
        <f t="shared" ref="U463:Z463" si="413">IF(U439="-","-",ROUND(U439*$T$456,2))</f>
        <v>3049.42</v>
      </c>
      <c r="V463" s="37">
        <f t="shared" si="413"/>
        <v>3335.53</v>
      </c>
      <c r="W463" s="37">
        <f t="shared" si="413"/>
        <v>3603.06</v>
      </c>
      <c r="X463" s="37">
        <f t="shared" si="413"/>
        <v>3875.2</v>
      </c>
      <c r="Y463" s="37">
        <f t="shared" si="413"/>
        <v>4176.12</v>
      </c>
      <c r="Z463" s="37">
        <f t="shared" si="413"/>
        <v>4386.74</v>
      </c>
      <c r="AC463" s="75">
        <f t="shared" si="396"/>
        <v>10</v>
      </c>
      <c r="AD463" s="37">
        <f t="shared" ref="AD463:AI463" si="414">IF(AD439="","",ROUND(AD439*$AC$456,2))</f>
        <v>3656.09</v>
      </c>
      <c r="AE463" s="37">
        <f t="shared" si="414"/>
        <v>4006.48</v>
      </c>
      <c r="AF463" s="37">
        <f t="shared" si="414"/>
        <v>4349.21</v>
      </c>
      <c r="AG463" s="37">
        <f t="shared" si="414"/>
        <v>4577.71</v>
      </c>
      <c r="AH463" s="37">
        <f t="shared" si="414"/>
        <v>4737.67</v>
      </c>
      <c r="AI463" s="37">
        <f t="shared" si="414"/>
        <v>4851.8900000000003</v>
      </c>
    </row>
    <row r="464" spans="1:35">
      <c r="A464" s="155" t="str">
        <f t="shared" si="398"/>
        <v>EG</v>
      </c>
      <c r="B464" s="75">
        <f t="shared" si="399"/>
        <v>10</v>
      </c>
      <c r="C464" s="37">
        <f t="shared" ref="C464:H464" si="415">IF(C440="-","-",ROUND(C440*$B$456,2))</f>
        <v>3056.61</v>
      </c>
      <c r="D464" s="37">
        <f t="shared" si="415"/>
        <v>3380.51</v>
      </c>
      <c r="E464" s="37">
        <f t="shared" si="415"/>
        <v>3635.65</v>
      </c>
      <c r="F464" s="37">
        <f t="shared" si="415"/>
        <v>3890.8</v>
      </c>
      <c r="G464" s="37">
        <f t="shared" si="415"/>
        <v>4375.54</v>
      </c>
      <c r="H464" s="37">
        <f t="shared" si="415"/>
        <v>4490.3500000000004</v>
      </c>
      <c r="T464" s="135" t="s">
        <v>344</v>
      </c>
      <c r="U464" s="37">
        <f t="shared" ref="U464:Z464" si="416">IF(U440="-","-",ROUND(U440*$T$456,2))</f>
        <v>3067.21</v>
      </c>
      <c r="V464" s="37">
        <f t="shared" si="416"/>
        <v>3300.91</v>
      </c>
      <c r="W464" s="37">
        <f t="shared" si="416"/>
        <v>3601.36</v>
      </c>
      <c r="X464" s="37">
        <f t="shared" si="416"/>
        <v>3842.08</v>
      </c>
      <c r="Y464" s="37">
        <f t="shared" si="416"/>
        <v>4142.97</v>
      </c>
      <c r="Z464" s="37">
        <f t="shared" si="416"/>
        <v>4293.43</v>
      </c>
      <c r="AC464" s="75">
        <f t="shared" si="396"/>
        <v>9</v>
      </c>
      <c r="AD464" s="37">
        <f t="shared" ref="AD464:AI464" si="417">IF(AD440="","",ROUND(AD440*$AC$456,2))</f>
        <v>3427.58</v>
      </c>
      <c r="AE464" s="37">
        <f t="shared" si="417"/>
        <v>3732.25</v>
      </c>
      <c r="AF464" s="37">
        <f t="shared" si="417"/>
        <v>4029.34</v>
      </c>
      <c r="AG464" s="37">
        <f t="shared" si="417"/>
        <v>4234.9799999999996</v>
      </c>
      <c r="AH464" s="37">
        <f t="shared" si="417"/>
        <v>4311.1499999999996</v>
      </c>
      <c r="AI464" s="37">
        <f t="shared" si="417"/>
        <v>4425.3999999999996</v>
      </c>
    </row>
    <row r="465" spans="1:35">
      <c r="A465" s="155" t="str">
        <f t="shared" si="398"/>
        <v>EG</v>
      </c>
      <c r="B465" s="421" t="str">
        <f t="shared" si="399"/>
        <v>9c</v>
      </c>
      <c r="C465" s="37">
        <f t="shared" ref="C465:H465" si="418">IF(C441="-","-",ROUND(C441*$B$456,2))</f>
        <v>2965.63</v>
      </c>
      <c r="D465" s="37">
        <f t="shared" si="418"/>
        <v>3219.42</v>
      </c>
      <c r="E465" s="37">
        <f t="shared" si="418"/>
        <v>3523.4</v>
      </c>
      <c r="F465" s="37">
        <f t="shared" si="418"/>
        <v>3750.73</v>
      </c>
      <c r="G465" s="37">
        <f t="shared" si="418"/>
        <v>4091.71</v>
      </c>
      <c r="H465" s="37">
        <f t="shared" si="418"/>
        <v>4239.46</v>
      </c>
      <c r="T465" s="135" t="s">
        <v>345</v>
      </c>
      <c r="U465" s="37">
        <f t="shared" ref="U465:Z465" si="419">IF(U441="-","-",ROUND(U441*$T$456,2))</f>
        <v>3017.97</v>
      </c>
      <c r="V465" s="37">
        <f t="shared" si="419"/>
        <v>3251.68</v>
      </c>
      <c r="W465" s="37">
        <f t="shared" si="419"/>
        <v>3550.65</v>
      </c>
      <c r="X465" s="37">
        <f t="shared" si="419"/>
        <v>3791.35</v>
      </c>
      <c r="Y465" s="37">
        <f t="shared" si="419"/>
        <v>4092.27</v>
      </c>
      <c r="Z465" s="37">
        <f t="shared" si="419"/>
        <v>4242.71</v>
      </c>
      <c r="AC465" s="75">
        <f t="shared" si="396"/>
        <v>8</v>
      </c>
      <c r="AD465" s="37">
        <f t="shared" ref="AD465:AI465" si="420">IF(AD441="","",ROUND(AD441*$AC$456,2))</f>
        <v>3199.11</v>
      </c>
      <c r="AE465" s="37">
        <f t="shared" si="420"/>
        <v>3397.11</v>
      </c>
      <c r="AF465" s="37">
        <f t="shared" si="420"/>
        <v>3564.69</v>
      </c>
      <c r="AG465" s="37">
        <f t="shared" si="420"/>
        <v>3724.66</v>
      </c>
      <c r="AH465" s="37">
        <f t="shared" si="420"/>
        <v>3884.61</v>
      </c>
      <c r="AI465" s="37">
        <f t="shared" si="420"/>
        <v>3998.87</v>
      </c>
    </row>
    <row r="466" spans="1:35">
      <c r="A466" s="155" t="str">
        <f t="shared" si="398"/>
        <v>EG</v>
      </c>
      <c r="B466" s="75" t="str">
        <f t="shared" si="399"/>
        <v>9b</v>
      </c>
      <c r="C466" s="37">
        <f t="shared" ref="C466:H466" si="421">IF(C442="-","-",ROUND(C442*$B$456,2))</f>
        <v>2711.1</v>
      </c>
      <c r="D466" s="37">
        <f t="shared" si="421"/>
        <v>2994.7</v>
      </c>
      <c r="E466" s="37">
        <f t="shared" si="421"/>
        <v>3143.33</v>
      </c>
      <c r="F466" s="37">
        <f t="shared" si="421"/>
        <v>3546.35</v>
      </c>
      <c r="G466" s="37">
        <f t="shared" si="421"/>
        <v>3865.28</v>
      </c>
      <c r="H466" s="37">
        <f t="shared" si="421"/>
        <v>4120.3900000000003</v>
      </c>
      <c r="T466" s="135" t="s">
        <v>346</v>
      </c>
      <c r="U466" s="37">
        <f>IF(U442="-","-",ROUND(U442*$T$456,2))</f>
        <v>2950.34</v>
      </c>
      <c r="V466" s="37">
        <f>IF(V442="-","-",ROUND(V442*$T$456,2))</f>
        <v>3242.48</v>
      </c>
      <c r="W466" s="37">
        <f>IF(W442="-","-",ROUND(W442*$T$456,2))</f>
        <v>3529.13</v>
      </c>
      <c r="X466" s="37">
        <f>IF(X442="-","-",ROUND(X442*$T$456,2))</f>
        <v>3781.88</v>
      </c>
      <c r="Y466" s="37">
        <f>IF(Y442="-","-",ROUND(Y442*$T$456,2))</f>
        <v>4094.83</v>
      </c>
      <c r="Z466" s="463">
        <f>IF(Z442="-","-",Z467+AA466)</f>
        <v>4311.08</v>
      </c>
      <c r="AA466" s="460">
        <f>IF(AA442="-","-",ROUND(AA442*$T$456,2))</f>
        <v>83.85</v>
      </c>
      <c r="AC466" s="75">
        <f t="shared" si="396"/>
        <v>7</v>
      </c>
      <c r="AD466" s="37">
        <f t="shared" ref="AD466:AI466" si="422">IF(AD442="","",ROUND(AD442*$AC$456,2))</f>
        <v>2970.58</v>
      </c>
      <c r="AE466" s="37">
        <f t="shared" si="422"/>
        <v>3153.37</v>
      </c>
      <c r="AF466" s="37">
        <f t="shared" si="422"/>
        <v>3313.33</v>
      </c>
      <c r="AG466" s="37">
        <f t="shared" si="422"/>
        <v>3427.58</v>
      </c>
      <c r="AH466" s="37">
        <f t="shared" si="422"/>
        <v>3503.76</v>
      </c>
      <c r="AI466" s="37">
        <f t="shared" si="422"/>
        <v>3579.93</v>
      </c>
    </row>
    <row r="467" spans="1:35">
      <c r="A467" s="155" t="str">
        <f t="shared" si="398"/>
        <v>EG</v>
      </c>
      <c r="B467" s="421" t="str">
        <f t="shared" si="399"/>
        <v>9a</v>
      </c>
      <c r="C467" s="37">
        <f t="shared" ref="C467:H467" si="423">IF(C443="-","-",ROUND(C443*$B$456,2))</f>
        <v>2711.1</v>
      </c>
      <c r="D467" s="37">
        <f t="shared" si="423"/>
        <v>2964.89</v>
      </c>
      <c r="E467" s="37">
        <f t="shared" si="423"/>
        <v>3143.33</v>
      </c>
      <c r="F467" s="37">
        <f t="shared" si="423"/>
        <v>3546.35</v>
      </c>
      <c r="G467" s="37">
        <f t="shared" si="423"/>
        <v>3636.31</v>
      </c>
      <c r="H467" s="37">
        <f t="shared" si="423"/>
        <v>3865.28</v>
      </c>
      <c r="T467" s="135" t="s">
        <v>347</v>
      </c>
      <c r="U467" s="37">
        <f t="shared" ref="U467:Z467" si="424">IF(U443="-","-",ROUND(U443*$T$456,2))</f>
        <v>2950.34</v>
      </c>
      <c r="V467" s="37">
        <f t="shared" si="424"/>
        <v>3242.48</v>
      </c>
      <c r="W467" s="37">
        <f t="shared" si="424"/>
        <v>3529.13</v>
      </c>
      <c r="X467" s="37">
        <f t="shared" si="424"/>
        <v>3781.88</v>
      </c>
      <c r="Y467" s="37">
        <f t="shared" si="424"/>
        <v>4094.83</v>
      </c>
      <c r="Z467" s="37">
        <f t="shared" si="424"/>
        <v>4227.2299999999996</v>
      </c>
      <c r="AA467" s="459"/>
      <c r="AC467" s="75">
        <f t="shared" si="396"/>
        <v>6</v>
      </c>
      <c r="AD467" s="37">
        <f t="shared" ref="AD467:AI467" si="425">IF(AD443="","",ROUND(AD443*$AC$456,2))</f>
        <v>2780.13</v>
      </c>
      <c r="AE467" s="37">
        <f t="shared" si="425"/>
        <v>2947.71</v>
      </c>
      <c r="AF467" s="37">
        <f t="shared" si="425"/>
        <v>3100.06</v>
      </c>
      <c r="AG467" s="37">
        <f t="shared" si="425"/>
        <v>3206.69</v>
      </c>
      <c r="AH467" s="37">
        <f t="shared" si="425"/>
        <v>3267.63</v>
      </c>
      <c r="AI467" s="37">
        <f t="shared" si="425"/>
        <v>3320.95</v>
      </c>
    </row>
    <row r="468" spans="1:35">
      <c r="A468" s="155" t="str">
        <f t="shared" si="398"/>
        <v>EG</v>
      </c>
      <c r="B468" s="75">
        <f t="shared" si="399"/>
        <v>8</v>
      </c>
      <c r="C468" s="37">
        <f t="shared" ref="C468:H468" si="426">IF(C444="-","-",ROUND(C444*$B$456,2))</f>
        <v>2543.89</v>
      </c>
      <c r="D468" s="37">
        <f t="shared" si="426"/>
        <v>2808.91</v>
      </c>
      <c r="E468" s="37">
        <f t="shared" si="426"/>
        <v>2932.8</v>
      </c>
      <c r="F468" s="37">
        <f t="shared" si="426"/>
        <v>3044.26</v>
      </c>
      <c r="G468" s="37">
        <f t="shared" si="426"/>
        <v>3168.1</v>
      </c>
      <c r="H468" s="37">
        <f t="shared" si="426"/>
        <v>3246.12</v>
      </c>
      <c r="T468" s="135" t="s">
        <v>348</v>
      </c>
      <c r="U468" s="37">
        <f t="shared" ref="U468:AA468" si="427">IF(U444="-","-",ROUND(U444*$T$456,2))</f>
        <v>2845.81</v>
      </c>
      <c r="V468" s="37">
        <f t="shared" si="427"/>
        <v>3196.36</v>
      </c>
      <c r="W468" s="37">
        <f t="shared" si="427"/>
        <v>3349.24</v>
      </c>
      <c r="X468" s="37">
        <f t="shared" si="427"/>
        <v>3734.39</v>
      </c>
      <c r="Y468" s="37">
        <f t="shared" si="427"/>
        <v>4035.3</v>
      </c>
      <c r="Z468" s="463">
        <f>IF(Z444="-","-",Z469+AA468)</f>
        <v>4289.2</v>
      </c>
      <c r="AA468" s="460">
        <f t="shared" si="427"/>
        <v>73.36</v>
      </c>
      <c r="AC468" s="75">
        <f t="shared" si="396"/>
        <v>5</v>
      </c>
      <c r="AD468" s="37">
        <f t="shared" ref="AD468:AI468" si="428">IF(AD444="","",ROUND(AD444*$AC$456,2))</f>
        <v>2589.7399999999998</v>
      </c>
      <c r="AE468" s="37">
        <f t="shared" si="428"/>
        <v>2749.68</v>
      </c>
      <c r="AF468" s="37">
        <f t="shared" si="428"/>
        <v>2886.81</v>
      </c>
      <c r="AG468" s="37">
        <f t="shared" si="428"/>
        <v>2985.81</v>
      </c>
      <c r="AH468" s="37">
        <f t="shared" si="428"/>
        <v>3046.74</v>
      </c>
      <c r="AI468" s="37">
        <f t="shared" si="428"/>
        <v>3145.76</v>
      </c>
    </row>
    <row r="469" spans="1:35">
      <c r="A469" s="155" t="str">
        <f t="shared" si="398"/>
        <v>EG</v>
      </c>
      <c r="B469" s="75">
        <f t="shared" si="399"/>
        <v>7</v>
      </c>
      <c r="C469" s="37">
        <f t="shared" ref="C469:H469" si="429">IF(C445="-","-",ROUND(C445*$B$456,2))</f>
        <v>2387.86</v>
      </c>
      <c r="D469" s="37">
        <f t="shared" si="429"/>
        <v>2635.53</v>
      </c>
      <c r="E469" s="37">
        <f t="shared" si="429"/>
        <v>2796.54</v>
      </c>
      <c r="F469" s="37">
        <f t="shared" si="429"/>
        <v>2920.41</v>
      </c>
      <c r="G469" s="37">
        <f t="shared" si="429"/>
        <v>3013.29</v>
      </c>
      <c r="H469" s="37">
        <f t="shared" si="429"/>
        <v>3099.99</v>
      </c>
      <c r="T469" s="135" t="s">
        <v>349</v>
      </c>
      <c r="U469" s="37">
        <f t="shared" ref="U469:Z469" si="430">IF(U445="-","-",ROUND(U445*$T$456,2))</f>
        <v>2845.81</v>
      </c>
      <c r="V469" s="37">
        <f t="shared" si="430"/>
        <v>3196.36</v>
      </c>
      <c r="W469" s="37">
        <f t="shared" si="430"/>
        <v>3349.24</v>
      </c>
      <c r="X469" s="37">
        <f t="shared" si="430"/>
        <v>3734.39</v>
      </c>
      <c r="Y469" s="37">
        <f t="shared" si="430"/>
        <v>4035.3</v>
      </c>
      <c r="Z469" s="37">
        <f t="shared" si="430"/>
        <v>4215.84</v>
      </c>
      <c r="AC469" s="75">
        <f t="shared" si="396"/>
        <v>4</v>
      </c>
      <c r="AD469" s="37">
        <f t="shared" ref="AD469:AI469" si="431">IF(AD445="","",ROUND(AD445*$AC$456,2))</f>
        <v>2437.37</v>
      </c>
      <c r="AE469" s="37">
        <f t="shared" si="431"/>
        <v>2589.7399999999998</v>
      </c>
      <c r="AF469" s="37">
        <f t="shared" si="431"/>
        <v>2719.22</v>
      </c>
      <c r="AG469" s="37">
        <f t="shared" si="431"/>
        <v>2810.61</v>
      </c>
      <c r="AH469" s="37">
        <f t="shared" si="431"/>
        <v>2871.56</v>
      </c>
      <c r="AI469" s="37">
        <f t="shared" si="431"/>
        <v>3016.26</v>
      </c>
    </row>
    <row r="470" spans="1:35">
      <c r="A470" s="155" t="str">
        <f t="shared" si="398"/>
        <v>EG</v>
      </c>
      <c r="B470" s="75">
        <f t="shared" si="399"/>
        <v>6</v>
      </c>
      <c r="C470" s="37">
        <f t="shared" ref="C470:H470" si="432">IF(C446="-","-",ROUND(C446*$B$456,2))</f>
        <v>2343.2399999999998</v>
      </c>
      <c r="D470" s="37">
        <f t="shared" si="432"/>
        <v>2586</v>
      </c>
      <c r="E470" s="37">
        <f t="shared" si="432"/>
        <v>2709.84</v>
      </c>
      <c r="F470" s="37">
        <f t="shared" si="432"/>
        <v>2827.51</v>
      </c>
      <c r="G470" s="37">
        <f t="shared" si="432"/>
        <v>2908.02</v>
      </c>
      <c r="H470" s="37">
        <f t="shared" si="432"/>
        <v>2988.53</v>
      </c>
      <c r="T470" s="135" t="s">
        <v>350</v>
      </c>
      <c r="U470" s="37">
        <f t="shared" ref="U470:Z470" si="433">IF(U446="-","-",ROUND(U446*$T$456,2))</f>
        <v>2784.27</v>
      </c>
      <c r="V470" s="37">
        <f t="shared" si="433"/>
        <v>3134.84</v>
      </c>
      <c r="W470" s="37">
        <f t="shared" si="433"/>
        <v>3286.73</v>
      </c>
      <c r="X470" s="37">
        <f t="shared" si="433"/>
        <v>3671.01</v>
      </c>
      <c r="Y470" s="37">
        <f t="shared" si="433"/>
        <v>3971.91</v>
      </c>
      <c r="Z470" s="37">
        <f t="shared" si="433"/>
        <v>4152.45</v>
      </c>
      <c r="AC470" s="75">
        <f t="shared" si="396"/>
        <v>3</v>
      </c>
      <c r="AD470" s="37">
        <f t="shared" ref="AD470:AI470" si="434">IF(AD446="","",ROUND(AD446*$AC$456,2))</f>
        <v>2285.0700000000002</v>
      </c>
      <c r="AE470" s="37">
        <f t="shared" si="434"/>
        <v>2406.9299999999998</v>
      </c>
      <c r="AF470" s="37">
        <f t="shared" si="434"/>
        <v>2505.9299999999998</v>
      </c>
      <c r="AG470" s="37">
        <f t="shared" si="434"/>
        <v>2589.7399999999998</v>
      </c>
      <c r="AH470" s="37">
        <f t="shared" si="434"/>
        <v>2643.06</v>
      </c>
      <c r="AI470" s="37">
        <f t="shared" si="434"/>
        <v>2757.28</v>
      </c>
    </row>
    <row r="471" spans="1:35">
      <c r="A471" s="155" t="str">
        <f t="shared" si="398"/>
        <v>EG</v>
      </c>
      <c r="B471" s="75">
        <f t="shared" si="399"/>
        <v>5</v>
      </c>
      <c r="C471" s="37">
        <f t="shared" ref="C471:H471" si="435">IF(C447="-","-",ROUND(C447*$B$456,2))</f>
        <v>2249.11</v>
      </c>
      <c r="D471" s="37">
        <f t="shared" si="435"/>
        <v>2480.7399999999998</v>
      </c>
      <c r="E471" s="37">
        <f t="shared" si="435"/>
        <v>2598.39</v>
      </c>
      <c r="F471" s="37">
        <f t="shared" si="435"/>
        <v>2716.05</v>
      </c>
      <c r="G471" s="37">
        <f t="shared" si="435"/>
        <v>2802.74</v>
      </c>
      <c r="H471" s="37">
        <f t="shared" si="435"/>
        <v>2864.67</v>
      </c>
      <c r="T471" s="135" t="s">
        <v>351</v>
      </c>
      <c r="U471" s="37">
        <f t="shared" ref="U471:Z471" si="436">IF(U447="-","-",ROUND(U447*$T$456,2))</f>
        <v>2714.15</v>
      </c>
      <c r="V471" s="37">
        <f t="shared" si="436"/>
        <v>2994.6</v>
      </c>
      <c r="W471" s="37">
        <f t="shared" si="436"/>
        <v>3134.84</v>
      </c>
      <c r="X471" s="37">
        <f t="shared" si="436"/>
        <v>3550.65</v>
      </c>
      <c r="Y471" s="37">
        <f t="shared" si="436"/>
        <v>3887.67</v>
      </c>
      <c r="Z471" s="37">
        <f t="shared" si="436"/>
        <v>4164.4799999999996</v>
      </c>
      <c r="AC471" s="75">
        <f>B305</f>
        <v>2</v>
      </c>
      <c r="AD471" s="37">
        <f t="shared" ref="AD471:AI471" si="437">IF(AD447="","",ROUND(AD447*$AC$456,2))</f>
        <v>2132.6999999999998</v>
      </c>
      <c r="AE471" s="37">
        <f t="shared" si="437"/>
        <v>2262.1999999999998</v>
      </c>
      <c r="AF471" s="37">
        <f t="shared" si="437"/>
        <v>2376.46</v>
      </c>
      <c r="AG471" s="37">
        <f t="shared" si="437"/>
        <v>2460.2600000000002</v>
      </c>
      <c r="AH471" s="37">
        <f t="shared" si="437"/>
        <v>2513.5700000000002</v>
      </c>
      <c r="AI471" s="37">
        <f t="shared" si="437"/>
        <v>2544.02</v>
      </c>
    </row>
    <row r="472" spans="1:35">
      <c r="A472" s="155" t="str">
        <f t="shared" si="398"/>
        <v>EG</v>
      </c>
      <c r="B472" s="75">
        <f t="shared" si="399"/>
        <v>4</v>
      </c>
      <c r="C472" s="37">
        <f t="shared" ref="C472:H472" si="438">IF(C448="-","-",ROUND(C448*$B$456,2))</f>
        <v>2142.59</v>
      </c>
      <c r="D472" s="37">
        <f t="shared" si="438"/>
        <v>2363.0700000000002</v>
      </c>
      <c r="E472" s="37">
        <f t="shared" si="438"/>
        <v>2511.69</v>
      </c>
      <c r="F472" s="37">
        <f t="shared" si="438"/>
        <v>2598.39</v>
      </c>
      <c r="G472" s="37">
        <f t="shared" si="438"/>
        <v>2685.09</v>
      </c>
      <c r="H472" s="37">
        <f t="shared" si="438"/>
        <v>2735.85</v>
      </c>
      <c r="T472" s="135" t="s">
        <v>141</v>
      </c>
      <c r="U472" s="37">
        <f t="shared" ref="U472:Z472" si="439">IF(U448="-","-",ROUND(U448*$T$456,2))</f>
        <v>2599.1999999999998</v>
      </c>
      <c r="V472" s="37">
        <f t="shared" si="439"/>
        <v>2892.66</v>
      </c>
      <c r="W472" s="37">
        <f t="shared" si="439"/>
        <v>3123.23</v>
      </c>
      <c r="X472" s="37">
        <f t="shared" si="439"/>
        <v>3458.61</v>
      </c>
      <c r="Y472" s="37">
        <f t="shared" si="439"/>
        <v>3773.03</v>
      </c>
      <c r="Z472" s="37">
        <f t="shared" si="439"/>
        <v>4014.09</v>
      </c>
      <c r="AC472" s="75">
        <f>B306</f>
        <v>1</v>
      </c>
      <c r="AD472" s="37" t="str">
        <f t="shared" ref="AD472:AI472" si="440">IF(AD448="","",ROUND(AD448*$AC$456,2))</f>
        <v/>
      </c>
      <c r="AE472" s="37" t="str">
        <f t="shared" si="440"/>
        <v/>
      </c>
      <c r="AF472" s="37">
        <f t="shared" si="440"/>
        <v>1904.21</v>
      </c>
      <c r="AG472" s="37" t="str">
        <f t="shared" si="440"/>
        <v/>
      </c>
      <c r="AH472" s="37" t="str">
        <f t="shared" si="440"/>
        <v/>
      </c>
      <c r="AI472" s="37" t="str">
        <f t="shared" si="440"/>
        <v/>
      </c>
    </row>
    <row r="473" spans="1:35">
      <c r="A473" s="155" t="str">
        <f t="shared" si="398"/>
        <v>EG</v>
      </c>
      <c r="B473" s="75">
        <f t="shared" si="399"/>
        <v>3</v>
      </c>
      <c r="C473" s="37">
        <f t="shared" ref="C473:H473" si="441">IF(C449="-","-",ROUND(C449*$B$456,2))</f>
        <v>2109.19</v>
      </c>
      <c r="D473" s="37">
        <f t="shared" si="441"/>
        <v>2325.89</v>
      </c>
      <c r="E473" s="37">
        <f t="shared" si="441"/>
        <v>2387.86</v>
      </c>
      <c r="F473" s="37">
        <f t="shared" si="441"/>
        <v>2486.92</v>
      </c>
      <c r="G473" s="37">
        <f t="shared" si="441"/>
        <v>2561.25</v>
      </c>
      <c r="H473" s="37">
        <f t="shared" si="441"/>
        <v>2629.35</v>
      </c>
      <c r="T473" s="135" t="s">
        <v>352</v>
      </c>
      <c r="U473" s="37">
        <f t="shared" ref="U473:Z473" si="442">IF(U449="-","-",ROUND(U449*$T$456,2))</f>
        <v>2599.1999999999998</v>
      </c>
      <c r="V473" s="37">
        <f t="shared" si="442"/>
        <v>2892.66</v>
      </c>
      <c r="W473" s="37">
        <f t="shared" si="442"/>
        <v>3123.23</v>
      </c>
      <c r="X473" s="37">
        <f t="shared" si="442"/>
        <v>3458.61</v>
      </c>
      <c r="Y473" s="37">
        <f t="shared" si="442"/>
        <v>3773.03</v>
      </c>
      <c r="Z473" s="37">
        <f t="shared" si="442"/>
        <v>4014.09</v>
      </c>
    </row>
    <row r="474" spans="1:35">
      <c r="A474" s="155" t="str">
        <f t="shared" si="398"/>
        <v>EG</v>
      </c>
      <c r="B474" s="75" t="str">
        <f t="shared" si="399"/>
        <v>2Ü</v>
      </c>
      <c r="C474" s="37">
        <f t="shared" ref="C474:H474" si="443">IF(C450="-","-",ROUND(C450*$B$456,2))</f>
        <v>2019.98</v>
      </c>
      <c r="D474" s="37">
        <f t="shared" si="443"/>
        <v>2226.84</v>
      </c>
      <c r="E474" s="37">
        <f t="shared" si="443"/>
        <v>2301.15</v>
      </c>
      <c r="F474" s="37">
        <f t="shared" si="443"/>
        <v>2400.23</v>
      </c>
      <c r="G474" s="37">
        <f t="shared" si="443"/>
        <v>2468.33</v>
      </c>
      <c r="H474" s="37">
        <f t="shared" si="443"/>
        <v>2519.14</v>
      </c>
      <c r="T474" s="135" t="s">
        <v>353</v>
      </c>
      <c r="U474" s="37">
        <f t="shared" ref="U474:Z474" si="444">IF(U450="-","-",ROUND(U450*$T$456,2))</f>
        <v>2578.2399999999998</v>
      </c>
      <c r="V474" s="37">
        <f t="shared" si="444"/>
        <v>2829.77</v>
      </c>
      <c r="W474" s="37">
        <f t="shared" si="444"/>
        <v>3028.9</v>
      </c>
      <c r="X474" s="37">
        <f t="shared" si="444"/>
        <v>3217.56</v>
      </c>
      <c r="Y474" s="37">
        <f t="shared" si="444"/>
        <v>3400.97</v>
      </c>
      <c r="Z474" s="37">
        <f t="shared" si="444"/>
        <v>3592.24</v>
      </c>
    </row>
    <row r="475" spans="1:35">
      <c r="A475" s="155" t="str">
        <f t="shared" si="398"/>
        <v>EG</v>
      </c>
      <c r="B475" s="75">
        <f t="shared" si="399"/>
        <v>2</v>
      </c>
      <c r="C475" s="37">
        <f t="shared" ref="C475:H475" si="445">IF(C451="-","-",ROUND(C451*$B$456,2))</f>
        <v>1953.1</v>
      </c>
      <c r="D475" s="37">
        <f t="shared" si="445"/>
        <v>2152.5100000000002</v>
      </c>
      <c r="E475" s="37">
        <f t="shared" si="445"/>
        <v>2214.44</v>
      </c>
      <c r="F475" s="37">
        <f t="shared" si="445"/>
        <v>2276.39</v>
      </c>
      <c r="G475" s="37">
        <f t="shared" si="445"/>
        <v>2412.58</v>
      </c>
      <c r="H475" s="37">
        <f t="shared" si="445"/>
        <v>2555.04</v>
      </c>
      <c r="T475" s="135" t="s">
        <v>143</v>
      </c>
      <c r="U475" s="37">
        <f t="shared" ref="U475:Z475" si="446">IF(U451="-","-",ROUND(U451*$T$456,2))</f>
        <v>2521.33</v>
      </c>
      <c r="V475" s="37">
        <f t="shared" si="446"/>
        <v>2755.05</v>
      </c>
      <c r="W475" s="37">
        <f t="shared" si="446"/>
        <v>2942.03</v>
      </c>
      <c r="X475" s="37">
        <f t="shared" si="446"/>
        <v>3128.98</v>
      </c>
      <c r="Y475" s="37">
        <f t="shared" si="446"/>
        <v>3269.22</v>
      </c>
      <c r="Z475" s="37">
        <f t="shared" si="446"/>
        <v>3478.44</v>
      </c>
    </row>
    <row r="476" spans="1:35">
      <c r="A476" s="155" t="str">
        <f t="shared" si="398"/>
        <v>EG</v>
      </c>
      <c r="B476" s="75">
        <f t="shared" si="399"/>
        <v>1</v>
      </c>
      <c r="C476" s="37" t="str">
        <f t="shared" ref="C476:H476" si="447">IF(C452="-","-",ROUND(C452*$B$456,2))</f>
        <v>-</v>
      </c>
      <c r="D476" s="37">
        <f t="shared" si="447"/>
        <v>1751.25</v>
      </c>
      <c r="E476" s="37">
        <f t="shared" si="447"/>
        <v>1780.97</v>
      </c>
      <c r="F476" s="37">
        <f t="shared" si="447"/>
        <v>1818.14</v>
      </c>
      <c r="G476" s="37">
        <f t="shared" si="447"/>
        <v>1852.79</v>
      </c>
      <c r="H476" s="37">
        <f t="shared" si="447"/>
        <v>1941.97</v>
      </c>
      <c r="T476" s="135" t="s">
        <v>146</v>
      </c>
      <c r="U476" s="37">
        <f t="shared" ref="U476:Z476" si="448">IF(U452="-","-",ROUND(U452*$T$456,2))</f>
        <v>2369.42</v>
      </c>
      <c r="V476" s="37">
        <f t="shared" si="448"/>
        <v>2632.35</v>
      </c>
      <c r="W476" s="37">
        <f t="shared" si="448"/>
        <v>2795.96</v>
      </c>
      <c r="X476" s="37">
        <f t="shared" si="448"/>
        <v>2906.97</v>
      </c>
      <c r="Y476" s="37">
        <f t="shared" si="448"/>
        <v>3012.14</v>
      </c>
      <c r="Z476" s="37">
        <f t="shared" si="448"/>
        <v>3175.99</v>
      </c>
    </row>
    <row r="477" spans="1:35">
      <c r="T477" s="135" t="s">
        <v>147</v>
      </c>
      <c r="U477" s="37">
        <f t="shared" ref="U477:Z477" si="449">IF(U453="-","-",ROUND(U453*$T$456,2))</f>
        <v>2205.83</v>
      </c>
      <c r="V477" s="37">
        <f t="shared" si="449"/>
        <v>2476.9299999999998</v>
      </c>
      <c r="W477" s="37">
        <f t="shared" si="449"/>
        <v>2634.1</v>
      </c>
      <c r="X477" s="37">
        <f t="shared" si="449"/>
        <v>2778.42</v>
      </c>
      <c r="Y477" s="37">
        <f t="shared" si="449"/>
        <v>2844.45</v>
      </c>
      <c r="Z477" s="37">
        <f t="shared" si="449"/>
        <v>2923.32</v>
      </c>
    </row>
    <row r="478" spans="1:35">
      <c r="T478" s="135" t="s">
        <v>148</v>
      </c>
      <c r="U478" s="37">
        <f t="shared" ref="U478:Z478" si="450">IF(U454="-","-",ROUND(U454*$T$456,2))</f>
        <v>2106.31</v>
      </c>
      <c r="V478" s="37">
        <f t="shared" si="450"/>
        <v>2217.34</v>
      </c>
      <c r="W478" s="37">
        <f t="shared" si="450"/>
        <v>2299.13</v>
      </c>
      <c r="X478" s="37">
        <f t="shared" si="450"/>
        <v>2392.62</v>
      </c>
      <c r="Y478" s="37">
        <f t="shared" si="450"/>
        <v>2486.09</v>
      </c>
      <c r="Z478" s="37">
        <f t="shared" si="450"/>
        <v>2579.59</v>
      </c>
    </row>
    <row r="480" spans="1:35">
      <c r="B480" s="512" t="s">
        <v>491</v>
      </c>
      <c r="C480" s="247"/>
      <c r="T480" s="512" t="str">
        <f>B480</f>
        <v>1,0319</v>
      </c>
      <c r="U480" s="248"/>
    </row>
    <row r="481" spans="1:27">
      <c r="A481" s="155" t="s">
        <v>487</v>
      </c>
      <c r="B481" s="75">
        <v>2018</v>
      </c>
      <c r="C481" s="75" t="str">
        <f t="shared" ref="C481:H481" si="451">C385</f>
        <v>Stufe 1</v>
      </c>
      <c r="D481" s="75" t="str">
        <f t="shared" si="451"/>
        <v>Stufe 2</v>
      </c>
      <c r="E481" s="75" t="str">
        <f t="shared" si="451"/>
        <v>Stufe 3</v>
      </c>
      <c r="F481" s="75" t="str">
        <f t="shared" si="451"/>
        <v>Stufe 4</v>
      </c>
      <c r="G481" s="75" t="str">
        <f t="shared" si="451"/>
        <v>Stufe 5</v>
      </c>
      <c r="H481" s="75" t="str">
        <f t="shared" si="451"/>
        <v>Stufe 6</v>
      </c>
      <c r="S481" s="155" t="str">
        <f>A481</f>
        <v>ab Mrz 2018</v>
      </c>
      <c r="T481" s="75">
        <v>2018</v>
      </c>
      <c r="U481" s="75" t="str">
        <f t="shared" ref="U481:Z481" si="452">C97</f>
        <v>Stufe 1</v>
      </c>
      <c r="V481" s="75" t="str">
        <f t="shared" si="452"/>
        <v>Stufe 2</v>
      </c>
      <c r="W481" s="75" t="str">
        <f t="shared" si="452"/>
        <v>Stufe 3</v>
      </c>
      <c r="X481" s="75" t="str">
        <f t="shared" si="452"/>
        <v>Stufe 4</v>
      </c>
      <c r="Y481" s="75" t="str">
        <f t="shared" si="452"/>
        <v>Stufe 5</v>
      </c>
      <c r="Z481" s="75" t="str">
        <f t="shared" si="452"/>
        <v>Stufe 6</v>
      </c>
    </row>
    <row r="482" spans="1:27">
      <c r="A482" s="155" t="str">
        <f>$A$410</f>
        <v>EG</v>
      </c>
      <c r="B482" s="513" t="str">
        <f>B458</f>
        <v>15Ü</v>
      </c>
      <c r="C482" s="37" t="str">
        <f t="shared" ref="C482:H482" si="453">IF(C458="-","-",ROUND(C458*$B$480,2))</f>
        <v>-</v>
      </c>
      <c r="D482" s="511">
        <f t="shared" si="453"/>
        <v>5765.67</v>
      </c>
      <c r="E482" s="511">
        <f t="shared" si="453"/>
        <v>6390.93</v>
      </c>
      <c r="F482" s="511">
        <f t="shared" si="453"/>
        <v>6983.3</v>
      </c>
      <c r="G482" s="511">
        <f t="shared" si="453"/>
        <v>7378.23</v>
      </c>
      <c r="H482" s="511">
        <f t="shared" si="453"/>
        <v>7470.36</v>
      </c>
      <c r="T482" s="135" t="s">
        <v>338</v>
      </c>
      <c r="U482" s="37">
        <v>3733.74</v>
      </c>
      <c r="V482" s="37">
        <v>3847.26</v>
      </c>
      <c r="W482" s="37">
        <v>4343.71</v>
      </c>
      <c r="X482" s="37">
        <v>4716.01</v>
      </c>
      <c r="Y482" s="37">
        <v>5274.49</v>
      </c>
      <c r="Z482" s="37">
        <v>5615.77</v>
      </c>
    </row>
    <row r="483" spans="1:27">
      <c r="A483" s="155" t="str">
        <f t="shared" ref="A483:A500" si="454">$A$410</f>
        <v>EG</v>
      </c>
      <c r="B483" s="75">
        <f t="shared" ref="B483:B500" si="455">B459</f>
        <v>15</v>
      </c>
      <c r="C483" s="37">
        <v>4584.49</v>
      </c>
      <c r="D483" s="37">
        <v>5000.7700000000004</v>
      </c>
      <c r="E483" s="37">
        <v>5260.14</v>
      </c>
      <c r="F483" s="37">
        <v>5840.78</v>
      </c>
      <c r="G483" s="37">
        <v>6339.54</v>
      </c>
      <c r="H483" s="37">
        <v>6667.67</v>
      </c>
      <c r="T483" s="135" t="s">
        <v>339</v>
      </c>
      <c r="U483" s="37">
        <v>3391.53</v>
      </c>
      <c r="V483" s="37">
        <v>3692.14</v>
      </c>
      <c r="W483" s="37">
        <v>4095.47</v>
      </c>
      <c r="X483" s="37">
        <v>4343.71</v>
      </c>
      <c r="Y483" s="37">
        <v>4840.1000000000004</v>
      </c>
      <c r="Z483" s="37">
        <v>5131.76</v>
      </c>
    </row>
    <row r="484" spans="1:27">
      <c r="A484" s="155" t="str">
        <f t="shared" si="454"/>
        <v>EG</v>
      </c>
      <c r="B484" s="75">
        <f t="shared" si="455"/>
        <v>14</v>
      </c>
      <c r="C484" s="37">
        <v>4151.6499999999996</v>
      </c>
      <c r="D484" s="37">
        <v>4528.2299999999996</v>
      </c>
      <c r="E484" s="37">
        <v>4841.03</v>
      </c>
      <c r="F484" s="37">
        <v>5245.42</v>
      </c>
      <c r="G484" s="37">
        <v>5788.3</v>
      </c>
      <c r="H484" s="37">
        <v>6119.17</v>
      </c>
      <c r="T484" s="135" t="s">
        <v>340</v>
      </c>
      <c r="U484" s="37" t="s">
        <v>15</v>
      </c>
      <c r="V484" s="37" t="s">
        <v>15</v>
      </c>
      <c r="W484" s="37">
        <v>4027.19</v>
      </c>
      <c r="X484" s="37">
        <v>4467.76</v>
      </c>
      <c r="Y484" s="37">
        <v>4740.8</v>
      </c>
      <c r="Z484" s="37" t="s">
        <v>15</v>
      </c>
    </row>
    <row r="485" spans="1:27">
      <c r="A485" s="155" t="str">
        <f t="shared" si="454"/>
        <v>EG</v>
      </c>
      <c r="B485" s="75">
        <f t="shared" si="455"/>
        <v>13</v>
      </c>
      <c r="C485" s="37">
        <v>3827.03</v>
      </c>
      <c r="D485" s="37">
        <v>4196.0200000000004</v>
      </c>
      <c r="E485" s="37">
        <v>4479.41</v>
      </c>
      <c r="F485" s="37">
        <v>4893.7299999999996</v>
      </c>
      <c r="G485" s="37">
        <v>5433.88</v>
      </c>
      <c r="H485" s="37">
        <v>5683.28</v>
      </c>
      <c r="T485" s="135" t="s">
        <v>341</v>
      </c>
      <c r="U485" s="37">
        <v>3311.26</v>
      </c>
      <c r="V485" s="37">
        <v>3611.48</v>
      </c>
      <c r="W485" s="37">
        <v>3884.5</v>
      </c>
      <c r="X485" s="37">
        <v>4219.58</v>
      </c>
      <c r="Y485" s="37">
        <v>4591.8999999999996</v>
      </c>
      <c r="Z485" s="37">
        <v>4815.29</v>
      </c>
    </row>
    <row r="486" spans="1:27">
      <c r="A486" s="155" t="str">
        <f t="shared" si="454"/>
        <v>EG</v>
      </c>
      <c r="B486" s="75">
        <f t="shared" si="455"/>
        <v>12</v>
      </c>
      <c r="C486" s="37">
        <v>3430.9</v>
      </c>
      <c r="D486" s="37">
        <v>3796.05</v>
      </c>
      <c r="E486" s="37">
        <v>4276.8999999999996</v>
      </c>
      <c r="F486" s="37">
        <v>4741.63</v>
      </c>
      <c r="G486" s="37">
        <v>5315.77</v>
      </c>
      <c r="H486" s="37">
        <v>5578.27</v>
      </c>
      <c r="T486" s="135" t="s">
        <v>342</v>
      </c>
      <c r="U486" s="37">
        <v>3187.77</v>
      </c>
      <c r="V486" s="37">
        <v>3474.93</v>
      </c>
      <c r="W486" s="37">
        <v>3723.18</v>
      </c>
      <c r="X486" s="37">
        <v>4008.62</v>
      </c>
      <c r="Y486" s="37">
        <v>4467.8</v>
      </c>
      <c r="Z486" s="37">
        <v>4666.3500000000004</v>
      </c>
    </row>
    <row r="487" spans="1:27">
      <c r="A487" s="155" t="str">
        <f t="shared" si="454"/>
        <v>EG</v>
      </c>
      <c r="B487" s="75">
        <f t="shared" si="455"/>
        <v>11</v>
      </c>
      <c r="C487" s="37">
        <v>3312.6</v>
      </c>
      <c r="D487" s="37">
        <v>3656.01</v>
      </c>
      <c r="E487" s="37">
        <v>3941.33</v>
      </c>
      <c r="F487" s="37">
        <v>4311.7700000000004</v>
      </c>
      <c r="G487" s="37">
        <v>4836.6899999999996</v>
      </c>
      <c r="H487" s="37">
        <v>5099.2</v>
      </c>
      <c r="T487" s="135" t="s">
        <v>343</v>
      </c>
      <c r="U487" s="37">
        <v>3171.02</v>
      </c>
      <c r="V487" s="37">
        <v>3439.3</v>
      </c>
      <c r="W487" s="37">
        <v>3715.15</v>
      </c>
      <c r="X487" s="37">
        <v>3995.76</v>
      </c>
      <c r="Y487" s="37">
        <v>4306.04</v>
      </c>
      <c r="Z487" s="37">
        <v>4523.21</v>
      </c>
    </row>
    <row r="488" spans="1:27">
      <c r="A488" s="155" t="str">
        <f t="shared" si="454"/>
        <v>EG</v>
      </c>
      <c r="B488" s="75">
        <f t="shared" si="455"/>
        <v>10</v>
      </c>
      <c r="C488" s="37">
        <v>3194.27</v>
      </c>
      <c r="D488" s="37">
        <v>3497.22</v>
      </c>
      <c r="E488" s="37">
        <v>3775.33</v>
      </c>
      <c r="F488" s="37">
        <v>4064.56</v>
      </c>
      <c r="G488" s="37">
        <v>4501.99</v>
      </c>
      <c r="H488" s="37">
        <v>4620.12</v>
      </c>
      <c r="T488" s="135" t="s">
        <v>344</v>
      </c>
      <c r="U488" s="37">
        <v>3168.12</v>
      </c>
      <c r="V488" s="37">
        <v>3403.57</v>
      </c>
      <c r="W488" s="37">
        <v>3713.36</v>
      </c>
      <c r="X488" s="37">
        <v>3961.57</v>
      </c>
      <c r="Y488" s="37">
        <v>4271.82</v>
      </c>
      <c r="Z488" s="37">
        <v>4426.96</v>
      </c>
    </row>
    <row r="489" spans="1:27">
      <c r="A489" s="155" t="str">
        <f t="shared" si="454"/>
        <v>EG</v>
      </c>
      <c r="B489" s="75" t="str">
        <f t="shared" si="455"/>
        <v>9c</v>
      </c>
      <c r="C489" s="37">
        <v>3099.42</v>
      </c>
      <c r="D489" s="37">
        <v>3349.91</v>
      </c>
      <c r="E489" s="37">
        <v>3637.1</v>
      </c>
      <c r="F489" s="37">
        <v>3888.65</v>
      </c>
      <c r="G489" s="37">
        <v>4214.62</v>
      </c>
      <c r="H489" s="37">
        <v>4392.6899999999996</v>
      </c>
      <c r="T489" s="135" t="s">
        <v>345</v>
      </c>
      <c r="U489" s="37">
        <v>3117.3</v>
      </c>
      <c r="V489" s="37">
        <v>3352.84</v>
      </c>
      <c r="W489" s="37">
        <v>3661.11</v>
      </c>
      <c r="X489" s="37">
        <v>3909.3</v>
      </c>
      <c r="Y489" s="37">
        <v>4219.58</v>
      </c>
      <c r="Z489" s="37">
        <v>4374.7</v>
      </c>
    </row>
    <row r="490" spans="1:27">
      <c r="A490" s="155" t="str">
        <f t="shared" si="454"/>
        <v>EG</v>
      </c>
      <c r="B490" s="75" t="str">
        <f t="shared" si="455"/>
        <v>9b</v>
      </c>
      <c r="C490" s="37">
        <v>2865.63</v>
      </c>
      <c r="D490" s="37">
        <v>3126.71</v>
      </c>
      <c r="E490" s="37">
        <v>3273.66</v>
      </c>
      <c r="F490" s="37">
        <v>3685.6</v>
      </c>
      <c r="G490" s="37">
        <v>3975.34</v>
      </c>
      <c r="H490" s="37">
        <v>4245.2299999999996</v>
      </c>
      <c r="T490" s="135" t="s">
        <v>346</v>
      </c>
      <c r="U490" s="37">
        <v>3074.5</v>
      </c>
      <c r="V490" s="37">
        <v>3343.35</v>
      </c>
      <c r="W490" s="37">
        <v>3638.92</v>
      </c>
      <c r="X490" s="37">
        <v>3899.53</v>
      </c>
      <c r="Y490" s="37">
        <v>4222.22</v>
      </c>
      <c r="Z490" s="463">
        <f>IF(Z466="-","-",Z491+AA490)</f>
        <v>4445.21</v>
      </c>
      <c r="AA490" s="460">
        <v>86.47</v>
      </c>
    </row>
    <row r="491" spans="1:27">
      <c r="A491" s="155" t="str">
        <f t="shared" si="454"/>
        <v>EG</v>
      </c>
      <c r="B491" s="75" t="str">
        <f t="shared" si="455"/>
        <v>9a</v>
      </c>
      <c r="C491" s="37">
        <v>2818.96</v>
      </c>
      <c r="D491" s="37">
        <v>3049.32</v>
      </c>
      <c r="E491" s="37">
        <v>3234.09</v>
      </c>
      <c r="F491" s="37">
        <v>3647.35</v>
      </c>
      <c r="G491" s="37">
        <v>3739.87</v>
      </c>
      <c r="H491" s="37">
        <v>3975.66</v>
      </c>
      <c r="T491" s="135" t="s">
        <v>347</v>
      </c>
      <c r="U491" s="37">
        <v>3074.5</v>
      </c>
      <c r="V491" s="37">
        <v>3343.35</v>
      </c>
      <c r="W491" s="37">
        <v>3638.92</v>
      </c>
      <c r="X491" s="37">
        <v>3899.53</v>
      </c>
      <c r="Y491" s="37">
        <v>4222.22</v>
      </c>
      <c r="Z491" s="37">
        <v>4358.74</v>
      </c>
      <c r="AA491" s="459"/>
    </row>
    <row r="492" spans="1:27">
      <c r="A492" s="155" t="str">
        <f t="shared" si="454"/>
        <v>EG</v>
      </c>
      <c r="B492" s="75">
        <f t="shared" si="455"/>
        <v>8</v>
      </c>
      <c r="C492" s="37">
        <v>2656.52</v>
      </c>
      <c r="D492" s="37">
        <v>2890.09</v>
      </c>
      <c r="E492" s="37">
        <v>3017.56</v>
      </c>
      <c r="F492" s="37">
        <v>3137.78</v>
      </c>
      <c r="G492" s="37">
        <v>3269.2</v>
      </c>
      <c r="H492" s="37">
        <v>3343.02</v>
      </c>
      <c r="T492" s="135" t="s">
        <v>348</v>
      </c>
      <c r="U492" s="37">
        <v>2994.79</v>
      </c>
      <c r="V492" s="37">
        <v>3295.8</v>
      </c>
      <c r="W492" s="37">
        <v>3453.43</v>
      </c>
      <c r="X492" s="37">
        <v>3850.57</v>
      </c>
      <c r="Y492" s="37">
        <v>4160.84</v>
      </c>
      <c r="Z492" s="463">
        <f>IF(Z468="-","-",Z493+AA492)</f>
        <v>4422.67</v>
      </c>
      <c r="AA492" s="460">
        <v>75.67</v>
      </c>
    </row>
    <row r="493" spans="1:27">
      <c r="A493" s="155" t="str">
        <f t="shared" si="454"/>
        <v>EG</v>
      </c>
      <c r="B493" s="75">
        <f t="shared" si="455"/>
        <v>7</v>
      </c>
      <c r="C493" s="37">
        <v>2493.12</v>
      </c>
      <c r="D493" s="37">
        <v>2729.06</v>
      </c>
      <c r="E493" s="37">
        <v>2877.36</v>
      </c>
      <c r="F493" s="37">
        <v>3004.81</v>
      </c>
      <c r="G493" s="37">
        <v>3111.25</v>
      </c>
      <c r="H493" s="37">
        <v>3189.58</v>
      </c>
      <c r="T493" s="135" t="s">
        <v>349</v>
      </c>
      <c r="U493" s="37">
        <v>2994.79</v>
      </c>
      <c r="V493" s="37">
        <v>3295.8</v>
      </c>
      <c r="W493" s="37">
        <v>3453.43</v>
      </c>
      <c r="X493" s="37">
        <v>3850.57</v>
      </c>
      <c r="Y493" s="37">
        <v>4160.84</v>
      </c>
      <c r="Z493" s="37">
        <v>4347</v>
      </c>
    </row>
    <row r="494" spans="1:27">
      <c r="A494" s="155" t="str">
        <f t="shared" si="454"/>
        <v>EG</v>
      </c>
      <c r="B494" s="75">
        <f t="shared" si="455"/>
        <v>6</v>
      </c>
      <c r="C494" s="37">
        <v>2446.41</v>
      </c>
      <c r="D494" s="37">
        <v>2662.97</v>
      </c>
      <c r="E494" s="37">
        <v>2788.15</v>
      </c>
      <c r="F494" s="37">
        <v>2909.22</v>
      </c>
      <c r="G494" s="37">
        <v>3007.98</v>
      </c>
      <c r="H494" s="37">
        <v>3081</v>
      </c>
      <c r="T494" s="135" t="s">
        <v>350</v>
      </c>
      <c r="U494" s="37">
        <v>2933.26</v>
      </c>
      <c r="V494" s="37">
        <v>3232.36</v>
      </c>
      <c r="W494" s="37">
        <v>3388.98</v>
      </c>
      <c r="X494" s="37">
        <v>3785.22</v>
      </c>
      <c r="Y494" s="37">
        <v>4095.47</v>
      </c>
      <c r="Z494" s="37">
        <v>4281.63</v>
      </c>
    </row>
    <row r="495" spans="1:27">
      <c r="A495" s="155" t="str">
        <f t="shared" si="454"/>
        <v>EG</v>
      </c>
      <c r="B495" s="75">
        <f t="shared" si="455"/>
        <v>5</v>
      </c>
      <c r="C495" s="37">
        <v>2347.5500000000002</v>
      </c>
      <c r="D495" s="37">
        <v>2555.4</v>
      </c>
      <c r="E495" s="37">
        <v>2673.48</v>
      </c>
      <c r="F495" s="37">
        <v>2794.54</v>
      </c>
      <c r="G495" s="37">
        <v>2894.01</v>
      </c>
      <c r="H495" s="37">
        <v>2955.27</v>
      </c>
      <c r="T495" s="135" t="s">
        <v>351</v>
      </c>
      <c r="U495" s="37">
        <v>2799.37</v>
      </c>
      <c r="V495" s="37">
        <v>3088.63</v>
      </c>
      <c r="W495" s="37">
        <v>3233.27</v>
      </c>
      <c r="X495" s="37">
        <v>3662.14</v>
      </c>
      <c r="Y495" s="37">
        <v>4009.74</v>
      </c>
      <c r="Z495" s="37">
        <v>4295.24</v>
      </c>
    </row>
    <row r="496" spans="1:27">
      <c r="A496" s="155" t="str">
        <f t="shared" si="454"/>
        <v>EG</v>
      </c>
      <c r="B496" s="75">
        <f t="shared" si="455"/>
        <v>4</v>
      </c>
      <c r="C496" s="37">
        <v>2236.29</v>
      </c>
      <c r="D496" s="37">
        <v>2438.63</v>
      </c>
      <c r="E496" s="37">
        <v>2587.48</v>
      </c>
      <c r="F496" s="37">
        <v>2676.8</v>
      </c>
      <c r="G496" s="37">
        <v>2766.11</v>
      </c>
      <c r="H496" s="37">
        <v>2818.41</v>
      </c>
      <c r="T496" s="135" t="s">
        <v>141</v>
      </c>
      <c r="U496" s="37">
        <v>2723.92</v>
      </c>
      <c r="V496" s="37">
        <v>2982.65</v>
      </c>
      <c r="W496" s="37">
        <v>3220.39</v>
      </c>
      <c r="X496" s="37">
        <v>3566.21</v>
      </c>
      <c r="Y496" s="37">
        <v>3890.41</v>
      </c>
      <c r="Z496" s="37">
        <v>4138.97</v>
      </c>
    </row>
    <row r="497" spans="1:26">
      <c r="A497" s="155" t="str">
        <f t="shared" si="454"/>
        <v>EG</v>
      </c>
      <c r="B497" s="75">
        <f t="shared" si="455"/>
        <v>3</v>
      </c>
      <c r="C497" s="37">
        <v>2201.29</v>
      </c>
      <c r="D497" s="37">
        <v>2407.15</v>
      </c>
      <c r="E497" s="37">
        <v>2462.5500000000002</v>
      </c>
      <c r="F497" s="37">
        <v>2564.71</v>
      </c>
      <c r="G497" s="37">
        <v>2641.37</v>
      </c>
      <c r="H497" s="37">
        <v>2711.6</v>
      </c>
      <c r="T497" s="135" t="s">
        <v>352</v>
      </c>
      <c r="U497" s="37">
        <v>2723.92</v>
      </c>
      <c r="V497" s="37">
        <v>2982.65</v>
      </c>
      <c r="W497" s="37">
        <v>3220.39</v>
      </c>
      <c r="X497" s="37">
        <v>3566.21</v>
      </c>
      <c r="Y497" s="37">
        <v>3890.41</v>
      </c>
      <c r="Z497" s="37">
        <v>4138.97</v>
      </c>
    </row>
    <row r="498" spans="1:26">
      <c r="A498" s="155" t="str">
        <f t="shared" si="454"/>
        <v>EG</v>
      </c>
      <c r="B498" s="513" t="str">
        <f t="shared" si="455"/>
        <v>2Ü</v>
      </c>
      <c r="C498" s="511">
        <f>IF(C474="-","-",ROUND(C474*$B$480,2))</f>
        <v>2084.42</v>
      </c>
      <c r="D498" s="511">
        <f>IF(D474="-","-",ROUND(D474*$B$480,2))</f>
        <v>2297.88</v>
      </c>
      <c r="E498" s="511">
        <f>IF(E474="-","-",ROUND(E474*$B$480,2))</f>
        <v>2374.56</v>
      </c>
      <c r="F498" s="511">
        <f>IF(F474="-","-",ROUND(F474*$B$480,2))</f>
        <v>2476.8000000000002</v>
      </c>
      <c r="G498" s="511">
        <f>IF(G474="-","-",ROUND(G474*$B$480,2))</f>
        <v>2547.0700000000002</v>
      </c>
      <c r="H498" s="461">
        <f>H499</f>
        <v>2642.56</v>
      </c>
      <c r="T498" s="135" t="s">
        <v>353</v>
      </c>
      <c r="U498" s="37">
        <v>2685.14</v>
      </c>
      <c r="V498" s="37">
        <v>2917.8</v>
      </c>
      <c r="W498" s="37">
        <v>3123.13</v>
      </c>
      <c r="X498" s="37">
        <v>3317.66</v>
      </c>
      <c r="Y498" s="37">
        <v>3506.77</v>
      </c>
      <c r="Z498" s="37">
        <v>3703.99</v>
      </c>
    </row>
    <row r="499" spans="1:26">
      <c r="A499" s="155" t="str">
        <f t="shared" si="454"/>
        <v>EG</v>
      </c>
      <c r="B499" s="75">
        <f t="shared" si="455"/>
        <v>2</v>
      </c>
      <c r="C499" s="37">
        <v>2037.85</v>
      </c>
      <c r="D499" s="37">
        <v>2234.7399999999998</v>
      </c>
      <c r="E499" s="37">
        <v>2290.29</v>
      </c>
      <c r="F499" s="37">
        <v>2354.37</v>
      </c>
      <c r="G499" s="37">
        <v>2495.2199999999998</v>
      </c>
      <c r="H499" s="461">
        <v>2642.56</v>
      </c>
      <c r="T499" s="135" t="s">
        <v>143</v>
      </c>
      <c r="U499" s="37">
        <v>2620.66</v>
      </c>
      <c r="V499" s="37">
        <v>2840.76</v>
      </c>
      <c r="W499" s="37">
        <v>3033.56</v>
      </c>
      <c r="X499" s="37">
        <v>3226.32</v>
      </c>
      <c r="Y499" s="37">
        <v>3370.93</v>
      </c>
      <c r="Z499" s="37">
        <v>3586.65</v>
      </c>
    </row>
    <row r="500" spans="1:26">
      <c r="A500" s="155" t="str">
        <f t="shared" si="454"/>
        <v>EG</v>
      </c>
      <c r="B500" s="75">
        <f t="shared" si="455"/>
        <v>1</v>
      </c>
      <c r="C500" s="37" t="s">
        <v>15</v>
      </c>
      <c r="D500" s="37">
        <v>1827.17</v>
      </c>
      <c r="E500" s="37">
        <v>1858.18</v>
      </c>
      <c r="F500" s="37">
        <v>1896.96</v>
      </c>
      <c r="G500" s="37">
        <v>1933.11</v>
      </c>
      <c r="H500" s="37">
        <v>2026.15</v>
      </c>
      <c r="T500" s="135" t="s">
        <v>146</v>
      </c>
      <c r="U500" s="37">
        <v>2481.17</v>
      </c>
      <c r="V500" s="37">
        <v>2714.24</v>
      </c>
      <c r="W500" s="37">
        <v>2882.94</v>
      </c>
      <c r="X500" s="37">
        <v>2997.41</v>
      </c>
      <c r="Y500" s="37">
        <v>3105.85</v>
      </c>
      <c r="Z500" s="37">
        <v>3274.79</v>
      </c>
    </row>
    <row r="501" spans="1:26">
      <c r="C501" s="524" t="str">
        <f>""</f>
        <v/>
      </c>
      <c r="D501" s="524" t="str">
        <f>""</f>
        <v/>
      </c>
      <c r="E501" s="524" t="str">
        <f>""</f>
        <v/>
      </c>
      <c r="F501" s="524" t="str">
        <f>""</f>
        <v/>
      </c>
      <c r="G501" s="524" t="str">
        <f>""</f>
        <v/>
      </c>
      <c r="H501" s="524" t="str">
        <f>""</f>
        <v/>
      </c>
      <c r="T501" s="135" t="s">
        <v>147</v>
      </c>
      <c r="U501" s="37">
        <v>2321.0500000000002</v>
      </c>
      <c r="V501" s="37">
        <v>2553.9899999999998</v>
      </c>
      <c r="W501" s="37">
        <v>2716.05</v>
      </c>
      <c r="X501" s="37">
        <v>2864.86</v>
      </c>
      <c r="Y501" s="37">
        <v>2932.94</v>
      </c>
      <c r="Z501" s="37">
        <v>3014.27</v>
      </c>
    </row>
    <row r="502" spans="1:26">
      <c r="C502" s="524" t="str">
        <f>""</f>
        <v/>
      </c>
      <c r="D502" s="524" t="str">
        <f>""</f>
        <v/>
      </c>
      <c r="E502" s="524" t="str">
        <f>""</f>
        <v/>
      </c>
      <c r="F502" s="524" t="str">
        <f>""</f>
        <v/>
      </c>
      <c r="G502" s="524" t="str">
        <f>""</f>
        <v/>
      </c>
      <c r="H502" s="524" t="str">
        <f>""</f>
        <v/>
      </c>
      <c r="T502" s="135" t="s">
        <v>148</v>
      </c>
      <c r="U502" s="37">
        <v>2182.4</v>
      </c>
      <c r="V502" s="37">
        <v>2293.44</v>
      </c>
      <c r="W502" s="37">
        <v>2375.39</v>
      </c>
      <c r="X502" s="37">
        <v>2467.0500000000002</v>
      </c>
      <c r="Y502" s="37">
        <v>2563.4299999999998</v>
      </c>
      <c r="Z502" s="37">
        <v>2659.84</v>
      </c>
    </row>
    <row r="504" spans="1:26">
      <c r="B504" s="512" t="s">
        <v>492</v>
      </c>
      <c r="C504" s="247"/>
      <c r="T504" s="523" t="str">
        <f>B504</f>
        <v>1,0309</v>
      </c>
      <c r="U504" s="248"/>
    </row>
    <row r="505" spans="1:26">
      <c r="A505" s="155" t="s">
        <v>495</v>
      </c>
      <c r="B505" s="75">
        <v>2019</v>
      </c>
      <c r="C505" s="75" t="str">
        <f t="shared" ref="C505:H505" si="456">C409</f>
        <v>Stufe 1</v>
      </c>
      <c r="D505" s="75" t="str">
        <f t="shared" si="456"/>
        <v>Stufe 2</v>
      </c>
      <c r="E505" s="75" t="str">
        <f t="shared" si="456"/>
        <v>Stufe 3</v>
      </c>
      <c r="F505" s="75" t="str">
        <f t="shared" si="456"/>
        <v>Stufe 4</v>
      </c>
      <c r="G505" s="75" t="str">
        <f t="shared" si="456"/>
        <v>Stufe 5</v>
      </c>
      <c r="H505" s="75" t="str">
        <f t="shared" si="456"/>
        <v>Stufe 6</v>
      </c>
      <c r="S505" s="155" t="str">
        <f>A505</f>
        <v>ab Apr 2019</v>
      </c>
      <c r="T505" s="75">
        <v>2019</v>
      </c>
      <c r="U505" s="75" t="str">
        <f t="shared" ref="U505:Z505" si="457">C121</f>
        <v>Stufe 1</v>
      </c>
      <c r="V505" s="75" t="str">
        <f t="shared" si="457"/>
        <v>Stufe 2</v>
      </c>
      <c r="W505" s="75" t="str">
        <f t="shared" si="457"/>
        <v>Stufe 3</v>
      </c>
      <c r="X505" s="75" t="str">
        <f t="shared" si="457"/>
        <v>Stufe 4</v>
      </c>
      <c r="Y505" s="75" t="str">
        <f t="shared" si="457"/>
        <v>Stufe 5</v>
      </c>
      <c r="Z505" s="75" t="str">
        <f t="shared" si="457"/>
        <v>Stufe 6</v>
      </c>
    </row>
    <row r="506" spans="1:26">
      <c r="A506" s="155" t="str">
        <f>$A$410</f>
        <v>EG</v>
      </c>
      <c r="B506" s="513" t="str">
        <f>B482</f>
        <v>15Ü</v>
      </c>
      <c r="C506" s="37" t="str">
        <f t="shared" ref="C506:H506" si="458">IF(C482="-","-",ROUND(C482*$B$504,2))</f>
        <v>-</v>
      </c>
      <c r="D506" s="511">
        <f t="shared" si="458"/>
        <v>5943.83</v>
      </c>
      <c r="E506" s="511">
        <f t="shared" si="458"/>
        <v>6588.41</v>
      </c>
      <c r="F506" s="511">
        <f t="shared" si="458"/>
        <v>7199.08</v>
      </c>
      <c r="G506" s="511">
        <f t="shared" si="458"/>
        <v>7606.22</v>
      </c>
      <c r="H506" s="511">
        <f t="shared" si="458"/>
        <v>7701.19</v>
      </c>
      <c r="T506" s="135" t="s">
        <v>338</v>
      </c>
      <c r="U506" s="37">
        <v>3856.63</v>
      </c>
      <c r="V506" s="37">
        <v>3963.34</v>
      </c>
      <c r="W506" s="37">
        <v>4474.7700000000004</v>
      </c>
      <c r="X506" s="37">
        <v>4858.3</v>
      </c>
      <c r="Y506" s="37">
        <v>5433.63</v>
      </c>
      <c r="Z506" s="37">
        <v>5785.2</v>
      </c>
    </row>
    <row r="507" spans="1:26">
      <c r="A507" s="155" t="str">
        <f t="shared" ref="A507:A524" si="459">$A$410</f>
        <v>EG</v>
      </c>
      <c r="B507" s="75">
        <f t="shared" ref="B507:B524" si="460">B483</f>
        <v>15</v>
      </c>
      <c r="C507" s="37">
        <v>4788.3500000000004</v>
      </c>
      <c r="D507" s="37">
        <v>5141.2299999999996</v>
      </c>
      <c r="E507" s="37">
        <v>5481.38</v>
      </c>
      <c r="F507" s="37">
        <v>6004.84</v>
      </c>
      <c r="G507" s="37">
        <v>6517.61</v>
      </c>
      <c r="H507" s="37">
        <v>6854.95</v>
      </c>
      <c r="T507" s="135" t="s">
        <v>339</v>
      </c>
      <c r="U507" s="37">
        <v>3531.38</v>
      </c>
      <c r="V507" s="37">
        <v>3803.54</v>
      </c>
      <c r="W507" s="37">
        <v>4219.03</v>
      </c>
      <c r="X507" s="37">
        <v>4474.7700000000004</v>
      </c>
      <c r="Y507" s="37">
        <v>4986.13</v>
      </c>
      <c r="Z507" s="37">
        <v>5286.59</v>
      </c>
    </row>
    <row r="508" spans="1:26">
      <c r="A508" s="155" t="str">
        <f t="shared" si="459"/>
        <v>EG</v>
      </c>
      <c r="B508" s="75">
        <f t="shared" si="460"/>
        <v>14</v>
      </c>
      <c r="C508" s="37">
        <v>4335.9799999999996</v>
      </c>
      <c r="D508" s="37">
        <v>4655.42</v>
      </c>
      <c r="E508" s="37">
        <v>5025.8900000000003</v>
      </c>
      <c r="F508" s="37">
        <v>5451.94</v>
      </c>
      <c r="G508" s="37">
        <v>5950.88</v>
      </c>
      <c r="H508" s="37">
        <v>6293.73</v>
      </c>
      <c r="T508" s="135" t="s">
        <v>340</v>
      </c>
      <c r="U508" s="37" t="s">
        <v>15</v>
      </c>
      <c r="V508" s="37" t="s">
        <v>15</v>
      </c>
      <c r="W508" s="37">
        <v>4148.8100000000004</v>
      </c>
      <c r="X508" s="37">
        <v>4602.6899999999996</v>
      </c>
      <c r="Y508" s="37">
        <v>4883.97</v>
      </c>
      <c r="Z508" s="37" t="s">
        <v>15</v>
      </c>
    </row>
    <row r="509" spans="1:26">
      <c r="A509" s="155" t="str">
        <f t="shared" si="459"/>
        <v>EG</v>
      </c>
      <c r="B509" s="75">
        <f t="shared" si="460"/>
        <v>13</v>
      </c>
      <c r="C509" s="37">
        <v>3996.72</v>
      </c>
      <c r="D509" s="37">
        <v>4335.42</v>
      </c>
      <c r="E509" s="37">
        <v>4685.32</v>
      </c>
      <c r="F509" s="37">
        <v>5093.03</v>
      </c>
      <c r="G509" s="37">
        <v>5586.51</v>
      </c>
      <c r="H509" s="37">
        <v>5842.91</v>
      </c>
      <c r="T509" s="135" t="s">
        <v>341</v>
      </c>
      <c r="U509" s="37">
        <v>3452.63</v>
      </c>
      <c r="V509" s="37">
        <v>3720.44</v>
      </c>
      <c r="W509" s="37">
        <v>4001.7</v>
      </c>
      <c r="X509" s="37">
        <v>4346.8900000000003</v>
      </c>
      <c r="Y509" s="37">
        <v>4730.45</v>
      </c>
      <c r="Z509" s="37">
        <v>4960.57</v>
      </c>
    </row>
    <row r="510" spans="1:26">
      <c r="A510" s="155" t="str">
        <f t="shared" si="459"/>
        <v>EG</v>
      </c>
      <c r="B510" s="75">
        <f t="shared" si="460"/>
        <v>12</v>
      </c>
      <c r="C510" s="37">
        <v>3582.23</v>
      </c>
      <c r="D510" s="37">
        <v>3956.45</v>
      </c>
      <c r="E510" s="37">
        <v>4407.8900000000003</v>
      </c>
      <c r="F510" s="37">
        <v>4890.8599999999997</v>
      </c>
      <c r="G510" s="37">
        <v>5465.08</v>
      </c>
      <c r="H510" s="37">
        <v>5734.95</v>
      </c>
      <c r="T510" s="135" t="s">
        <v>342</v>
      </c>
      <c r="U510" s="37">
        <v>3322.52</v>
      </c>
      <c r="V510" s="37">
        <v>3579.77</v>
      </c>
      <c r="W510" s="37">
        <v>3835.51</v>
      </c>
      <c r="X510" s="37">
        <v>4129.57</v>
      </c>
      <c r="Y510" s="37">
        <v>4602.6000000000004</v>
      </c>
      <c r="Z510" s="37">
        <v>4807.1400000000003</v>
      </c>
    </row>
    <row r="511" spans="1:26">
      <c r="A511" s="155" t="str">
        <f t="shared" si="459"/>
        <v>EG</v>
      </c>
      <c r="B511" s="75">
        <f t="shared" si="460"/>
        <v>11</v>
      </c>
      <c r="C511" s="37">
        <v>3457.1</v>
      </c>
      <c r="D511" s="37">
        <v>3803.91</v>
      </c>
      <c r="E511" s="37">
        <v>4119.43</v>
      </c>
      <c r="F511" s="37">
        <v>4477.63</v>
      </c>
      <c r="G511" s="37">
        <v>4972.55</v>
      </c>
      <c r="H511" s="37">
        <v>5242.43</v>
      </c>
      <c r="T511" s="135" t="s">
        <v>343</v>
      </c>
      <c r="U511" s="37">
        <v>3292.62</v>
      </c>
      <c r="V511" s="37">
        <v>3543.07</v>
      </c>
      <c r="W511" s="37">
        <v>3827.24</v>
      </c>
      <c r="X511" s="37">
        <v>4116.32</v>
      </c>
      <c r="Y511" s="37">
        <v>4435.96</v>
      </c>
      <c r="Z511" s="37">
        <v>4659.68</v>
      </c>
    </row>
    <row r="512" spans="1:26">
      <c r="A512" s="155" t="str">
        <f t="shared" si="459"/>
        <v>EG</v>
      </c>
      <c r="B512" s="75">
        <f t="shared" si="460"/>
        <v>10</v>
      </c>
      <c r="C512" s="37">
        <v>3331.93</v>
      </c>
      <c r="D512" s="37">
        <v>3613.93</v>
      </c>
      <c r="E512" s="37">
        <v>3915.01</v>
      </c>
      <c r="F512" s="37">
        <v>4238.32</v>
      </c>
      <c r="G512" s="37">
        <v>4628.4399999999996</v>
      </c>
      <c r="H512" s="37">
        <v>4749.8900000000003</v>
      </c>
      <c r="T512" s="135" t="s">
        <v>344</v>
      </c>
      <c r="U512" s="37">
        <v>3269.18</v>
      </c>
      <c r="V512" s="37">
        <v>3506.36</v>
      </c>
      <c r="W512" s="37">
        <v>3825.5</v>
      </c>
      <c r="X512" s="37">
        <v>4081.21</v>
      </c>
      <c r="Y512" s="37">
        <v>4400.83</v>
      </c>
      <c r="Z512" s="37">
        <v>4560.6499999999996</v>
      </c>
    </row>
    <row r="513" spans="1:27">
      <c r="A513" s="155" t="str">
        <f t="shared" si="459"/>
        <v>EG</v>
      </c>
      <c r="B513" s="75" t="str">
        <f t="shared" si="460"/>
        <v>9c</v>
      </c>
      <c r="C513" s="37">
        <v>3233.21</v>
      </c>
      <c r="D513" s="37">
        <v>3480.4</v>
      </c>
      <c r="E513" s="37">
        <v>3750.8</v>
      </c>
      <c r="F513" s="37">
        <v>4026.57</v>
      </c>
      <c r="G513" s="37">
        <v>4337.53</v>
      </c>
      <c r="H513" s="37">
        <v>4545.92</v>
      </c>
      <c r="T513" s="135" t="s">
        <v>345</v>
      </c>
      <c r="U513" s="37">
        <v>3216.63</v>
      </c>
      <c r="V513" s="37">
        <v>3454</v>
      </c>
      <c r="W513" s="37">
        <v>3771.57</v>
      </c>
      <c r="X513" s="37">
        <v>4027.25</v>
      </c>
      <c r="Y513" s="37">
        <v>4346.8900000000003</v>
      </c>
      <c r="Z513" s="37">
        <v>4506.6899999999996</v>
      </c>
    </row>
    <row r="514" spans="1:27">
      <c r="A514" s="155" t="str">
        <f t="shared" si="459"/>
        <v>EG</v>
      </c>
      <c r="B514" s="75" t="str">
        <f t="shared" si="460"/>
        <v>9b</v>
      </c>
      <c r="C514" s="37">
        <v>3020.16</v>
      </c>
      <c r="D514" s="37">
        <v>3258.72</v>
      </c>
      <c r="E514" s="37">
        <v>3403.99</v>
      </c>
      <c r="F514" s="37">
        <v>3824.85</v>
      </c>
      <c r="G514" s="37">
        <v>4085.4</v>
      </c>
      <c r="H514" s="37">
        <v>4370.07</v>
      </c>
      <c r="T514" s="135" t="s">
        <v>346</v>
      </c>
      <c r="U514" s="37">
        <v>3198.66</v>
      </c>
      <c r="V514" s="37">
        <v>3444.22</v>
      </c>
      <c r="W514" s="37">
        <v>3748.71</v>
      </c>
      <c r="X514" s="37">
        <v>4017.18</v>
      </c>
      <c r="Y514" s="37">
        <v>4349.6099999999997</v>
      </c>
      <c r="Z514" s="463">
        <f>IF(Z490="-","-",Z515+AA514)</f>
        <v>4579.3500000000004</v>
      </c>
      <c r="AA514" s="460">
        <v>89.1</v>
      </c>
    </row>
    <row r="515" spans="1:27">
      <c r="A515" s="155" t="str">
        <f t="shared" si="459"/>
        <v>EG</v>
      </c>
      <c r="B515" s="75" t="str">
        <f t="shared" si="460"/>
        <v>9a</v>
      </c>
      <c r="C515" s="37">
        <v>2926.82</v>
      </c>
      <c r="D515" s="37">
        <v>3133.75</v>
      </c>
      <c r="E515" s="37">
        <v>3324.85</v>
      </c>
      <c r="F515" s="37">
        <v>3748.35</v>
      </c>
      <c r="G515" s="37">
        <v>3843.43</v>
      </c>
      <c r="H515" s="37">
        <v>4086.04</v>
      </c>
      <c r="T515" s="135" t="s">
        <v>347</v>
      </c>
      <c r="U515" s="37">
        <v>3198.66</v>
      </c>
      <c r="V515" s="37">
        <v>3444.22</v>
      </c>
      <c r="W515" s="37">
        <v>3748.71</v>
      </c>
      <c r="X515" s="37">
        <v>4017.18</v>
      </c>
      <c r="Y515" s="37">
        <v>4349.6099999999997</v>
      </c>
      <c r="Z515" s="37">
        <v>4490.25</v>
      </c>
      <c r="AA515" s="459"/>
    </row>
    <row r="516" spans="1:27">
      <c r="A516" s="155" t="str">
        <f t="shared" si="459"/>
        <v>EG</v>
      </c>
      <c r="B516" s="75">
        <f t="shared" si="460"/>
        <v>8</v>
      </c>
      <c r="C516" s="37">
        <v>2769.15</v>
      </c>
      <c r="D516" s="37">
        <v>2971.27</v>
      </c>
      <c r="E516" s="37">
        <v>3102.32</v>
      </c>
      <c r="F516" s="37">
        <v>3231.3</v>
      </c>
      <c r="G516" s="37">
        <v>3370.3</v>
      </c>
      <c r="H516" s="37">
        <v>3439.92</v>
      </c>
      <c r="T516" s="135" t="s">
        <v>348</v>
      </c>
      <c r="U516" s="37">
        <v>3143.77</v>
      </c>
      <c r="V516" s="37">
        <v>3395.24</v>
      </c>
      <c r="W516" s="37">
        <v>3557.62</v>
      </c>
      <c r="X516" s="37">
        <v>3966.75</v>
      </c>
      <c r="Y516" s="37">
        <v>4286.38</v>
      </c>
      <c r="Z516" s="463">
        <f>IF(Z492="-","-",Z517+AA516)</f>
        <v>4556.1399999999994</v>
      </c>
      <c r="AA516" s="460">
        <v>77.98</v>
      </c>
    </row>
    <row r="517" spans="1:27">
      <c r="A517" s="155" t="str">
        <f t="shared" si="459"/>
        <v>EG</v>
      </c>
      <c r="B517" s="75">
        <f t="shared" si="460"/>
        <v>7</v>
      </c>
      <c r="C517" s="37">
        <v>2598.38</v>
      </c>
      <c r="D517" s="37">
        <v>2822.59</v>
      </c>
      <c r="E517" s="37">
        <v>2958.18</v>
      </c>
      <c r="F517" s="37">
        <v>3089.21</v>
      </c>
      <c r="G517" s="37">
        <v>3209.21</v>
      </c>
      <c r="H517" s="37">
        <v>3279.17</v>
      </c>
      <c r="T517" s="135" t="s">
        <v>349</v>
      </c>
      <c r="U517" s="37">
        <v>3143.77</v>
      </c>
      <c r="V517" s="37">
        <v>3395.24</v>
      </c>
      <c r="W517" s="37">
        <v>3557.62</v>
      </c>
      <c r="X517" s="37">
        <v>3966.75</v>
      </c>
      <c r="Y517" s="37">
        <v>4286.38</v>
      </c>
      <c r="Z517" s="37">
        <v>4478.16</v>
      </c>
    </row>
    <row r="518" spans="1:27">
      <c r="A518" s="155" t="str">
        <f t="shared" si="459"/>
        <v>EG</v>
      </c>
      <c r="B518" s="75">
        <f t="shared" si="460"/>
        <v>6</v>
      </c>
      <c r="C518" s="37">
        <v>2549.58</v>
      </c>
      <c r="D518" s="37">
        <v>2739.94</v>
      </c>
      <c r="E518" s="37">
        <v>2866.46</v>
      </c>
      <c r="F518" s="37">
        <v>2990.93</v>
      </c>
      <c r="G518" s="37">
        <v>3107.94</v>
      </c>
      <c r="H518" s="37">
        <v>3173.47</v>
      </c>
      <c r="T518" s="135" t="s">
        <v>350</v>
      </c>
      <c r="U518" s="37">
        <v>3082.25</v>
      </c>
      <c r="V518" s="37">
        <v>3329.88</v>
      </c>
      <c r="W518" s="37">
        <v>3491.23</v>
      </c>
      <c r="X518" s="37">
        <v>3899.43</v>
      </c>
      <c r="Y518" s="37">
        <v>4219.03</v>
      </c>
      <c r="Z518" s="37">
        <v>4410.8100000000004</v>
      </c>
    </row>
    <row r="519" spans="1:27">
      <c r="A519" s="155" t="str">
        <f t="shared" si="459"/>
        <v>EG</v>
      </c>
      <c r="B519" s="75">
        <f t="shared" si="460"/>
        <v>5</v>
      </c>
      <c r="C519" s="37">
        <v>2445.9899999999998</v>
      </c>
      <c r="D519" s="37">
        <v>2630.06</v>
      </c>
      <c r="E519" s="37">
        <v>2748.57</v>
      </c>
      <c r="F519" s="37">
        <v>2873.03</v>
      </c>
      <c r="G519" s="37">
        <v>2985.28</v>
      </c>
      <c r="H519" s="37">
        <v>3045.87</v>
      </c>
      <c r="T519" s="135" t="s">
        <v>351</v>
      </c>
      <c r="U519" s="37">
        <v>2884.47</v>
      </c>
      <c r="V519" s="37">
        <v>3182.52</v>
      </c>
      <c r="W519" s="37">
        <v>3331.56</v>
      </c>
      <c r="X519" s="37">
        <v>3773.47</v>
      </c>
      <c r="Y519" s="37">
        <v>4131.6400000000003</v>
      </c>
      <c r="Z519" s="37">
        <v>4425.82</v>
      </c>
    </row>
    <row r="520" spans="1:27">
      <c r="A520" s="155" t="str">
        <f t="shared" si="459"/>
        <v>EG</v>
      </c>
      <c r="B520" s="75">
        <f t="shared" si="460"/>
        <v>4</v>
      </c>
      <c r="C520" s="37">
        <v>2329.9899999999998</v>
      </c>
      <c r="D520" s="37">
        <v>2514.19</v>
      </c>
      <c r="E520" s="37">
        <v>2663.27</v>
      </c>
      <c r="F520" s="37">
        <v>2755.21</v>
      </c>
      <c r="G520" s="37">
        <v>2847.13</v>
      </c>
      <c r="H520" s="37">
        <v>2900.97</v>
      </c>
      <c r="T520" s="135" t="s">
        <v>141</v>
      </c>
      <c r="U520" s="37">
        <v>2848.64</v>
      </c>
      <c r="V520" s="37">
        <v>3072.64</v>
      </c>
      <c r="W520" s="37">
        <v>3317.55</v>
      </c>
      <c r="X520" s="37">
        <v>3673.81</v>
      </c>
      <c r="Y520" s="37">
        <v>4007.79</v>
      </c>
      <c r="Z520" s="37">
        <v>4263.8500000000004</v>
      </c>
    </row>
    <row r="521" spans="1:27">
      <c r="A521" s="155" t="str">
        <f t="shared" si="459"/>
        <v>EG</v>
      </c>
      <c r="B521" s="75">
        <f t="shared" si="460"/>
        <v>3</v>
      </c>
      <c r="C521" s="37">
        <v>2293.39</v>
      </c>
      <c r="D521" s="37">
        <v>2488.41</v>
      </c>
      <c r="E521" s="37">
        <v>2537.2399999999998</v>
      </c>
      <c r="F521" s="37">
        <v>2642.5</v>
      </c>
      <c r="G521" s="37">
        <v>2721.49</v>
      </c>
      <c r="H521" s="37">
        <v>2793.85</v>
      </c>
      <c r="T521" s="135" t="s">
        <v>352</v>
      </c>
      <c r="U521" s="37">
        <v>2848.64</v>
      </c>
      <c r="V521" s="37">
        <v>3072.64</v>
      </c>
      <c r="W521" s="37">
        <v>3317.55</v>
      </c>
      <c r="X521" s="37">
        <v>3673.81</v>
      </c>
      <c r="Y521" s="37">
        <v>4007.79</v>
      </c>
      <c r="Z521" s="37">
        <v>4263.8500000000004</v>
      </c>
    </row>
    <row r="522" spans="1:27">
      <c r="A522" s="155" t="str">
        <f t="shared" si="459"/>
        <v>EG</v>
      </c>
      <c r="B522" s="513" t="str">
        <f t="shared" si="460"/>
        <v>2Ü</v>
      </c>
      <c r="C522" s="511">
        <f>IF(C498="-","-",ROUND(C498*$B$504,2))</f>
        <v>2148.83</v>
      </c>
      <c r="D522" s="511">
        <f>IF(D498="-","-",ROUND(D498*$B$504,2))</f>
        <v>2368.88</v>
      </c>
      <c r="E522" s="511">
        <f>IF(E498="-","-",ROUND(E498*$B$504,2))</f>
        <v>2447.9299999999998</v>
      </c>
      <c r="F522" s="511">
        <f>IF(F498="-","-",ROUND(F498*$B$504,2))</f>
        <v>2553.33</v>
      </c>
      <c r="G522" s="511">
        <f>IF(G498="-","-",ROUND(G498*$B$504,2))</f>
        <v>2625.77</v>
      </c>
      <c r="H522" s="461">
        <f>H523</f>
        <v>2730.08</v>
      </c>
      <c r="T522" s="135" t="s">
        <v>353</v>
      </c>
      <c r="U522" s="37">
        <v>2792.04</v>
      </c>
      <c r="V522" s="37">
        <v>3005.83</v>
      </c>
      <c r="W522" s="37">
        <v>3217.36</v>
      </c>
      <c r="X522" s="37">
        <v>3417.76</v>
      </c>
      <c r="Y522" s="37">
        <v>3612.57</v>
      </c>
      <c r="Z522" s="37">
        <v>3815.74</v>
      </c>
    </row>
    <row r="523" spans="1:27">
      <c r="A523" s="155" t="str">
        <f t="shared" si="459"/>
        <v>EG</v>
      </c>
      <c r="B523" s="75">
        <f t="shared" si="460"/>
        <v>2</v>
      </c>
      <c r="C523" s="37">
        <v>2122.6</v>
      </c>
      <c r="D523" s="37">
        <v>2316.9699999999998</v>
      </c>
      <c r="E523" s="37">
        <v>2366.14</v>
      </c>
      <c r="F523" s="37">
        <v>2432.35</v>
      </c>
      <c r="G523" s="37">
        <v>2577.86</v>
      </c>
      <c r="H523" s="461">
        <v>2730.08</v>
      </c>
      <c r="T523" s="135" t="s">
        <v>143</v>
      </c>
      <c r="U523" s="37">
        <v>2719.99</v>
      </c>
      <c r="V523" s="37">
        <v>2926.47</v>
      </c>
      <c r="W523" s="37">
        <v>3125.09</v>
      </c>
      <c r="X523" s="37">
        <v>3323.66</v>
      </c>
      <c r="Y523" s="37">
        <v>3472.64</v>
      </c>
      <c r="Z523" s="37">
        <v>3694.86</v>
      </c>
    </row>
    <row r="524" spans="1:27">
      <c r="A524" s="155" t="str">
        <f t="shared" si="459"/>
        <v>EG</v>
      </c>
      <c r="B524" s="75">
        <f t="shared" si="460"/>
        <v>1</v>
      </c>
      <c r="C524" s="37" t="s">
        <v>15</v>
      </c>
      <c r="D524" s="37">
        <v>1903.09</v>
      </c>
      <c r="E524" s="37">
        <v>1935.39</v>
      </c>
      <c r="F524" s="37">
        <v>1975.78</v>
      </c>
      <c r="G524" s="37">
        <v>2013.43</v>
      </c>
      <c r="H524" s="37">
        <v>2110.33</v>
      </c>
      <c r="T524" s="135" t="s">
        <v>146</v>
      </c>
      <c r="U524" s="37">
        <v>2592.92</v>
      </c>
      <c r="V524" s="37">
        <v>2796.13</v>
      </c>
      <c r="W524" s="37">
        <v>2969.92</v>
      </c>
      <c r="X524" s="37">
        <v>3087.85</v>
      </c>
      <c r="Y524" s="37">
        <v>3199.56</v>
      </c>
      <c r="Z524" s="37">
        <v>3373.59</v>
      </c>
    </row>
    <row r="525" spans="1:27">
      <c r="C525" s="524" t="str">
        <f>""</f>
        <v/>
      </c>
      <c r="D525" s="524" t="str">
        <f>""</f>
        <v/>
      </c>
      <c r="E525" s="524" t="str">
        <f>""</f>
        <v/>
      </c>
      <c r="F525" s="524" t="str">
        <f>""</f>
        <v/>
      </c>
      <c r="G525" s="524" t="str">
        <f>""</f>
        <v/>
      </c>
      <c r="H525" s="524" t="str">
        <f>""</f>
        <v/>
      </c>
      <c r="T525" s="135" t="s">
        <v>147</v>
      </c>
      <c r="U525" s="37">
        <v>2436.27</v>
      </c>
      <c r="V525" s="37">
        <v>2631.05</v>
      </c>
      <c r="W525" s="37">
        <v>2798</v>
      </c>
      <c r="X525" s="37">
        <v>2951.3</v>
      </c>
      <c r="Y525" s="37">
        <v>3021.43</v>
      </c>
      <c r="Z525" s="37">
        <v>3105.22</v>
      </c>
    </row>
    <row r="526" spans="1:27">
      <c r="C526" s="524" t="str">
        <f>""</f>
        <v/>
      </c>
      <c r="D526" s="524" t="str">
        <f>""</f>
        <v/>
      </c>
      <c r="E526" s="524" t="str">
        <f>""</f>
        <v/>
      </c>
      <c r="F526" s="524" t="str">
        <f>""</f>
        <v/>
      </c>
      <c r="G526" s="524" t="str">
        <f>""</f>
        <v/>
      </c>
      <c r="H526" s="524" t="str">
        <f>""</f>
        <v/>
      </c>
      <c r="T526" s="135" t="s">
        <v>148</v>
      </c>
      <c r="U526" s="37">
        <v>2258.4899999999998</v>
      </c>
      <c r="V526" s="37">
        <v>2369.54</v>
      </c>
      <c r="W526" s="37">
        <v>2451.65</v>
      </c>
      <c r="X526" s="37">
        <v>2541.48</v>
      </c>
      <c r="Y526" s="37">
        <v>2640.77</v>
      </c>
      <c r="Z526" s="37">
        <v>2740.09</v>
      </c>
    </row>
    <row r="528" spans="1:27">
      <c r="B528" s="512" t="s">
        <v>493</v>
      </c>
      <c r="C528" s="247"/>
      <c r="T528" s="523" t="str">
        <f>B528</f>
        <v>1,0106</v>
      </c>
      <c r="U528" s="248"/>
    </row>
    <row r="529" spans="1:35">
      <c r="A529" s="155" t="s">
        <v>488</v>
      </c>
      <c r="B529" s="75" t="s">
        <v>489</v>
      </c>
      <c r="C529" s="75" t="str">
        <f t="shared" ref="C529:H529" si="461">C433</f>
        <v>Stufe 1</v>
      </c>
      <c r="D529" s="75" t="str">
        <f t="shared" si="461"/>
        <v>Stufe 2</v>
      </c>
      <c r="E529" s="75" t="str">
        <f t="shared" si="461"/>
        <v>Stufe 3</v>
      </c>
      <c r="F529" s="75" t="str">
        <f t="shared" si="461"/>
        <v>Stufe 4</v>
      </c>
      <c r="G529" s="75" t="str">
        <f t="shared" si="461"/>
        <v>Stufe 5</v>
      </c>
      <c r="H529" s="75" t="str">
        <f t="shared" si="461"/>
        <v>Stufe 6</v>
      </c>
      <c r="S529" s="155" t="str">
        <f>A529</f>
        <v>ab Mrz 2020</v>
      </c>
      <c r="T529" s="75">
        <v>2020</v>
      </c>
      <c r="U529" s="75" t="str">
        <f t="shared" ref="U529:Z529" si="462">C145</f>
        <v>Stufe 1</v>
      </c>
      <c r="V529" s="75" t="str">
        <f t="shared" si="462"/>
        <v>Stufe 2</v>
      </c>
      <c r="W529" s="75" t="str">
        <f t="shared" si="462"/>
        <v>Stufe 3</v>
      </c>
      <c r="X529" s="75" t="str">
        <f t="shared" si="462"/>
        <v>Stufe 4</v>
      </c>
      <c r="Y529" s="75" t="str">
        <f t="shared" si="462"/>
        <v>Stufe 5</v>
      </c>
      <c r="Z529" s="75" t="str">
        <f t="shared" si="462"/>
        <v>Stufe 6</v>
      </c>
    </row>
    <row r="530" spans="1:35">
      <c r="A530" s="155" t="str">
        <f>$A$410</f>
        <v>EG</v>
      </c>
      <c r="B530" s="513" t="str">
        <f>B506</f>
        <v>15Ü</v>
      </c>
      <c r="C530" s="37" t="str">
        <f t="shared" ref="C530:H530" si="463">IF(C506="-","-",ROUND(C506*$B$528,2))</f>
        <v>-</v>
      </c>
      <c r="D530" s="511">
        <f t="shared" si="463"/>
        <v>6006.83</v>
      </c>
      <c r="E530" s="511">
        <f t="shared" si="463"/>
        <v>6658.25</v>
      </c>
      <c r="F530" s="511">
        <f t="shared" si="463"/>
        <v>7275.39</v>
      </c>
      <c r="G530" s="511">
        <f t="shared" si="463"/>
        <v>7686.85</v>
      </c>
      <c r="H530" s="511">
        <f t="shared" si="463"/>
        <v>7782.82</v>
      </c>
      <c r="T530" s="135" t="s">
        <v>338</v>
      </c>
      <c r="U530" s="37">
        <v>3900</v>
      </c>
      <c r="V530" s="37">
        <v>4004.3</v>
      </c>
      <c r="W530" s="37">
        <v>4521.0200000000004</v>
      </c>
      <c r="X530" s="37">
        <v>4908.5200000000004</v>
      </c>
      <c r="Y530" s="37">
        <v>5489.79</v>
      </c>
      <c r="Z530" s="37">
        <v>5845.01</v>
      </c>
      <c r="AD530" s="629">
        <v>5527.29</v>
      </c>
      <c r="AE530" s="156">
        <v>6141.42</v>
      </c>
      <c r="AF530" s="156">
        <v>6731</v>
      </c>
      <c r="AG530" s="156">
        <v>7279.65</v>
      </c>
      <c r="AH530" s="156">
        <v>7787.35</v>
      </c>
      <c r="AI530" s="156">
        <v>8254.09</v>
      </c>
    </row>
    <row r="531" spans="1:35">
      <c r="A531" s="155" t="str">
        <f t="shared" ref="A531:A548" si="464">$A$410</f>
        <v>EG</v>
      </c>
      <c r="B531" s="75">
        <f t="shared" ref="B531:B548" si="465">B507</f>
        <v>15</v>
      </c>
      <c r="C531" s="37">
        <v>4860.3100000000004</v>
      </c>
      <c r="D531" s="37">
        <v>5190.8100000000004</v>
      </c>
      <c r="E531" s="37">
        <v>5559.47</v>
      </c>
      <c r="F531" s="37">
        <v>6062.74</v>
      </c>
      <c r="G531" s="37">
        <v>6580.45</v>
      </c>
      <c r="H531" s="37">
        <v>6921.06</v>
      </c>
      <c r="T531" s="135" t="s">
        <v>339</v>
      </c>
      <c r="U531" s="37">
        <v>3580.74</v>
      </c>
      <c r="V531" s="37">
        <v>3842.85</v>
      </c>
      <c r="W531" s="37">
        <v>4262.6499999999996</v>
      </c>
      <c r="X531" s="37">
        <v>4521.0200000000004</v>
      </c>
      <c r="Y531" s="37">
        <v>5037.68</v>
      </c>
      <c r="Z531" s="37">
        <v>5341.24</v>
      </c>
      <c r="AD531" s="156">
        <v>5158.82</v>
      </c>
      <c r="AE531" s="156">
        <v>5682.88</v>
      </c>
      <c r="AF531" s="156">
        <v>6190.56</v>
      </c>
      <c r="AG531" s="156">
        <v>6681.9</v>
      </c>
      <c r="AH531" s="156">
        <v>7148.64</v>
      </c>
      <c r="AI531" s="156">
        <v>7574.45</v>
      </c>
    </row>
    <row r="532" spans="1:35">
      <c r="A532" s="155" t="str">
        <f t="shared" si="464"/>
        <v>EG</v>
      </c>
      <c r="B532" s="75">
        <f t="shared" si="465"/>
        <v>14</v>
      </c>
      <c r="C532" s="37">
        <v>4401.04</v>
      </c>
      <c r="D532" s="37">
        <v>4700.3100000000004</v>
      </c>
      <c r="E532" s="37">
        <v>5091.13</v>
      </c>
      <c r="F532" s="37">
        <v>5524.82</v>
      </c>
      <c r="G532" s="37">
        <v>6008.27</v>
      </c>
      <c r="H532" s="37">
        <v>6355.34</v>
      </c>
      <c r="T532" s="135" t="s">
        <v>340</v>
      </c>
      <c r="U532" s="37" t="s">
        <v>15</v>
      </c>
      <c r="V532" s="37" t="s">
        <v>15</v>
      </c>
      <c r="W532" s="37">
        <v>4191.54</v>
      </c>
      <c r="X532" s="37">
        <v>4650.1000000000004</v>
      </c>
      <c r="Y532" s="37">
        <v>4934.2700000000004</v>
      </c>
      <c r="Z532" s="37" t="s">
        <v>15</v>
      </c>
      <c r="AD532" s="156">
        <v>4831.2700000000004</v>
      </c>
      <c r="AE532" s="156">
        <v>5322.61</v>
      </c>
      <c r="AF532" s="156">
        <v>5797.51</v>
      </c>
      <c r="AG532" s="156">
        <v>6264.25</v>
      </c>
      <c r="AH532" s="156">
        <v>6624.55</v>
      </c>
      <c r="AI532" s="156">
        <v>6919.37</v>
      </c>
    </row>
    <row r="533" spans="1:35">
      <c r="A533" s="155" t="str">
        <f t="shared" si="464"/>
        <v>EG</v>
      </c>
      <c r="B533" s="75">
        <f t="shared" si="465"/>
        <v>13</v>
      </c>
      <c r="C533" s="37">
        <v>4056.62</v>
      </c>
      <c r="D533" s="37">
        <v>4384.6099999999997</v>
      </c>
      <c r="E533" s="37">
        <v>4757.99</v>
      </c>
      <c r="F533" s="37">
        <v>5163.37</v>
      </c>
      <c r="G533" s="37">
        <v>5640.38</v>
      </c>
      <c r="H533" s="37">
        <v>5899.26</v>
      </c>
      <c r="T533" s="135" t="s">
        <v>341</v>
      </c>
      <c r="U533" s="37">
        <v>3502.52</v>
      </c>
      <c r="V533" s="37">
        <v>3758.9</v>
      </c>
      <c r="W533" s="37">
        <v>4043.07</v>
      </c>
      <c r="X533" s="37">
        <v>4391.82</v>
      </c>
      <c r="Y533" s="37">
        <v>4779.34</v>
      </c>
      <c r="Z533" s="37">
        <v>5011.8500000000004</v>
      </c>
      <c r="AD533" s="156">
        <v>4503.72</v>
      </c>
      <c r="AE533" s="156">
        <v>4937.74</v>
      </c>
      <c r="AF533" s="156">
        <v>5371.7</v>
      </c>
      <c r="AG533" s="156">
        <v>5740.2</v>
      </c>
      <c r="AH533" s="156">
        <v>6100.51</v>
      </c>
      <c r="AI533" s="156">
        <v>6354.18</v>
      </c>
    </row>
    <row r="534" spans="1:35">
      <c r="A534" s="155" t="str">
        <f t="shared" si="464"/>
        <v>EG</v>
      </c>
      <c r="B534" s="75">
        <f t="shared" si="465"/>
        <v>12</v>
      </c>
      <c r="C534" s="37">
        <v>3635.65</v>
      </c>
      <c r="D534" s="37">
        <v>4013.07</v>
      </c>
      <c r="E534" s="37">
        <v>4454.13</v>
      </c>
      <c r="F534" s="37">
        <v>4943.53</v>
      </c>
      <c r="G534" s="37">
        <v>5517.78</v>
      </c>
      <c r="H534" s="37">
        <v>5790.26</v>
      </c>
      <c r="T534" s="135" t="s">
        <v>342</v>
      </c>
      <c r="U534" s="37">
        <v>3370.09</v>
      </c>
      <c r="V534" s="37">
        <v>3616.78</v>
      </c>
      <c r="W534" s="37">
        <v>3875.16</v>
      </c>
      <c r="X534" s="37">
        <v>4172.25</v>
      </c>
      <c r="Y534" s="37">
        <v>4650.18</v>
      </c>
      <c r="Z534" s="37">
        <v>4856.83</v>
      </c>
      <c r="AD534" s="156">
        <v>4217.1000000000004</v>
      </c>
      <c r="AE534" s="156">
        <v>4618.3500000000004</v>
      </c>
      <c r="AF534" s="156">
        <v>4970.45</v>
      </c>
      <c r="AG534" s="156">
        <v>5273.49</v>
      </c>
      <c r="AH534" s="156">
        <v>5527.29</v>
      </c>
      <c r="AI534" s="156">
        <v>5740.2</v>
      </c>
    </row>
    <row r="535" spans="1:35">
      <c r="A535" s="155" t="str">
        <f t="shared" si="464"/>
        <v>EG</v>
      </c>
      <c r="B535" s="75">
        <f t="shared" si="465"/>
        <v>11</v>
      </c>
      <c r="C535" s="37">
        <v>3508.11</v>
      </c>
      <c r="D535" s="37">
        <v>3856.11</v>
      </c>
      <c r="E535" s="37">
        <v>4182.29</v>
      </c>
      <c r="F535" s="37">
        <v>4536.17</v>
      </c>
      <c r="G535" s="37">
        <v>5020.49</v>
      </c>
      <c r="H535" s="37">
        <v>5292.98</v>
      </c>
      <c r="T535" s="135" t="s">
        <v>343</v>
      </c>
      <c r="U535" s="37">
        <v>3335.53</v>
      </c>
      <c r="V535" s="37">
        <v>3579.69</v>
      </c>
      <c r="W535" s="37">
        <v>3866.8</v>
      </c>
      <c r="X535" s="37">
        <v>4158.8599999999997</v>
      </c>
      <c r="Y535" s="37">
        <v>4481.8100000000004</v>
      </c>
      <c r="Z535" s="37">
        <v>4707.8500000000004</v>
      </c>
      <c r="AD535" s="156">
        <v>3930.53</v>
      </c>
      <c r="AE535" s="156">
        <v>4307.22</v>
      </c>
      <c r="AF535" s="156">
        <v>4675.67</v>
      </c>
      <c r="AG535" s="156">
        <v>4921.32</v>
      </c>
      <c r="AH535" s="156">
        <v>5093.28</v>
      </c>
      <c r="AI535" s="156">
        <v>5216.09</v>
      </c>
    </row>
    <row r="536" spans="1:35">
      <c r="A536" s="155" t="str">
        <f t="shared" si="464"/>
        <v>EG</v>
      </c>
      <c r="B536" s="75">
        <f t="shared" si="465"/>
        <v>10</v>
      </c>
      <c r="C536" s="37">
        <v>3380.51</v>
      </c>
      <c r="D536" s="37">
        <v>3655.13</v>
      </c>
      <c r="E536" s="37">
        <v>3964.32</v>
      </c>
      <c r="F536" s="37">
        <v>4299.6499999999996</v>
      </c>
      <c r="G536" s="37">
        <v>4673.08</v>
      </c>
      <c r="H536" s="37">
        <v>4795.6899999999996</v>
      </c>
      <c r="T536" s="135" t="s">
        <v>344</v>
      </c>
      <c r="U536" s="37">
        <v>3304.81</v>
      </c>
      <c r="V536" s="37">
        <v>3542.48</v>
      </c>
      <c r="W536" s="37">
        <v>3864.9</v>
      </c>
      <c r="X536" s="37">
        <v>4123.25</v>
      </c>
      <c r="Y536" s="37">
        <v>4446.16</v>
      </c>
      <c r="Z536" s="37">
        <v>4607.62</v>
      </c>
      <c r="AD536" s="156">
        <v>3684.86</v>
      </c>
      <c r="AE536" s="156">
        <v>4012.41</v>
      </c>
      <c r="AF536" s="156">
        <v>4331.8</v>
      </c>
      <c r="AG536" s="156">
        <v>4552.87</v>
      </c>
      <c r="AH536" s="156">
        <v>4634.75</v>
      </c>
      <c r="AI536" s="156">
        <v>4757.58</v>
      </c>
    </row>
    <row r="537" spans="1:35">
      <c r="A537" s="155" t="str">
        <f t="shared" si="464"/>
        <v>EG</v>
      </c>
      <c r="B537" s="75" t="str">
        <f t="shared" si="465"/>
        <v>9c</v>
      </c>
      <c r="C537" s="37">
        <v>3280.42</v>
      </c>
      <c r="D537" s="37">
        <v>3526.45</v>
      </c>
      <c r="E537" s="37">
        <v>3790.94</v>
      </c>
      <c r="F537" s="37">
        <v>4075.26</v>
      </c>
      <c r="G537" s="37">
        <v>4380.8999999999996</v>
      </c>
      <c r="H537" s="37">
        <v>4600</v>
      </c>
      <c r="T537" s="135" t="s">
        <v>345</v>
      </c>
      <c r="U537" s="37">
        <v>3251.68</v>
      </c>
      <c r="V537" s="37">
        <v>3489.7</v>
      </c>
      <c r="W537" s="37">
        <v>3810.56</v>
      </c>
      <c r="X537" s="37">
        <v>4068.88</v>
      </c>
      <c r="Y537" s="37">
        <v>4391.82</v>
      </c>
      <c r="Z537" s="37">
        <v>4553.28</v>
      </c>
      <c r="AD537" s="156">
        <v>3439.24</v>
      </c>
      <c r="AE537" s="156">
        <v>3652.11</v>
      </c>
      <c r="AF537" s="156">
        <v>3832.26</v>
      </c>
      <c r="AG537" s="156">
        <v>4004.24</v>
      </c>
      <c r="AH537" s="156">
        <v>4176.1899999999996</v>
      </c>
      <c r="AI537" s="156">
        <v>4299.03</v>
      </c>
    </row>
    <row r="538" spans="1:35">
      <c r="A538" s="155" t="str">
        <f t="shared" si="464"/>
        <v>EG</v>
      </c>
      <c r="B538" s="75" t="str">
        <f t="shared" si="465"/>
        <v>9b</v>
      </c>
      <c r="C538" s="37">
        <v>3074.7</v>
      </c>
      <c r="D538" s="37">
        <v>3305.3</v>
      </c>
      <c r="E538" s="37">
        <v>3450</v>
      </c>
      <c r="F538" s="37">
        <v>3874</v>
      </c>
      <c r="G538" s="37">
        <v>4124.25</v>
      </c>
      <c r="H538" s="37">
        <v>4414.13</v>
      </c>
      <c r="T538" s="135" t="s">
        <v>346</v>
      </c>
      <c r="U538" s="37">
        <v>3242.48</v>
      </c>
      <c r="V538" s="37">
        <v>3479.83</v>
      </c>
      <c r="W538" s="37">
        <v>3787.46</v>
      </c>
      <c r="X538" s="37">
        <v>4058.71</v>
      </c>
      <c r="Y538" s="37">
        <v>4394.57</v>
      </c>
      <c r="Z538" s="463">
        <f>IF(Z514="-","-",Z539+AA538)</f>
        <v>4626.6899999999996</v>
      </c>
      <c r="AA538" s="460">
        <v>90.03</v>
      </c>
      <c r="AD538" s="156">
        <v>3193.56</v>
      </c>
      <c r="AE538" s="156">
        <v>3390.07</v>
      </c>
      <c r="AF538" s="156">
        <v>3562.04</v>
      </c>
      <c r="AG538" s="156">
        <v>3684.86</v>
      </c>
      <c r="AH538" s="156">
        <v>3766.76</v>
      </c>
      <c r="AI538" s="156">
        <v>3848.65</v>
      </c>
    </row>
    <row r="539" spans="1:35">
      <c r="A539" s="155" t="str">
        <f t="shared" si="464"/>
        <v>EG</v>
      </c>
      <c r="B539" s="75" t="str">
        <f t="shared" si="465"/>
        <v>9a</v>
      </c>
      <c r="C539" s="37">
        <v>2964.89</v>
      </c>
      <c r="D539" s="37">
        <v>3163.55</v>
      </c>
      <c r="E539" s="37">
        <v>3356.89</v>
      </c>
      <c r="F539" s="37">
        <v>3784</v>
      </c>
      <c r="G539" s="37">
        <v>3879.97</v>
      </c>
      <c r="H539" s="37">
        <v>4125</v>
      </c>
      <c r="T539" s="135" t="s">
        <v>347</v>
      </c>
      <c r="U539" s="37">
        <v>3242.48</v>
      </c>
      <c r="V539" s="37">
        <v>3479.83</v>
      </c>
      <c r="W539" s="37">
        <v>3787.46</v>
      </c>
      <c r="X539" s="37">
        <v>4058.71</v>
      </c>
      <c r="Y539" s="37">
        <v>4394.57</v>
      </c>
      <c r="Z539" s="37">
        <v>4536.66</v>
      </c>
      <c r="AA539" s="459"/>
      <c r="AD539" s="156">
        <v>2988.82</v>
      </c>
      <c r="AE539" s="156">
        <v>3168.97</v>
      </c>
      <c r="AF539" s="156">
        <v>3332.76</v>
      </c>
      <c r="AG539" s="156">
        <v>3447.39</v>
      </c>
      <c r="AH539" s="156">
        <v>3512.91</v>
      </c>
      <c r="AI539" s="156">
        <v>3570.23</v>
      </c>
    </row>
    <row r="540" spans="1:35">
      <c r="A540" s="155" t="str">
        <f t="shared" si="464"/>
        <v>EG</v>
      </c>
      <c r="B540" s="75">
        <f t="shared" si="465"/>
        <v>8</v>
      </c>
      <c r="C540" s="37">
        <v>2808.91</v>
      </c>
      <c r="D540" s="37">
        <v>2999.92</v>
      </c>
      <c r="E540" s="37">
        <v>3132.23</v>
      </c>
      <c r="F540" s="37">
        <v>3264.31</v>
      </c>
      <c r="G540" s="37">
        <v>3405.98</v>
      </c>
      <c r="H540" s="37">
        <v>3474.11</v>
      </c>
      <c r="T540" s="135" t="s">
        <v>348</v>
      </c>
      <c r="U540" s="37">
        <v>3196.36</v>
      </c>
      <c r="V540" s="37">
        <v>3430.33</v>
      </c>
      <c r="W540" s="37">
        <v>3594.4</v>
      </c>
      <c r="X540" s="37">
        <v>4007.75</v>
      </c>
      <c r="Y540" s="37">
        <v>4330.68</v>
      </c>
      <c r="Z540" s="463">
        <f>IF(Z516="-","-",Z541+AA540)</f>
        <v>4603.24</v>
      </c>
      <c r="AA540" s="460">
        <v>78.8</v>
      </c>
      <c r="AD540" s="156">
        <v>2784.13</v>
      </c>
      <c r="AE540" s="156">
        <v>2956.08</v>
      </c>
      <c r="AF540" s="156">
        <v>3103.5</v>
      </c>
      <c r="AG540" s="156">
        <v>3209.93</v>
      </c>
      <c r="AH540" s="156">
        <v>3275.44</v>
      </c>
      <c r="AI540" s="156">
        <v>3381.88</v>
      </c>
    </row>
    <row r="541" spans="1:35">
      <c r="A541" s="155" t="str">
        <f t="shared" si="464"/>
        <v>EG</v>
      </c>
      <c r="B541" s="75">
        <f t="shared" si="465"/>
        <v>7</v>
      </c>
      <c r="C541" s="37">
        <v>2635.53</v>
      </c>
      <c r="D541" s="37">
        <v>2855.6</v>
      </c>
      <c r="E541" s="37">
        <v>2986.7</v>
      </c>
      <c r="F541" s="37">
        <v>3119</v>
      </c>
      <c r="G541" s="37">
        <v>3243.78</v>
      </c>
      <c r="H541" s="37">
        <v>3310.79</v>
      </c>
      <c r="T541" s="135" t="s">
        <v>349</v>
      </c>
      <c r="U541" s="37">
        <v>3196.36</v>
      </c>
      <c r="V541" s="37">
        <v>3430.33</v>
      </c>
      <c r="W541" s="37">
        <v>3594.4</v>
      </c>
      <c r="X541" s="37">
        <v>4007.75</v>
      </c>
      <c r="Y541" s="37">
        <v>4330.68</v>
      </c>
      <c r="Z541" s="37">
        <v>4524.4399999999996</v>
      </c>
      <c r="AD541" s="156">
        <v>2620.3200000000002</v>
      </c>
      <c r="AE541" s="156">
        <v>2784.13</v>
      </c>
      <c r="AF541" s="156">
        <v>2923.32</v>
      </c>
      <c r="AG541" s="156">
        <v>3021.58</v>
      </c>
      <c r="AH541" s="156">
        <v>3087.1</v>
      </c>
      <c r="AI541" s="156">
        <v>3242.67</v>
      </c>
    </row>
    <row r="542" spans="1:35">
      <c r="A542" s="155" t="str">
        <f t="shared" si="464"/>
        <v>EG</v>
      </c>
      <c r="B542" s="75">
        <f t="shared" si="465"/>
        <v>6</v>
      </c>
      <c r="C542" s="37">
        <v>2586</v>
      </c>
      <c r="D542" s="37">
        <v>2767.11</v>
      </c>
      <c r="E542" s="37">
        <v>2894.11</v>
      </c>
      <c r="F542" s="37">
        <v>3019.78</v>
      </c>
      <c r="G542" s="37">
        <v>3143.22</v>
      </c>
      <c r="H542" s="37">
        <v>3206.1</v>
      </c>
      <c r="T542" s="135" t="s">
        <v>350</v>
      </c>
      <c r="U542" s="37">
        <v>3134.84</v>
      </c>
      <c r="V542" s="37">
        <v>3364.31</v>
      </c>
      <c r="W542" s="37">
        <v>3527.32</v>
      </c>
      <c r="X542" s="37">
        <v>3939.73</v>
      </c>
      <c r="Y542" s="37">
        <v>4262.6499999999996</v>
      </c>
      <c r="Z542" s="37">
        <v>4456.41</v>
      </c>
      <c r="AD542" s="156">
        <v>2456.59</v>
      </c>
      <c r="AE542" s="156">
        <v>2587.6</v>
      </c>
      <c r="AF542" s="156">
        <v>2694.03</v>
      </c>
      <c r="AG542" s="156">
        <v>2784.13</v>
      </c>
      <c r="AH542" s="156">
        <v>2841.45</v>
      </c>
      <c r="AI542" s="156">
        <v>2964.25</v>
      </c>
    </row>
    <row r="543" spans="1:35">
      <c r="A543" s="155" t="str">
        <f t="shared" si="464"/>
        <v>EG</v>
      </c>
      <c r="B543" s="75">
        <f t="shared" si="465"/>
        <v>5</v>
      </c>
      <c r="C543" s="37">
        <v>2480.7399999999998</v>
      </c>
      <c r="D543" s="37">
        <v>2656.42</v>
      </c>
      <c r="E543" s="37">
        <v>2775.08</v>
      </c>
      <c r="F543" s="37">
        <v>2900.74</v>
      </c>
      <c r="G543" s="37">
        <v>3017.5</v>
      </c>
      <c r="H543" s="37">
        <v>3077.85</v>
      </c>
      <c r="T543" s="135" t="s">
        <v>351</v>
      </c>
      <c r="U543" s="37">
        <v>2914.47</v>
      </c>
      <c r="V543" s="37">
        <v>3215.62</v>
      </c>
      <c r="W543" s="37">
        <v>3366.21</v>
      </c>
      <c r="X543" s="37">
        <v>3812.71</v>
      </c>
      <c r="Y543" s="37">
        <v>4174.6099999999997</v>
      </c>
      <c r="Z543" s="37">
        <v>4471.8500000000004</v>
      </c>
      <c r="AD543" s="156">
        <v>2292.7800000000002</v>
      </c>
      <c r="AE543" s="156">
        <v>2432</v>
      </c>
      <c r="AF543" s="156">
        <v>2554.85</v>
      </c>
      <c r="AG543" s="156">
        <v>2644.93</v>
      </c>
      <c r="AH543" s="156">
        <v>2702.24</v>
      </c>
      <c r="AI543" s="156">
        <v>2734.98</v>
      </c>
    </row>
    <row r="544" spans="1:35">
      <c r="A544" s="155" t="str">
        <f t="shared" si="464"/>
        <v>EG</v>
      </c>
      <c r="B544" s="75">
        <f t="shared" si="465"/>
        <v>4</v>
      </c>
      <c r="C544" s="37">
        <v>2363.0700000000002</v>
      </c>
      <c r="D544" s="37">
        <v>2540.85</v>
      </c>
      <c r="E544" s="37">
        <v>2690.02</v>
      </c>
      <c r="F544" s="37">
        <v>2782.88</v>
      </c>
      <c r="G544" s="37">
        <v>2875.73</v>
      </c>
      <c r="H544" s="37">
        <v>2930.1</v>
      </c>
      <c r="T544" s="135" t="s">
        <v>141</v>
      </c>
      <c r="U544" s="37">
        <v>2892.66</v>
      </c>
      <c r="V544" s="37">
        <v>3104.4</v>
      </c>
      <c r="W544" s="37">
        <v>3351.85</v>
      </c>
      <c r="X544" s="37">
        <v>3711.78</v>
      </c>
      <c r="Y544" s="37">
        <v>4049.22</v>
      </c>
      <c r="Z544" s="37">
        <v>4307.92</v>
      </c>
      <c r="AD544" s="156"/>
      <c r="AE544" s="156"/>
      <c r="AF544" s="156">
        <v>2047.14</v>
      </c>
      <c r="AG544" s="156"/>
      <c r="AH544" s="156"/>
      <c r="AI544" s="156"/>
    </row>
    <row r="545" spans="1:35">
      <c r="A545" s="155" t="str">
        <f t="shared" si="464"/>
        <v>EG</v>
      </c>
      <c r="B545" s="75">
        <f t="shared" si="465"/>
        <v>3</v>
      </c>
      <c r="C545" s="37">
        <v>2325.89</v>
      </c>
      <c r="D545" s="37">
        <v>2517.08</v>
      </c>
      <c r="E545" s="37">
        <v>2563.61</v>
      </c>
      <c r="F545" s="37">
        <v>2669.96</v>
      </c>
      <c r="G545" s="37">
        <v>2749.76</v>
      </c>
      <c r="H545" s="37">
        <v>2822.87</v>
      </c>
      <c r="T545" s="135" t="s">
        <v>352</v>
      </c>
      <c r="U545" s="37">
        <v>2892.66</v>
      </c>
      <c r="V545" s="37">
        <v>3104.4</v>
      </c>
      <c r="W545" s="37">
        <v>3351.85</v>
      </c>
      <c r="X545" s="37">
        <v>3711.78</v>
      </c>
      <c r="Y545" s="37">
        <v>4049.22</v>
      </c>
      <c r="Z545" s="37">
        <v>4307.92</v>
      </c>
    </row>
    <row r="546" spans="1:35">
      <c r="A546" s="155" t="str">
        <f t="shared" si="464"/>
        <v>EG</v>
      </c>
      <c r="B546" s="513" t="str">
        <f t="shared" si="465"/>
        <v>2Ü</v>
      </c>
      <c r="C546" s="511">
        <f>IF(C522="-","-",ROUND(C522*$B$528,2))</f>
        <v>2171.61</v>
      </c>
      <c r="D546" s="511">
        <f>IF(D522="-","-",ROUND(D522*$B$528,2))</f>
        <v>2393.9899999999998</v>
      </c>
      <c r="E546" s="511">
        <f>IF(E522="-","-",ROUND(E522*$B$528,2))</f>
        <v>2473.88</v>
      </c>
      <c r="F546" s="511">
        <f>IF(F522="-","-",ROUND(F522*$B$528,2))</f>
        <v>2580.4</v>
      </c>
      <c r="G546" s="511">
        <f>IF(G522="-","-",ROUND(G522*$B$528,2))</f>
        <v>2653.6</v>
      </c>
      <c r="H546" s="461">
        <f>H547</f>
        <v>2760.98</v>
      </c>
      <c r="T546" s="135" t="s">
        <v>353</v>
      </c>
      <c r="U546" s="37">
        <v>2829.77</v>
      </c>
      <c r="V546" s="37">
        <v>3036.91</v>
      </c>
      <c r="W546" s="37">
        <v>3250.62</v>
      </c>
      <c r="X546" s="37">
        <v>3453.09</v>
      </c>
      <c r="Y546" s="37">
        <v>3649.92</v>
      </c>
      <c r="Z546" s="37">
        <v>3855.19</v>
      </c>
    </row>
    <row r="547" spans="1:35">
      <c r="A547" s="155" t="str">
        <f t="shared" si="464"/>
        <v>EG</v>
      </c>
      <c r="B547" s="75">
        <f t="shared" si="465"/>
        <v>2</v>
      </c>
      <c r="C547" s="37">
        <v>2152.5100000000002</v>
      </c>
      <c r="D547" s="37">
        <v>2346</v>
      </c>
      <c r="E547" s="37">
        <v>2392.92</v>
      </c>
      <c r="F547" s="37">
        <v>2459.87</v>
      </c>
      <c r="G547" s="37">
        <v>2607.0300000000002</v>
      </c>
      <c r="H547" s="461">
        <v>2760.98</v>
      </c>
      <c r="T547" s="135" t="s">
        <v>143</v>
      </c>
      <c r="U547" s="37">
        <v>2755.05</v>
      </c>
      <c r="V547" s="37">
        <v>2956.72</v>
      </c>
      <c r="W547" s="37">
        <v>3157.39</v>
      </c>
      <c r="X547" s="37">
        <v>3358.02</v>
      </c>
      <c r="Y547" s="37">
        <v>3508.53</v>
      </c>
      <c r="Z547" s="37">
        <v>3733.06</v>
      </c>
    </row>
    <row r="548" spans="1:35">
      <c r="A548" s="155" t="str">
        <f t="shared" si="464"/>
        <v>EG</v>
      </c>
      <c r="B548" s="75">
        <f t="shared" si="465"/>
        <v>1</v>
      </c>
      <c r="C548" s="37" t="s">
        <v>15</v>
      </c>
      <c r="D548" s="37">
        <v>1929.88</v>
      </c>
      <c r="E548" s="37">
        <v>1962.63</v>
      </c>
      <c r="F548" s="37">
        <v>2003.59</v>
      </c>
      <c r="G548" s="37">
        <v>2041.77</v>
      </c>
      <c r="H548" s="37">
        <v>2140.0500000000002</v>
      </c>
      <c r="T548" s="135" t="s">
        <v>146</v>
      </c>
      <c r="U548" s="37">
        <v>2632.35</v>
      </c>
      <c r="V548" s="37">
        <v>2825.04</v>
      </c>
      <c r="W548" s="37">
        <v>3000.62</v>
      </c>
      <c r="X548" s="37">
        <v>3119.76</v>
      </c>
      <c r="Y548" s="37">
        <v>3232.63</v>
      </c>
      <c r="Z548" s="37">
        <v>3408.47</v>
      </c>
    </row>
    <row r="549" spans="1:35">
      <c r="C549" s="524" t="str">
        <f>""</f>
        <v/>
      </c>
      <c r="D549" s="524" t="str">
        <f>""</f>
        <v/>
      </c>
      <c r="E549" s="524" t="str">
        <f>""</f>
        <v/>
      </c>
      <c r="F549" s="524" t="str">
        <f>""</f>
        <v/>
      </c>
      <c r="G549" s="524" t="str">
        <f>""</f>
        <v/>
      </c>
      <c r="H549" s="524" t="str">
        <f>""</f>
        <v/>
      </c>
      <c r="T549" s="135" t="s">
        <v>147</v>
      </c>
      <c r="U549" s="37">
        <v>2476.9299999999998</v>
      </c>
      <c r="V549" s="37">
        <v>2658.24</v>
      </c>
      <c r="W549" s="37">
        <v>2826.92</v>
      </c>
      <c r="X549" s="37">
        <v>2981.8</v>
      </c>
      <c r="Y549" s="37">
        <v>3052.66</v>
      </c>
      <c r="Z549" s="37">
        <v>3137.31</v>
      </c>
    </row>
    <row r="550" spans="1:35">
      <c r="C550" s="524" t="str">
        <f>""</f>
        <v/>
      </c>
      <c r="D550" s="524" t="str">
        <f>""</f>
        <v/>
      </c>
      <c r="E550" s="524" t="str">
        <f>""</f>
        <v/>
      </c>
      <c r="F550" s="524" t="str">
        <f>""</f>
        <v/>
      </c>
      <c r="G550" s="524" t="str">
        <f>""</f>
        <v/>
      </c>
      <c r="H550" s="524" t="str">
        <f>""</f>
        <v/>
      </c>
      <c r="T550" s="135" t="s">
        <v>148</v>
      </c>
      <c r="U550" s="37">
        <v>2285.34</v>
      </c>
      <c r="V550" s="37">
        <v>2396.4</v>
      </c>
      <c r="W550" s="37">
        <v>2478.56</v>
      </c>
      <c r="X550" s="37">
        <v>2567.7600000000002</v>
      </c>
      <c r="Y550" s="37">
        <v>2668.07</v>
      </c>
      <c r="Z550" s="37">
        <v>2768.42</v>
      </c>
    </row>
    <row r="552" spans="1:35">
      <c r="B552" s="512" t="s">
        <v>209</v>
      </c>
      <c r="C552" s="247">
        <v>50</v>
      </c>
      <c r="T552" s="523" t="str">
        <f>B552</f>
        <v>1,014</v>
      </c>
      <c r="U552" s="247">
        <f>C552</f>
        <v>50</v>
      </c>
      <c r="AC552" s="172" t="s">
        <v>663</v>
      </c>
    </row>
    <row r="553" spans="1:35">
      <c r="A553" s="155" t="s">
        <v>619</v>
      </c>
      <c r="B553" s="75">
        <v>2021</v>
      </c>
      <c r="C553" s="75" t="str">
        <f t="shared" ref="C553:H553" si="466">C529</f>
        <v>Stufe 1</v>
      </c>
      <c r="D553" s="75" t="str">
        <f t="shared" si="466"/>
        <v>Stufe 2</v>
      </c>
      <c r="E553" s="75" t="str">
        <f t="shared" si="466"/>
        <v>Stufe 3</v>
      </c>
      <c r="F553" s="75" t="str">
        <f t="shared" si="466"/>
        <v>Stufe 4</v>
      </c>
      <c r="G553" s="75" t="str">
        <f t="shared" si="466"/>
        <v>Stufe 5</v>
      </c>
      <c r="H553" s="75" t="str">
        <f t="shared" si="466"/>
        <v>Stufe 6</v>
      </c>
      <c r="S553" s="155" t="str">
        <f>A553</f>
        <v>ab Apr 2021</v>
      </c>
      <c r="T553" s="75">
        <v>2021</v>
      </c>
      <c r="U553" s="75" t="str">
        <f t="shared" ref="U553:Z553" si="467">C169</f>
        <v>Stufe 1</v>
      </c>
      <c r="V553" s="75" t="str">
        <f t="shared" si="467"/>
        <v>Stufe 2</v>
      </c>
      <c r="W553" s="75" t="str">
        <f t="shared" si="467"/>
        <v>Stufe 3</v>
      </c>
      <c r="X553" s="75" t="str">
        <f t="shared" si="467"/>
        <v>Stufe 4</v>
      </c>
      <c r="Y553" s="75" t="str">
        <f t="shared" si="467"/>
        <v>Stufe 5</v>
      </c>
      <c r="Z553" s="75" t="str">
        <f t="shared" si="467"/>
        <v>Stufe 6</v>
      </c>
      <c r="AC553" s="75">
        <v>2021</v>
      </c>
      <c r="AD553" s="75" t="str">
        <f t="shared" ref="AD553:AI553" si="468">C385</f>
        <v>Stufe 1</v>
      </c>
      <c r="AE553" s="75" t="str">
        <f t="shared" si="468"/>
        <v>Stufe 2</v>
      </c>
      <c r="AF553" s="75" t="str">
        <f t="shared" si="468"/>
        <v>Stufe 3</v>
      </c>
      <c r="AG553" s="75" t="str">
        <f t="shared" si="468"/>
        <v>Stufe 4</v>
      </c>
      <c r="AH553" s="75" t="str">
        <f t="shared" si="468"/>
        <v>Stufe 5</v>
      </c>
      <c r="AI553" s="75" t="str">
        <f t="shared" si="468"/>
        <v>Stufe 6</v>
      </c>
    </row>
    <row r="554" spans="1:35">
      <c r="A554" s="155" t="str">
        <f>$A$410</f>
        <v>EG</v>
      </c>
      <c r="B554" s="75" t="str">
        <f t="shared" ref="B554:B572" si="469">B530</f>
        <v>15Ü</v>
      </c>
      <c r="C554" s="37" t="str">
        <f t="shared" ref="C554:H554" si="470">IF(C530="-","-",IF((ROUND(C530*$B$552,2)-C530)&lt;$C$552,C530+$C$552,ROUND(C530*$B$552,2)))</f>
        <v>-</v>
      </c>
      <c r="D554" s="37">
        <f t="shared" si="470"/>
        <v>6090.93</v>
      </c>
      <c r="E554" s="37">
        <f t="shared" si="470"/>
        <v>6751.47</v>
      </c>
      <c r="F554" s="37">
        <f t="shared" si="470"/>
        <v>7377.25</v>
      </c>
      <c r="G554" s="37">
        <f t="shared" si="470"/>
        <v>7794.47</v>
      </c>
      <c r="H554" s="37">
        <f t="shared" si="470"/>
        <v>7891.78</v>
      </c>
      <c r="T554" s="135" t="s">
        <v>338</v>
      </c>
      <c r="U554" s="37">
        <f t="shared" ref="U554:Z554" si="471">IF(U530="-","-",IF((ROUND(U530*$B$552,2)-U530)&lt;$C$552,U530+$C$552,ROUND(U530*$B$552,2)))</f>
        <v>3954.6</v>
      </c>
      <c r="V554" s="37">
        <f t="shared" si="471"/>
        <v>4060.36</v>
      </c>
      <c r="W554" s="37">
        <f t="shared" si="471"/>
        <v>4584.3100000000004</v>
      </c>
      <c r="X554" s="37">
        <f t="shared" si="471"/>
        <v>4977.24</v>
      </c>
      <c r="Y554" s="37">
        <f t="shared" si="471"/>
        <v>5566.65</v>
      </c>
      <c r="Z554" s="37">
        <f t="shared" si="471"/>
        <v>5926.84</v>
      </c>
      <c r="AC554" s="75">
        <f t="shared" ref="AC554:AC566" si="472">B387</f>
        <v>15</v>
      </c>
      <c r="AD554" s="37">
        <f t="shared" ref="AD554:AI568" si="473">IF(AD530="","",ROUND(AD530*$AC$552,2))</f>
        <v>5613.52</v>
      </c>
      <c r="AE554" s="37">
        <f t="shared" si="473"/>
        <v>6237.23</v>
      </c>
      <c r="AF554" s="37">
        <f t="shared" si="473"/>
        <v>6836</v>
      </c>
      <c r="AG554" s="37">
        <f t="shared" si="473"/>
        <v>7393.21</v>
      </c>
      <c r="AH554" s="37">
        <f t="shared" si="473"/>
        <v>7908.83</v>
      </c>
      <c r="AI554" s="37">
        <f t="shared" si="473"/>
        <v>8382.85</v>
      </c>
    </row>
    <row r="555" spans="1:35">
      <c r="A555" s="155" t="str">
        <f t="shared" ref="A555:A572" si="474">$A$410</f>
        <v>EG</v>
      </c>
      <c r="B555" s="75">
        <f t="shared" si="469"/>
        <v>15</v>
      </c>
      <c r="C555" s="37">
        <f t="shared" ref="C555:H555" si="475">IF(C531="-","-",IF((ROUND(C531*$B$552,2)-C531)&lt;$C$552,C531+$C$552,ROUND(C531*$B$552,2)))</f>
        <v>4928.3500000000004</v>
      </c>
      <c r="D555" s="37">
        <f t="shared" si="475"/>
        <v>5263.48</v>
      </c>
      <c r="E555" s="37">
        <f t="shared" si="475"/>
        <v>5637.3</v>
      </c>
      <c r="F555" s="37">
        <f t="shared" si="475"/>
        <v>6147.62</v>
      </c>
      <c r="G555" s="37">
        <f t="shared" si="475"/>
        <v>6672.58</v>
      </c>
      <c r="H555" s="37">
        <f t="shared" si="475"/>
        <v>7017.95</v>
      </c>
      <c r="T555" s="135" t="s">
        <v>339</v>
      </c>
      <c r="U555" s="37">
        <f t="shared" ref="U555:Z555" si="476">IF(U531="-","-",IF((ROUND(U531*$B$552,2)-U531)&lt;$C$552,U531+$C$552,ROUND(U531*$B$552,2)))</f>
        <v>3630.87</v>
      </c>
      <c r="V555" s="37">
        <f t="shared" si="476"/>
        <v>3896.65</v>
      </c>
      <c r="W555" s="37">
        <f t="shared" si="476"/>
        <v>4322.33</v>
      </c>
      <c r="X555" s="37">
        <f t="shared" si="476"/>
        <v>4584.3100000000004</v>
      </c>
      <c r="Y555" s="37">
        <f t="shared" si="476"/>
        <v>5108.21</v>
      </c>
      <c r="Z555" s="37">
        <f t="shared" si="476"/>
        <v>5416.02</v>
      </c>
      <c r="AC555" s="75">
        <f t="shared" si="472"/>
        <v>14</v>
      </c>
      <c r="AD555" s="37">
        <f t="shared" si="473"/>
        <v>5239.3</v>
      </c>
      <c r="AE555" s="37">
        <f t="shared" si="473"/>
        <v>5771.53</v>
      </c>
      <c r="AF555" s="37">
        <f t="shared" si="473"/>
        <v>6287.13</v>
      </c>
      <c r="AG555" s="37">
        <f t="shared" si="473"/>
        <v>6786.14</v>
      </c>
      <c r="AH555" s="37">
        <f t="shared" si="473"/>
        <v>7260.16</v>
      </c>
      <c r="AI555" s="37">
        <f t="shared" si="473"/>
        <v>7692.61</v>
      </c>
    </row>
    <row r="556" spans="1:35">
      <c r="A556" s="155" t="str">
        <f t="shared" si="474"/>
        <v>EG</v>
      </c>
      <c r="B556" s="75">
        <f t="shared" si="469"/>
        <v>14</v>
      </c>
      <c r="C556" s="37">
        <f t="shared" ref="C556:H556" si="477">IF(C532="-","-",IF((ROUND(C532*$B$552,2)-C532)&lt;$C$552,C532+$C$552,ROUND(C532*$B$552,2)))</f>
        <v>4462.6499999999996</v>
      </c>
      <c r="D556" s="37">
        <f t="shared" si="477"/>
        <v>4766.1099999999997</v>
      </c>
      <c r="E556" s="37">
        <f t="shared" si="477"/>
        <v>5162.41</v>
      </c>
      <c r="F556" s="37">
        <f t="shared" si="477"/>
        <v>5602.17</v>
      </c>
      <c r="G556" s="37">
        <f t="shared" si="477"/>
        <v>6092.39</v>
      </c>
      <c r="H556" s="37">
        <f t="shared" si="477"/>
        <v>6444.31</v>
      </c>
      <c r="T556" s="135" t="s">
        <v>340</v>
      </c>
      <c r="U556" s="37" t="str">
        <f t="shared" ref="U556:Z556" si="478">IF(U532="-","-",IF((ROUND(U532*$B$552,2)-U532)&lt;$C$552,U532+$C$552,ROUND(U532*$B$552,2)))</f>
        <v>-</v>
      </c>
      <c r="V556" s="37" t="str">
        <f t="shared" si="478"/>
        <v>-</v>
      </c>
      <c r="W556" s="37">
        <f t="shared" si="478"/>
        <v>4250.22</v>
      </c>
      <c r="X556" s="37">
        <f t="shared" si="478"/>
        <v>4715.2</v>
      </c>
      <c r="Y556" s="37">
        <f t="shared" si="478"/>
        <v>5003.3500000000004</v>
      </c>
      <c r="Z556" s="37" t="str">
        <f t="shared" si="478"/>
        <v>-</v>
      </c>
      <c r="AC556" s="75">
        <f t="shared" si="472"/>
        <v>13</v>
      </c>
      <c r="AD556" s="37">
        <f t="shared" si="473"/>
        <v>4906.6400000000003</v>
      </c>
      <c r="AE556" s="37">
        <f t="shared" si="473"/>
        <v>5405.64</v>
      </c>
      <c r="AF556" s="37">
        <f t="shared" si="473"/>
        <v>5887.95</v>
      </c>
      <c r="AG556" s="37">
        <f t="shared" si="473"/>
        <v>6361.97</v>
      </c>
      <c r="AH556" s="37">
        <f t="shared" si="473"/>
        <v>6727.89</v>
      </c>
      <c r="AI556" s="37">
        <f t="shared" si="473"/>
        <v>7027.31</v>
      </c>
    </row>
    <row r="557" spans="1:35">
      <c r="A557" s="155" t="str">
        <f t="shared" si="474"/>
        <v>EG</v>
      </c>
      <c r="B557" s="75">
        <f t="shared" si="469"/>
        <v>13</v>
      </c>
      <c r="C557" s="37">
        <f t="shared" ref="C557:H557" si="479">IF(C533="-","-",IF((ROUND(C533*$B$552,2)-C533)&lt;$C$552,C533+$C$552,ROUND(C533*$B$552,2)))</f>
        <v>4113.41</v>
      </c>
      <c r="D557" s="37">
        <f t="shared" si="479"/>
        <v>4445.99</v>
      </c>
      <c r="E557" s="37">
        <f t="shared" si="479"/>
        <v>4824.6000000000004</v>
      </c>
      <c r="F557" s="37">
        <f t="shared" si="479"/>
        <v>5235.66</v>
      </c>
      <c r="G557" s="37">
        <f t="shared" si="479"/>
        <v>5719.35</v>
      </c>
      <c r="H557" s="37">
        <f t="shared" si="479"/>
        <v>5981.85</v>
      </c>
      <c r="T557" s="135" t="s">
        <v>341</v>
      </c>
      <c r="U557" s="37">
        <f t="shared" ref="U557:Z557" si="480">IF(U533="-","-",IF((ROUND(U533*$B$552,2)-U533)&lt;$C$552,U533+$C$552,ROUND(U533*$B$552,2)))</f>
        <v>3552.52</v>
      </c>
      <c r="V557" s="37">
        <f t="shared" si="480"/>
        <v>3811.52</v>
      </c>
      <c r="W557" s="37">
        <f t="shared" si="480"/>
        <v>4099.67</v>
      </c>
      <c r="X557" s="37">
        <f t="shared" si="480"/>
        <v>4453.3100000000004</v>
      </c>
      <c r="Y557" s="37">
        <f t="shared" si="480"/>
        <v>4846.25</v>
      </c>
      <c r="Z557" s="37">
        <f t="shared" si="480"/>
        <v>5082.0200000000004</v>
      </c>
      <c r="AC557" s="75">
        <f t="shared" si="472"/>
        <v>12</v>
      </c>
      <c r="AD557" s="37">
        <f t="shared" si="473"/>
        <v>4573.9799999999996</v>
      </c>
      <c r="AE557" s="37">
        <f t="shared" si="473"/>
        <v>5014.7700000000004</v>
      </c>
      <c r="AF557" s="37">
        <f t="shared" si="473"/>
        <v>5455.5</v>
      </c>
      <c r="AG557" s="37">
        <f t="shared" si="473"/>
        <v>5829.75</v>
      </c>
      <c r="AH557" s="37">
        <f t="shared" si="473"/>
        <v>6195.68</v>
      </c>
      <c r="AI557" s="37">
        <f t="shared" si="473"/>
        <v>6453.31</v>
      </c>
    </row>
    <row r="558" spans="1:35">
      <c r="A558" s="155" t="str">
        <f t="shared" si="474"/>
        <v>EG</v>
      </c>
      <c r="B558" s="75">
        <f t="shared" si="469"/>
        <v>12</v>
      </c>
      <c r="C558" s="37">
        <f t="shared" ref="C558:H558" si="481">IF(C534="-","-",IF((ROUND(C534*$B$552,2)-C534)&lt;$C$552,C534+$C$552,ROUND(C534*$B$552,2)))</f>
        <v>3686.55</v>
      </c>
      <c r="D558" s="37">
        <f t="shared" si="481"/>
        <v>4069.25</v>
      </c>
      <c r="E558" s="37">
        <f t="shared" si="481"/>
        <v>4516.49</v>
      </c>
      <c r="F558" s="37">
        <f t="shared" si="481"/>
        <v>5012.74</v>
      </c>
      <c r="G558" s="37">
        <f t="shared" si="481"/>
        <v>5595.03</v>
      </c>
      <c r="H558" s="37">
        <f t="shared" si="481"/>
        <v>5871.32</v>
      </c>
      <c r="T558" s="135" t="s">
        <v>342</v>
      </c>
      <c r="U558" s="37">
        <f t="shared" ref="U558:Z558" si="482">IF(U534="-","-",IF((ROUND(U534*$B$552,2)-U534)&lt;$C$552,U534+$C$552,ROUND(U534*$B$552,2)))</f>
        <v>3420.09</v>
      </c>
      <c r="V558" s="37">
        <f t="shared" si="482"/>
        <v>3667.41</v>
      </c>
      <c r="W558" s="37">
        <f t="shared" si="482"/>
        <v>3929.41</v>
      </c>
      <c r="X558" s="37">
        <f t="shared" si="482"/>
        <v>4230.66</v>
      </c>
      <c r="Y558" s="37">
        <f t="shared" si="482"/>
        <v>4715.28</v>
      </c>
      <c r="Z558" s="37">
        <f t="shared" si="482"/>
        <v>4924.83</v>
      </c>
      <c r="AC558" s="75">
        <f t="shared" si="472"/>
        <v>11</v>
      </c>
      <c r="AD558" s="37">
        <f t="shared" si="473"/>
        <v>4282.8900000000003</v>
      </c>
      <c r="AE558" s="37">
        <f t="shared" si="473"/>
        <v>4690.3999999999996</v>
      </c>
      <c r="AF558" s="37">
        <f t="shared" si="473"/>
        <v>5047.99</v>
      </c>
      <c r="AG558" s="37">
        <f t="shared" si="473"/>
        <v>5355.76</v>
      </c>
      <c r="AH558" s="37">
        <f t="shared" si="473"/>
        <v>5613.52</v>
      </c>
      <c r="AI558" s="37">
        <f t="shared" si="473"/>
        <v>5829.75</v>
      </c>
    </row>
    <row r="559" spans="1:35">
      <c r="A559" s="155" t="str">
        <f t="shared" si="474"/>
        <v>EG</v>
      </c>
      <c r="B559" s="75">
        <f t="shared" si="469"/>
        <v>11</v>
      </c>
      <c r="C559" s="37">
        <f t="shared" ref="C559:H559" si="483">IF(C535="-","-",IF((ROUND(C535*$B$552,2)-C535)&lt;$C$552,C535+$C$552,ROUND(C535*$B$552,2)))</f>
        <v>3558.11</v>
      </c>
      <c r="D559" s="37">
        <f t="shared" si="483"/>
        <v>3910.1</v>
      </c>
      <c r="E559" s="37">
        <f t="shared" si="483"/>
        <v>4240.84</v>
      </c>
      <c r="F559" s="37">
        <f t="shared" si="483"/>
        <v>4599.68</v>
      </c>
      <c r="G559" s="37">
        <f t="shared" si="483"/>
        <v>5090.78</v>
      </c>
      <c r="H559" s="37">
        <f t="shared" si="483"/>
        <v>5367.08</v>
      </c>
      <c r="T559" s="135" t="s">
        <v>343</v>
      </c>
      <c r="U559" s="37">
        <f t="shared" ref="U559:Z559" si="484">IF(U535="-","-",IF((ROUND(U535*$B$552,2)-U535)&lt;$C$552,U535+$C$552,ROUND(U535*$B$552,2)))</f>
        <v>3385.53</v>
      </c>
      <c r="V559" s="37">
        <f t="shared" si="484"/>
        <v>3629.81</v>
      </c>
      <c r="W559" s="37">
        <f t="shared" si="484"/>
        <v>3920.94</v>
      </c>
      <c r="X559" s="37">
        <f t="shared" si="484"/>
        <v>4217.08</v>
      </c>
      <c r="Y559" s="37">
        <f t="shared" si="484"/>
        <v>4544.5600000000004</v>
      </c>
      <c r="Z559" s="37">
        <f t="shared" si="484"/>
        <v>4773.76</v>
      </c>
      <c r="AC559" s="75">
        <f t="shared" si="472"/>
        <v>10</v>
      </c>
      <c r="AD559" s="37">
        <f t="shared" si="473"/>
        <v>3991.85</v>
      </c>
      <c r="AE559" s="37">
        <f t="shared" si="473"/>
        <v>4374.41</v>
      </c>
      <c r="AF559" s="37">
        <f t="shared" si="473"/>
        <v>4748.6099999999997</v>
      </c>
      <c r="AG559" s="37">
        <f t="shared" si="473"/>
        <v>4998.09</v>
      </c>
      <c r="AH559" s="37">
        <f t="shared" si="473"/>
        <v>5172.74</v>
      </c>
      <c r="AI559" s="37">
        <f t="shared" si="473"/>
        <v>5297.46</v>
      </c>
    </row>
    <row r="560" spans="1:35">
      <c r="A560" s="155" t="str">
        <f t="shared" si="474"/>
        <v>EG</v>
      </c>
      <c r="B560" s="75">
        <f t="shared" si="469"/>
        <v>10</v>
      </c>
      <c r="C560" s="37">
        <f t="shared" ref="C560:H560" si="485">IF(C536="-","-",IF((ROUND(C536*$B$552,2)-C536)&lt;$C$552,C536+$C$552,ROUND(C536*$B$552,2)))</f>
        <v>3430.51</v>
      </c>
      <c r="D560" s="37">
        <f t="shared" si="485"/>
        <v>3706.3</v>
      </c>
      <c r="E560" s="37">
        <f t="shared" si="485"/>
        <v>4019.82</v>
      </c>
      <c r="F560" s="37">
        <f t="shared" si="485"/>
        <v>4359.8500000000004</v>
      </c>
      <c r="G560" s="37">
        <f t="shared" si="485"/>
        <v>4738.5</v>
      </c>
      <c r="H560" s="37">
        <f t="shared" si="485"/>
        <v>4862.83</v>
      </c>
      <c r="T560" s="135" t="s">
        <v>344</v>
      </c>
      <c r="U560" s="37">
        <f t="shared" ref="U560:Z560" si="486">IF(U536="-","-",IF((ROUND(U536*$B$552,2)-U536)&lt;$C$552,U536+$C$552,ROUND(U536*$B$552,2)))</f>
        <v>3354.81</v>
      </c>
      <c r="V560" s="37">
        <f t="shared" si="486"/>
        <v>3592.48</v>
      </c>
      <c r="W560" s="37">
        <f t="shared" si="486"/>
        <v>3919.01</v>
      </c>
      <c r="X560" s="37">
        <f t="shared" si="486"/>
        <v>4180.9799999999996</v>
      </c>
      <c r="Y560" s="37">
        <f t="shared" si="486"/>
        <v>4508.41</v>
      </c>
      <c r="Z560" s="37">
        <f t="shared" si="486"/>
        <v>4672.13</v>
      </c>
      <c r="AC560" s="75">
        <f t="shared" si="472"/>
        <v>9</v>
      </c>
      <c r="AD560" s="37">
        <f t="shared" si="473"/>
        <v>3742.34</v>
      </c>
      <c r="AE560" s="37">
        <f t="shared" si="473"/>
        <v>4075</v>
      </c>
      <c r="AF560" s="37">
        <f t="shared" si="473"/>
        <v>4399.38</v>
      </c>
      <c r="AG560" s="37">
        <f t="shared" si="473"/>
        <v>4623.8900000000003</v>
      </c>
      <c r="AH560" s="37">
        <f t="shared" si="473"/>
        <v>4707.05</v>
      </c>
      <c r="AI560" s="37">
        <f t="shared" si="473"/>
        <v>4831.8</v>
      </c>
    </row>
    <row r="561" spans="1:35">
      <c r="A561" s="155" t="str">
        <f t="shared" si="474"/>
        <v>EG</v>
      </c>
      <c r="B561" s="421" t="str">
        <f t="shared" si="469"/>
        <v>9c</v>
      </c>
      <c r="C561" s="37">
        <f t="shared" ref="C561:H561" si="487">IF(C537="-","-",IF((ROUND(C537*$B$552,2)-C537)&lt;$C$552,C537+$C$552,ROUND(C537*$B$552,2)))</f>
        <v>3330.42</v>
      </c>
      <c r="D561" s="37">
        <f t="shared" si="487"/>
        <v>3576.45</v>
      </c>
      <c r="E561" s="37">
        <f t="shared" si="487"/>
        <v>3844.01</v>
      </c>
      <c r="F561" s="37">
        <f t="shared" si="487"/>
        <v>4132.3100000000004</v>
      </c>
      <c r="G561" s="37">
        <f t="shared" si="487"/>
        <v>4442.2299999999996</v>
      </c>
      <c r="H561" s="37">
        <f t="shared" si="487"/>
        <v>4664.3999999999996</v>
      </c>
      <c r="T561" s="135" t="s">
        <v>345</v>
      </c>
      <c r="U561" s="37">
        <f t="shared" ref="U561:Z561" si="488">IF(U537="-","-",IF((ROUND(U537*$B$552,2)-U537)&lt;$C$552,U537+$C$552,ROUND(U537*$B$552,2)))</f>
        <v>3301.68</v>
      </c>
      <c r="V561" s="37">
        <f t="shared" si="488"/>
        <v>3539.7</v>
      </c>
      <c r="W561" s="37">
        <f t="shared" si="488"/>
        <v>3863.91</v>
      </c>
      <c r="X561" s="37">
        <f t="shared" si="488"/>
        <v>4125.84</v>
      </c>
      <c r="Y561" s="37">
        <f t="shared" si="488"/>
        <v>4453.3100000000004</v>
      </c>
      <c r="Z561" s="37">
        <f t="shared" si="488"/>
        <v>4617.03</v>
      </c>
      <c r="AC561" s="75">
        <f t="shared" si="472"/>
        <v>8</v>
      </c>
      <c r="AD561" s="37">
        <f t="shared" si="473"/>
        <v>3492.89</v>
      </c>
      <c r="AE561" s="37">
        <f t="shared" si="473"/>
        <v>3709.08</v>
      </c>
      <c r="AF561" s="37">
        <f t="shared" si="473"/>
        <v>3892.04</v>
      </c>
      <c r="AG561" s="37">
        <f t="shared" si="473"/>
        <v>4066.71</v>
      </c>
      <c r="AH561" s="37">
        <f t="shared" si="473"/>
        <v>4241.34</v>
      </c>
      <c r="AI561" s="37">
        <f t="shared" si="473"/>
        <v>4366.09</v>
      </c>
    </row>
    <row r="562" spans="1:35">
      <c r="A562" s="155" t="str">
        <f t="shared" si="474"/>
        <v>EG</v>
      </c>
      <c r="B562" s="75" t="str">
        <f t="shared" si="469"/>
        <v>9b</v>
      </c>
      <c r="C562" s="37">
        <f t="shared" ref="C562:H562" si="489">IF(C538="-","-",IF((ROUND(C538*$B$552,2)-C538)&lt;$C$552,C538+$C$552,ROUND(C538*$B$552,2)))</f>
        <v>3124.7</v>
      </c>
      <c r="D562" s="37">
        <f t="shared" si="489"/>
        <v>3355.3</v>
      </c>
      <c r="E562" s="37">
        <f t="shared" si="489"/>
        <v>3500</v>
      </c>
      <c r="F562" s="37">
        <f t="shared" si="489"/>
        <v>3928.24</v>
      </c>
      <c r="G562" s="37">
        <f t="shared" si="489"/>
        <v>4181.99</v>
      </c>
      <c r="H562" s="37">
        <f t="shared" si="489"/>
        <v>4475.93</v>
      </c>
      <c r="T562" s="135" t="s">
        <v>346</v>
      </c>
      <c r="U562" s="37">
        <f>IF(U538="-","-",IF((ROUND(U538*$B$552,2)-U538)&lt;$C$552,U538+$C$552,ROUND(U538*$B$552,2)))</f>
        <v>3292.48</v>
      </c>
      <c r="V562" s="37">
        <f>IF(V538="-","-",IF((ROUND(V538*$B$552,2)-V538)&lt;$C$552,V538+$C$552,ROUND(V538*$B$552,2)))</f>
        <v>3529.83</v>
      </c>
      <c r="W562" s="37">
        <f>IF(W538="-","-",IF((ROUND(W538*$B$552,2)-W538)&lt;$C$552,W538+$C$552,ROUND(W538*$B$552,2)))</f>
        <v>3840.48</v>
      </c>
      <c r="X562" s="37">
        <f>IF(X538="-","-",IF((ROUND(X538*$B$552,2)-X538)&lt;$C$552,X538+$C$552,ROUND(X538*$B$552,2)))</f>
        <v>4115.53</v>
      </c>
      <c r="Y562" s="37">
        <f>IF(Y538="-","-",IF((ROUND(Y538*$B$552,2)-Y538)&lt;$C$552,Y538+$C$552,ROUND(Y538*$B$552,2)))</f>
        <v>4456.09</v>
      </c>
      <c r="Z562" s="463">
        <f>IF(Z538="-","-",Z563+AA562)</f>
        <v>4691.46</v>
      </c>
      <c r="AA562" s="460">
        <f>IF(AA538="-","-",ROUND(AA538*T552,2))</f>
        <v>91.29</v>
      </c>
      <c r="AC562" s="75">
        <f t="shared" si="472"/>
        <v>7</v>
      </c>
      <c r="AD562" s="37">
        <f t="shared" si="473"/>
        <v>3243.38</v>
      </c>
      <c r="AE562" s="37">
        <f t="shared" si="473"/>
        <v>3442.96</v>
      </c>
      <c r="AF562" s="37">
        <f t="shared" si="473"/>
        <v>3617.61</v>
      </c>
      <c r="AG562" s="37">
        <f t="shared" si="473"/>
        <v>3742.34</v>
      </c>
      <c r="AH562" s="37">
        <f t="shared" si="473"/>
        <v>3825.52</v>
      </c>
      <c r="AI562" s="37">
        <f t="shared" si="473"/>
        <v>3908.69</v>
      </c>
    </row>
    <row r="563" spans="1:35">
      <c r="A563" s="155" t="str">
        <f t="shared" si="474"/>
        <v>EG</v>
      </c>
      <c r="B563" s="75" t="str">
        <f t="shared" si="469"/>
        <v>9a</v>
      </c>
      <c r="C563" s="37">
        <f t="shared" ref="C563:H563" si="490">IF(C539="-","-",IF((ROUND(C539*$B$552,2)-C539)&lt;$C$552,C539+$C$552,ROUND(C539*$B$552,2)))</f>
        <v>3014.89</v>
      </c>
      <c r="D563" s="37">
        <f t="shared" si="490"/>
        <v>3213.55</v>
      </c>
      <c r="E563" s="37">
        <f t="shared" si="490"/>
        <v>3406.89</v>
      </c>
      <c r="F563" s="37">
        <f t="shared" si="490"/>
        <v>3836.98</v>
      </c>
      <c r="G563" s="37">
        <f t="shared" si="490"/>
        <v>3934.29</v>
      </c>
      <c r="H563" s="37">
        <f t="shared" si="490"/>
        <v>4182.75</v>
      </c>
      <c r="T563" s="135" t="s">
        <v>347</v>
      </c>
      <c r="U563" s="37">
        <f t="shared" ref="U563:Z563" si="491">IF(U539="-","-",IF((ROUND(U539*$B$552,2)-U539)&lt;$C$552,U539+$C$552,ROUND(U539*$B$552,2)))</f>
        <v>3292.48</v>
      </c>
      <c r="V563" s="37">
        <f t="shared" si="491"/>
        <v>3529.83</v>
      </c>
      <c r="W563" s="37">
        <f t="shared" si="491"/>
        <v>3840.48</v>
      </c>
      <c r="X563" s="37">
        <f t="shared" si="491"/>
        <v>4115.53</v>
      </c>
      <c r="Y563" s="37">
        <f t="shared" si="491"/>
        <v>4456.09</v>
      </c>
      <c r="Z563" s="37">
        <f t="shared" si="491"/>
        <v>4600.17</v>
      </c>
      <c r="AA563" s="460"/>
      <c r="AC563" s="75">
        <f t="shared" si="472"/>
        <v>6</v>
      </c>
      <c r="AD563" s="37">
        <f t="shared" si="473"/>
        <v>3035.45</v>
      </c>
      <c r="AE563" s="37">
        <f t="shared" si="473"/>
        <v>3218.41</v>
      </c>
      <c r="AF563" s="37">
        <f t="shared" si="473"/>
        <v>3384.75</v>
      </c>
      <c r="AG563" s="37">
        <f t="shared" si="473"/>
        <v>3501.17</v>
      </c>
      <c r="AH563" s="37">
        <f t="shared" si="473"/>
        <v>3567.71</v>
      </c>
      <c r="AI563" s="37">
        <f t="shared" si="473"/>
        <v>3625.93</v>
      </c>
    </row>
    <row r="564" spans="1:35">
      <c r="A564" s="155" t="str">
        <f t="shared" si="474"/>
        <v>EG</v>
      </c>
      <c r="B564" s="75">
        <f t="shared" si="469"/>
        <v>8</v>
      </c>
      <c r="C564" s="37">
        <f t="shared" ref="C564:H564" si="492">IF(C540="-","-",IF((ROUND(C540*$B$552,2)-C540)&lt;$C$552,C540+$C$552,ROUND(C540*$B$552,2)))</f>
        <v>2858.91</v>
      </c>
      <c r="D564" s="37">
        <f t="shared" si="492"/>
        <v>3049.92</v>
      </c>
      <c r="E564" s="37">
        <f t="shared" si="492"/>
        <v>3182.23</v>
      </c>
      <c r="F564" s="37">
        <f t="shared" si="492"/>
        <v>3314.31</v>
      </c>
      <c r="G564" s="37">
        <f t="shared" si="492"/>
        <v>3455.98</v>
      </c>
      <c r="H564" s="37">
        <f t="shared" si="492"/>
        <v>3524.11</v>
      </c>
      <c r="T564" s="135" t="s">
        <v>348</v>
      </c>
      <c r="U564" s="37">
        <f>IF(U540="-","-",IF((ROUND(U540*$B$552,2)-U540)&lt;$C$552,U540+$C$552,ROUND(U540*$B$552,2)))</f>
        <v>3246.36</v>
      </c>
      <c r="V564" s="37">
        <f>IF(V540="-","-",IF((ROUND(V540*$B$552,2)-V540)&lt;$C$552,V540+$C$552,ROUND(V540*$B$552,2)))</f>
        <v>3480.33</v>
      </c>
      <c r="W564" s="37">
        <f>IF(W540="-","-",IF((ROUND(W540*$B$552,2)-W540)&lt;$C$552,W540+$C$552,ROUND(W540*$B$552,2)))</f>
        <v>3644.72</v>
      </c>
      <c r="X564" s="37">
        <f>IF(X540="-","-",IF((ROUND(X540*$B$552,2)-X540)&lt;$C$552,X540+$C$552,ROUND(X540*$B$552,2)))</f>
        <v>4063.86</v>
      </c>
      <c r="Y564" s="37">
        <f>IF(Y540="-","-",IF((ROUND(Y540*$B$552,2)-Y540)&lt;$C$552,Y540+$C$552,ROUND(Y540*$B$552,2)))</f>
        <v>4391.3100000000004</v>
      </c>
      <c r="Z564" s="463">
        <f>IF(Z540="-","-",Z565+AA564)</f>
        <v>4667.6799999999994</v>
      </c>
      <c r="AA564" s="460">
        <f>IF(AA540="-","-",ROUND(AA540*T552,2))</f>
        <v>79.900000000000006</v>
      </c>
      <c r="AC564" s="75">
        <f t="shared" si="472"/>
        <v>5</v>
      </c>
      <c r="AD564" s="37">
        <f t="shared" si="473"/>
        <v>2827.56</v>
      </c>
      <c r="AE564" s="37">
        <f t="shared" si="473"/>
        <v>3002.19</v>
      </c>
      <c r="AF564" s="37">
        <f t="shared" si="473"/>
        <v>3151.91</v>
      </c>
      <c r="AG564" s="37">
        <f t="shared" si="473"/>
        <v>3260</v>
      </c>
      <c r="AH564" s="37">
        <f t="shared" si="473"/>
        <v>3326.54</v>
      </c>
      <c r="AI564" s="37">
        <f t="shared" si="473"/>
        <v>3434.64</v>
      </c>
    </row>
    <row r="565" spans="1:35">
      <c r="A565" s="155" t="str">
        <f t="shared" si="474"/>
        <v>EG</v>
      </c>
      <c r="B565" s="75">
        <f t="shared" si="469"/>
        <v>7</v>
      </c>
      <c r="C565" s="37">
        <f t="shared" ref="C565:H565" si="493">IF(C541="-","-",IF((ROUND(C541*$B$552,2)-C541)&lt;$C$552,C541+$C$552,ROUND(C541*$B$552,2)))</f>
        <v>2685.53</v>
      </c>
      <c r="D565" s="37">
        <f t="shared" si="493"/>
        <v>2905.6</v>
      </c>
      <c r="E565" s="37">
        <f t="shared" si="493"/>
        <v>3036.7</v>
      </c>
      <c r="F565" s="37">
        <f t="shared" si="493"/>
        <v>3169</v>
      </c>
      <c r="G565" s="37">
        <f t="shared" si="493"/>
        <v>3293.78</v>
      </c>
      <c r="H565" s="37">
        <f t="shared" si="493"/>
        <v>3360.79</v>
      </c>
      <c r="T565" s="135" t="s">
        <v>349</v>
      </c>
      <c r="U565" s="37">
        <f t="shared" ref="U565:Z565" si="494">IF(U541="-","-",IF((ROUND(U541*$B$552,2)-U541)&lt;$C$552,U541+$C$552,ROUND(U541*$B$552,2)))</f>
        <v>3246.36</v>
      </c>
      <c r="V565" s="37">
        <f t="shared" si="494"/>
        <v>3480.33</v>
      </c>
      <c r="W565" s="37">
        <f t="shared" si="494"/>
        <v>3644.72</v>
      </c>
      <c r="X565" s="37">
        <f t="shared" si="494"/>
        <v>4063.86</v>
      </c>
      <c r="Y565" s="37">
        <f t="shared" si="494"/>
        <v>4391.3100000000004</v>
      </c>
      <c r="Z565" s="37">
        <f t="shared" si="494"/>
        <v>4587.78</v>
      </c>
      <c r="AC565" s="75">
        <f t="shared" si="472"/>
        <v>4</v>
      </c>
      <c r="AD565" s="37">
        <f t="shared" si="473"/>
        <v>2661.2</v>
      </c>
      <c r="AE565" s="37">
        <f t="shared" si="473"/>
        <v>2827.56</v>
      </c>
      <c r="AF565" s="37">
        <f t="shared" si="473"/>
        <v>2968.92</v>
      </c>
      <c r="AG565" s="37">
        <f t="shared" si="473"/>
        <v>3068.72</v>
      </c>
      <c r="AH565" s="37">
        <f t="shared" si="473"/>
        <v>3135.26</v>
      </c>
      <c r="AI565" s="37">
        <f t="shared" si="473"/>
        <v>3293.26</v>
      </c>
    </row>
    <row r="566" spans="1:35">
      <c r="A566" s="155" t="str">
        <f t="shared" si="474"/>
        <v>EG</v>
      </c>
      <c r="B566" s="75">
        <f t="shared" si="469"/>
        <v>6</v>
      </c>
      <c r="C566" s="37">
        <f t="shared" ref="C566:H566" si="495">IF(C542="-","-",IF((ROUND(C542*$B$552,2)-C542)&lt;$C$552,C542+$C$552,ROUND(C542*$B$552,2)))</f>
        <v>2636</v>
      </c>
      <c r="D566" s="37">
        <f t="shared" si="495"/>
        <v>2817.11</v>
      </c>
      <c r="E566" s="37">
        <f t="shared" si="495"/>
        <v>2944.11</v>
      </c>
      <c r="F566" s="37">
        <f t="shared" si="495"/>
        <v>3069.78</v>
      </c>
      <c r="G566" s="37">
        <f t="shared" si="495"/>
        <v>3193.22</v>
      </c>
      <c r="H566" s="37">
        <f t="shared" si="495"/>
        <v>3256.1</v>
      </c>
      <c r="T566" s="135" t="s">
        <v>350</v>
      </c>
      <c r="U566" s="37">
        <f t="shared" ref="U566:Z566" si="496">IF(U542="-","-",IF((ROUND(U542*$B$552,2)-U542)&lt;$C$552,U542+$C$552,ROUND(U542*$B$552,2)))</f>
        <v>3184.84</v>
      </c>
      <c r="V566" s="37">
        <f t="shared" si="496"/>
        <v>3414.31</v>
      </c>
      <c r="W566" s="37">
        <f t="shared" si="496"/>
        <v>3577.32</v>
      </c>
      <c r="X566" s="37">
        <f t="shared" si="496"/>
        <v>3994.89</v>
      </c>
      <c r="Y566" s="37">
        <f t="shared" si="496"/>
        <v>4322.33</v>
      </c>
      <c r="Z566" s="37">
        <f t="shared" si="496"/>
        <v>4518.8</v>
      </c>
      <c r="AC566" s="75">
        <f t="shared" si="472"/>
        <v>3</v>
      </c>
      <c r="AD566" s="37">
        <f t="shared" si="473"/>
        <v>2494.91</v>
      </c>
      <c r="AE566" s="37">
        <f t="shared" si="473"/>
        <v>2627.97</v>
      </c>
      <c r="AF566" s="37">
        <f t="shared" si="473"/>
        <v>2736.06</v>
      </c>
      <c r="AG566" s="37">
        <f t="shared" si="473"/>
        <v>2827.56</v>
      </c>
      <c r="AH566" s="37">
        <f t="shared" si="473"/>
        <v>2885.78</v>
      </c>
      <c r="AI566" s="37">
        <f t="shared" si="473"/>
        <v>3010.49</v>
      </c>
    </row>
    <row r="567" spans="1:35">
      <c r="A567" s="155" t="str">
        <f t="shared" si="474"/>
        <v>EG</v>
      </c>
      <c r="B567" s="75">
        <f t="shared" si="469"/>
        <v>5</v>
      </c>
      <c r="C567" s="37">
        <f t="shared" ref="C567:H567" si="497">IF(C543="-","-",IF((ROUND(C543*$B$552,2)-C543)&lt;$C$552,C543+$C$552,ROUND(C543*$B$552,2)))</f>
        <v>2530.7399999999998</v>
      </c>
      <c r="D567" s="37">
        <f t="shared" si="497"/>
        <v>2706.42</v>
      </c>
      <c r="E567" s="37">
        <f t="shared" si="497"/>
        <v>2825.08</v>
      </c>
      <c r="F567" s="37">
        <f t="shared" si="497"/>
        <v>2950.74</v>
      </c>
      <c r="G567" s="37">
        <f t="shared" si="497"/>
        <v>3067.5</v>
      </c>
      <c r="H567" s="37">
        <f t="shared" si="497"/>
        <v>3127.85</v>
      </c>
      <c r="T567" s="135" t="s">
        <v>351</v>
      </c>
      <c r="U567" s="37">
        <f t="shared" ref="U567:Z567" si="498">IF(U543="-","-",IF((ROUND(U543*$B$552,2)-U543)&lt;$C$552,U543+$C$552,ROUND(U543*$B$552,2)))</f>
        <v>2964.47</v>
      </c>
      <c r="V567" s="37">
        <f t="shared" si="498"/>
        <v>3265.62</v>
      </c>
      <c r="W567" s="37">
        <f t="shared" si="498"/>
        <v>3416.21</v>
      </c>
      <c r="X567" s="37">
        <f t="shared" si="498"/>
        <v>3866.09</v>
      </c>
      <c r="Y567" s="37">
        <f t="shared" si="498"/>
        <v>4233.05</v>
      </c>
      <c r="Z567" s="37">
        <f t="shared" si="498"/>
        <v>4534.46</v>
      </c>
      <c r="AC567" s="75">
        <f>B401</f>
        <v>2</v>
      </c>
      <c r="AD567" s="37">
        <f t="shared" si="473"/>
        <v>2328.5500000000002</v>
      </c>
      <c r="AE567" s="37">
        <f t="shared" si="473"/>
        <v>2469.94</v>
      </c>
      <c r="AF567" s="37">
        <f t="shared" si="473"/>
        <v>2594.71</v>
      </c>
      <c r="AG567" s="37">
        <f t="shared" si="473"/>
        <v>2686.19</v>
      </c>
      <c r="AH567" s="37">
        <f t="shared" si="473"/>
        <v>2744.39</v>
      </c>
      <c r="AI567" s="37">
        <f t="shared" si="473"/>
        <v>2777.65</v>
      </c>
    </row>
    <row r="568" spans="1:35">
      <c r="A568" s="155" t="str">
        <f t="shared" si="474"/>
        <v>EG</v>
      </c>
      <c r="B568" s="75">
        <f t="shared" si="469"/>
        <v>4</v>
      </c>
      <c r="C568" s="37">
        <f t="shared" ref="C568:H568" si="499">IF(C544="-","-",IF((ROUND(C544*$B$552,2)-C544)&lt;$C$552,C544+$C$552,ROUND(C544*$B$552,2)))</f>
        <v>2413.0700000000002</v>
      </c>
      <c r="D568" s="37">
        <f t="shared" si="499"/>
        <v>2590.85</v>
      </c>
      <c r="E568" s="37">
        <f t="shared" si="499"/>
        <v>2740.02</v>
      </c>
      <c r="F568" s="37">
        <f t="shared" si="499"/>
        <v>2832.88</v>
      </c>
      <c r="G568" s="37">
        <f t="shared" si="499"/>
        <v>2925.73</v>
      </c>
      <c r="H568" s="37">
        <f t="shared" si="499"/>
        <v>2980.1</v>
      </c>
      <c r="T568" s="135" t="s">
        <v>141</v>
      </c>
      <c r="U568" s="37">
        <f t="shared" ref="U568:Z568" si="500">IF(U544="-","-",IF((ROUND(U544*$B$552,2)-U544)&lt;$C$552,U544+$C$552,ROUND(U544*$B$552,2)))</f>
        <v>2942.66</v>
      </c>
      <c r="V568" s="37">
        <f t="shared" si="500"/>
        <v>3154.4</v>
      </c>
      <c r="W568" s="37">
        <f t="shared" si="500"/>
        <v>3401.85</v>
      </c>
      <c r="X568" s="37">
        <f t="shared" si="500"/>
        <v>3763.74</v>
      </c>
      <c r="Y568" s="37">
        <f t="shared" si="500"/>
        <v>4105.91</v>
      </c>
      <c r="Z568" s="37">
        <f t="shared" si="500"/>
        <v>4368.2299999999996</v>
      </c>
      <c r="AC568" s="75">
        <f>B402</f>
        <v>1</v>
      </c>
      <c r="AD568" s="37" t="str">
        <f t="shared" si="473"/>
        <v/>
      </c>
      <c r="AE568" s="37" t="str">
        <f t="shared" si="473"/>
        <v/>
      </c>
      <c r="AF568" s="37">
        <f t="shared" si="473"/>
        <v>2079.08</v>
      </c>
      <c r="AG568" s="37" t="str">
        <f t="shared" si="473"/>
        <v/>
      </c>
      <c r="AH568" s="37" t="str">
        <f t="shared" si="473"/>
        <v/>
      </c>
      <c r="AI568" s="37" t="str">
        <f t="shared" si="473"/>
        <v/>
      </c>
    </row>
    <row r="569" spans="1:35">
      <c r="A569" s="155" t="str">
        <f t="shared" si="474"/>
        <v>EG</v>
      </c>
      <c r="B569" s="75">
        <f t="shared" si="469"/>
        <v>3</v>
      </c>
      <c r="C569" s="37">
        <f t="shared" ref="C569:H569" si="501">IF(C545="-","-",IF((ROUND(C545*$B$552,2)-C545)&lt;$C$552,C545+$C$552,ROUND(C545*$B$552,2)))</f>
        <v>2375.89</v>
      </c>
      <c r="D569" s="37">
        <f t="shared" si="501"/>
        <v>2567.08</v>
      </c>
      <c r="E569" s="37">
        <f t="shared" si="501"/>
        <v>2613.61</v>
      </c>
      <c r="F569" s="37">
        <f t="shared" si="501"/>
        <v>2719.96</v>
      </c>
      <c r="G569" s="37">
        <f t="shared" si="501"/>
        <v>2799.76</v>
      </c>
      <c r="H569" s="37">
        <f t="shared" si="501"/>
        <v>2872.87</v>
      </c>
      <c r="T569" s="135" t="s">
        <v>352</v>
      </c>
      <c r="U569" s="37">
        <f t="shared" ref="U569:Z569" si="502">IF(U545="-","-",IF((ROUND(U545*$B$552,2)-U545)&lt;$C$552,U545+$C$552,ROUND(U545*$B$552,2)))</f>
        <v>2942.66</v>
      </c>
      <c r="V569" s="37">
        <f t="shared" si="502"/>
        <v>3154.4</v>
      </c>
      <c r="W569" s="37">
        <f t="shared" si="502"/>
        <v>3401.85</v>
      </c>
      <c r="X569" s="37">
        <f t="shared" si="502"/>
        <v>3763.74</v>
      </c>
      <c r="Y569" s="37">
        <f t="shared" si="502"/>
        <v>4105.91</v>
      </c>
      <c r="Z569" s="37">
        <f t="shared" si="502"/>
        <v>4368.2299999999996</v>
      </c>
    </row>
    <row r="570" spans="1:35">
      <c r="A570" s="155" t="str">
        <f t="shared" si="474"/>
        <v>EG</v>
      </c>
      <c r="B570" s="75" t="str">
        <f t="shared" si="469"/>
        <v>2Ü</v>
      </c>
      <c r="C570" s="37">
        <f t="shared" ref="C570:H570" si="503">IF(C546="-","-",IF((ROUND(C546*$B$552,2)-C546)&lt;$C$552,C546+$C$552,ROUND(C546*$B$552,2)))</f>
        <v>2221.61</v>
      </c>
      <c r="D570" s="37">
        <f t="shared" si="503"/>
        <v>2443.9899999999998</v>
      </c>
      <c r="E570" s="37">
        <f t="shared" si="503"/>
        <v>2523.88</v>
      </c>
      <c r="F570" s="37">
        <f t="shared" si="503"/>
        <v>2630.4</v>
      </c>
      <c r="G570" s="37">
        <f t="shared" si="503"/>
        <v>2703.6</v>
      </c>
      <c r="H570" s="37">
        <f t="shared" si="503"/>
        <v>2810.98</v>
      </c>
      <c r="T570" s="135" t="s">
        <v>353</v>
      </c>
      <c r="U570" s="37">
        <f t="shared" ref="U570:Z570" si="504">IF(U546="-","-",IF((ROUND(U546*$B$552,2)-U546)&lt;$C$552,U546+$C$552,ROUND(U546*$B$552,2)))</f>
        <v>2879.77</v>
      </c>
      <c r="V570" s="37">
        <f t="shared" si="504"/>
        <v>3086.91</v>
      </c>
      <c r="W570" s="37">
        <f t="shared" si="504"/>
        <v>3300.62</v>
      </c>
      <c r="X570" s="37">
        <f t="shared" si="504"/>
        <v>3503.09</v>
      </c>
      <c r="Y570" s="37">
        <f t="shared" si="504"/>
        <v>3701.02</v>
      </c>
      <c r="Z570" s="37">
        <f t="shared" si="504"/>
        <v>3909.16</v>
      </c>
    </row>
    <row r="571" spans="1:35">
      <c r="A571" s="155" t="str">
        <f t="shared" si="474"/>
        <v>EG</v>
      </c>
      <c r="B571" s="75">
        <f t="shared" si="469"/>
        <v>2</v>
      </c>
      <c r="C571" s="37">
        <f t="shared" ref="C571:H571" si="505">IF(C547="-","-",IF((ROUND(C547*$B$552,2)-C547)&lt;$C$552,C547+$C$552,ROUND(C547*$B$552,2)))</f>
        <v>2202.5100000000002</v>
      </c>
      <c r="D571" s="37">
        <f t="shared" si="505"/>
        <v>2396</v>
      </c>
      <c r="E571" s="37">
        <f t="shared" si="505"/>
        <v>2442.92</v>
      </c>
      <c r="F571" s="37">
        <f t="shared" si="505"/>
        <v>2509.87</v>
      </c>
      <c r="G571" s="37">
        <f t="shared" si="505"/>
        <v>2657.03</v>
      </c>
      <c r="H571" s="37">
        <f t="shared" si="505"/>
        <v>2810.98</v>
      </c>
      <c r="T571" s="135" t="s">
        <v>143</v>
      </c>
      <c r="U571" s="37">
        <f t="shared" ref="U571:Z571" si="506">IF(U547="-","-",IF((ROUND(U547*$B$552,2)-U547)&lt;$C$552,U547+$C$552,ROUND(U547*$B$552,2)))</f>
        <v>2805.05</v>
      </c>
      <c r="V571" s="37">
        <f t="shared" si="506"/>
        <v>3006.72</v>
      </c>
      <c r="W571" s="37">
        <f t="shared" si="506"/>
        <v>3207.39</v>
      </c>
      <c r="X571" s="37">
        <f t="shared" si="506"/>
        <v>3408.02</v>
      </c>
      <c r="Y571" s="37">
        <f t="shared" si="506"/>
        <v>3558.53</v>
      </c>
      <c r="Z571" s="37">
        <f t="shared" si="506"/>
        <v>3785.32</v>
      </c>
    </row>
    <row r="572" spans="1:35">
      <c r="A572" s="155" t="str">
        <f t="shared" si="474"/>
        <v>EG</v>
      </c>
      <c r="B572" s="75">
        <f t="shared" si="469"/>
        <v>1</v>
      </c>
      <c r="C572" s="37" t="str">
        <f t="shared" ref="C572:H572" si="507">IF(C548="-","-",IF((ROUND(C548*$B$552,2)-C548)&lt;$C$552,C548+$C$552,ROUND(C548*$B$552,2)))</f>
        <v>-</v>
      </c>
      <c r="D572" s="37">
        <f t="shared" si="507"/>
        <v>1979.88</v>
      </c>
      <c r="E572" s="37">
        <f t="shared" si="507"/>
        <v>2012.63</v>
      </c>
      <c r="F572" s="37">
        <f t="shared" si="507"/>
        <v>2053.59</v>
      </c>
      <c r="G572" s="37">
        <f t="shared" si="507"/>
        <v>2091.77</v>
      </c>
      <c r="H572" s="37">
        <f t="shared" si="507"/>
        <v>2190.0500000000002</v>
      </c>
      <c r="T572" s="135" t="s">
        <v>146</v>
      </c>
      <c r="U572" s="37">
        <f t="shared" ref="U572:Z572" si="508">IF(U548="-","-",IF((ROUND(U548*$B$552,2)-U548)&lt;$C$552,U548+$C$552,ROUND(U548*$B$552,2)))</f>
        <v>2682.35</v>
      </c>
      <c r="V572" s="37">
        <f t="shared" si="508"/>
        <v>2875.04</v>
      </c>
      <c r="W572" s="37">
        <f t="shared" si="508"/>
        <v>3050.62</v>
      </c>
      <c r="X572" s="37">
        <f t="shared" si="508"/>
        <v>3169.76</v>
      </c>
      <c r="Y572" s="37">
        <f t="shared" si="508"/>
        <v>3282.63</v>
      </c>
      <c r="Z572" s="37">
        <f t="shared" si="508"/>
        <v>3458.47</v>
      </c>
    </row>
    <row r="573" spans="1:35">
      <c r="T573" s="135" t="s">
        <v>147</v>
      </c>
      <c r="U573" s="37">
        <f t="shared" ref="U573:Z573" si="509">IF(U549="-","-",IF((ROUND(U549*$B$552,2)-U549)&lt;$C$552,U549+$C$552,ROUND(U549*$B$552,2)))</f>
        <v>2526.9299999999998</v>
      </c>
      <c r="V573" s="37">
        <f t="shared" si="509"/>
        <v>2708.24</v>
      </c>
      <c r="W573" s="37">
        <f t="shared" si="509"/>
        <v>2876.92</v>
      </c>
      <c r="X573" s="37">
        <f t="shared" si="509"/>
        <v>3031.8</v>
      </c>
      <c r="Y573" s="37">
        <f t="shared" si="509"/>
        <v>3102.66</v>
      </c>
      <c r="Z573" s="37">
        <f t="shared" si="509"/>
        <v>3187.31</v>
      </c>
    </row>
    <row r="574" spans="1:35">
      <c r="T574" s="135" t="s">
        <v>148</v>
      </c>
      <c r="U574" s="37">
        <f t="shared" ref="U574:Z574" si="510">IF(U550="-","-",IF((ROUND(U550*$B$552,2)-U550)&lt;$C$552,U550+$C$552,ROUND(U550*$B$552,2)))</f>
        <v>2335.34</v>
      </c>
      <c r="V574" s="37">
        <f t="shared" si="510"/>
        <v>2446.4</v>
      </c>
      <c r="W574" s="37">
        <f t="shared" si="510"/>
        <v>2528.56</v>
      </c>
      <c r="X574" s="37">
        <f t="shared" si="510"/>
        <v>2617.7600000000002</v>
      </c>
      <c r="Y574" s="37">
        <f t="shared" si="510"/>
        <v>2718.07</v>
      </c>
      <c r="Z574" s="37">
        <f t="shared" si="510"/>
        <v>2818.42</v>
      </c>
    </row>
    <row r="575" spans="1:35">
      <c r="U575" s="37"/>
      <c r="V575" s="37"/>
      <c r="W575" s="37"/>
      <c r="X575" s="37"/>
      <c r="Y575" s="37"/>
      <c r="Z575" s="37"/>
    </row>
    <row r="576" spans="1:35">
      <c r="B576" s="512" t="s">
        <v>621</v>
      </c>
      <c r="C576" s="247"/>
      <c r="T576" s="523" t="str">
        <f>B576</f>
        <v>1,018</v>
      </c>
      <c r="U576" s="248"/>
      <c r="AC576" s="172" t="s">
        <v>621</v>
      </c>
    </row>
    <row r="577" spans="1:35">
      <c r="A577" s="155" t="s">
        <v>620</v>
      </c>
      <c r="B577" s="75">
        <v>2022</v>
      </c>
      <c r="C577" s="75" t="str">
        <f t="shared" ref="C577:H577" si="511">C553</f>
        <v>Stufe 1</v>
      </c>
      <c r="D577" s="75" t="str">
        <f t="shared" si="511"/>
        <v>Stufe 2</v>
      </c>
      <c r="E577" s="75" t="str">
        <f t="shared" si="511"/>
        <v>Stufe 3</v>
      </c>
      <c r="F577" s="75" t="str">
        <f t="shared" si="511"/>
        <v>Stufe 4</v>
      </c>
      <c r="G577" s="75" t="str">
        <f t="shared" si="511"/>
        <v>Stufe 5</v>
      </c>
      <c r="H577" s="75" t="str">
        <f t="shared" si="511"/>
        <v>Stufe 6</v>
      </c>
      <c r="S577" s="155" t="str">
        <f>A577</f>
        <v>ab Apr 2022</v>
      </c>
      <c r="T577" s="75">
        <v>2022</v>
      </c>
      <c r="U577" s="75" t="str">
        <f t="shared" ref="U577:Z577" si="512">C193</f>
        <v>Stufe 1</v>
      </c>
      <c r="V577" s="75" t="str">
        <f t="shared" si="512"/>
        <v>Stufe 2</v>
      </c>
      <c r="W577" s="75" t="str">
        <f t="shared" si="512"/>
        <v>Stufe 3</v>
      </c>
      <c r="X577" s="75" t="str">
        <f t="shared" si="512"/>
        <v>Stufe 4</v>
      </c>
      <c r="Y577" s="75" t="str">
        <f t="shared" si="512"/>
        <v>Stufe 5</v>
      </c>
      <c r="Z577" s="75" t="str">
        <f t="shared" si="512"/>
        <v>Stufe 6</v>
      </c>
      <c r="AC577" s="75">
        <v>2022</v>
      </c>
      <c r="AD577" s="75" t="str">
        <f t="shared" ref="AD577:AI577" si="513">C409</f>
        <v>Stufe 1</v>
      </c>
      <c r="AE577" s="75" t="str">
        <f t="shared" si="513"/>
        <v>Stufe 2</v>
      </c>
      <c r="AF577" s="75" t="str">
        <f t="shared" si="513"/>
        <v>Stufe 3</v>
      </c>
      <c r="AG577" s="75" t="str">
        <f t="shared" si="513"/>
        <v>Stufe 4</v>
      </c>
      <c r="AH577" s="75" t="str">
        <f t="shared" si="513"/>
        <v>Stufe 5</v>
      </c>
      <c r="AI577" s="75" t="str">
        <f t="shared" si="513"/>
        <v>Stufe 6</v>
      </c>
    </row>
    <row r="578" spans="1:35">
      <c r="A578" s="155" t="str">
        <f>$A$410</f>
        <v>EG</v>
      </c>
      <c r="B578" s="75" t="str">
        <f>B554</f>
        <v>15Ü</v>
      </c>
      <c r="C578" s="37" t="str">
        <f t="shared" ref="C578:H578" si="514">IF(C554="-","-",ROUND(C554*$B$576,2))</f>
        <v>-</v>
      </c>
      <c r="D578" s="37">
        <f t="shared" si="514"/>
        <v>6200.57</v>
      </c>
      <c r="E578" s="37">
        <f t="shared" si="514"/>
        <v>6873</v>
      </c>
      <c r="F578" s="37">
        <f t="shared" si="514"/>
        <v>7510.04</v>
      </c>
      <c r="G578" s="37">
        <f t="shared" si="514"/>
        <v>7934.77</v>
      </c>
      <c r="H578" s="37">
        <f t="shared" si="514"/>
        <v>8033.83</v>
      </c>
      <c r="T578" s="135" t="s">
        <v>338</v>
      </c>
      <c r="U578" s="37">
        <f t="shared" ref="U578:Z578" si="515">IF(U554="-","-",ROUND(U554*$B$576,2))</f>
        <v>4025.78</v>
      </c>
      <c r="V578" s="37">
        <f t="shared" si="515"/>
        <v>4133.45</v>
      </c>
      <c r="W578" s="37">
        <f t="shared" si="515"/>
        <v>4666.83</v>
      </c>
      <c r="X578" s="37">
        <f t="shared" si="515"/>
        <v>5066.83</v>
      </c>
      <c r="Y578" s="37">
        <f t="shared" si="515"/>
        <v>5666.85</v>
      </c>
      <c r="Z578" s="37">
        <f t="shared" si="515"/>
        <v>6033.52</v>
      </c>
      <c r="AC578" s="75">
        <f t="shared" ref="AC578:AC590" si="516">B411</f>
        <v>15</v>
      </c>
      <c r="AD578" s="37">
        <f t="shared" ref="AD578:AI592" si="517">IF(AD554="","",ROUND(AD554*$AC$576,2))</f>
        <v>5714.56</v>
      </c>
      <c r="AE578" s="37">
        <f t="shared" si="517"/>
        <v>6349.5</v>
      </c>
      <c r="AF578" s="37">
        <f t="shared" si="517"/>
        <v>6959.05</v>
      </c>
      <c r="AG578" s="37">
        <f t="shared" si="517"/>
        <v>7526.29</v>
      </c>
      <c r="AH578" s="37">
        <f t="shared" si="517"/>
        <v>8051.19</v>
      </c>
      <c r="AI578" s="37">
        <f t="shared" si="517"/>
        <v>8533.74</v>
      </c>
    </row>
    <row r="579" spans="1:35">
      <c r="A579" s="155" t="str">
        <f t="shared" ref="A579:A596" si="518">$A$410</f>
        <v>EG</v>
      </c>
      <c r="B579" s="75">
        <f t="shared" ref="B579:B596" si="519">B555</f>
        <v>15</v>
      </c>
      <c r="C579" s="37">
        <f t="shared" ref="C579:H579" si="520">IF(C555="-","-",ROUND(C555*$B$576,2))</f>
        <v>5017.0600000000004</v>
      </c>
      <c r="D579" s="37">
        <f t="shared" si="520"/>
        <v>5358.22</v>
      </c>
      <c r="E579" s="37">
        <f t="shared" si="520"/>
        <v>5738.77</v>
      </c>
      <c r="F579" s="37">
        <f t="shared" si="520"/>
        <v>6258.28</v>
      </c>
      <c r="G579" s="37">
        <f t="shared" si="520"/>
        <v>6792.69</v>
      </c>
      <c r="H579" s="37">
        <f t="shared" si="520"/>
        <v>7144.27</v>
      </c>
      <c r="T579" s="135" t="s">
        <v>339</v>
      </c>
      <c r="U579" s="37">
        <f t="shared" ref="U579:Z579" si="521">IF(U555="-","-",ROUND(U555*$B$576,2))</f>
        <v>3696.23</v>
      </c>
      <c r="V579" s="37">
        <f t="shared" si="521"/>
        <v>3966.79</v>
      </c>
      <c r="W579" s="37">
        <f t="shared" si="521"/>
        <v>4400.13</v>
      </c>
      <c r="X579" s="37">
        <f t="shared" si="521"/>
        <v>4666.83</v>
      </c>
      <c r="Y579" s="37">
        <f t="shared" si="521"/>
        <v>5200.16</v>
      </c>
      <c r="Z579" s="37">
        <f t="shared" si="521"/>
        <v>5513.51</v>
      </c>
      <c r="AC579" s="75">
        <f t="shared" si="516"/>
        <v>14</v>
      </c>
      <c r="AD579" s="37">
        <f t="shared" si="517"/>
        <v>5333.61</v>
      </c>
      <c r="AE579" s="37">
        <f t="shared" si="517"/>
        <v>5875.42</v>
      </c>
      <c r="AF579" s="37">
        <f t="shared" si="517"/>
        <v>6400.3</v>
      </c>
      <c r="AG579" s="37">
        <f t="shared" si="517"/>
        <v>6908.29</v>
      </c>
      <c r="AH579" s="37">
        <f t="shared" si="517"/>
        <v>7390.84</v>
      </c>
      <c r="AI579" s="37">
        <f t="shared" si="517"/>
        <v>7831.08</v>
      </c>
    </row>
    <row r="580" spans="1:35">
      <c r="A580" s="155" t="str">
        <f t="shared" si="518"/>
        <v>EG</v>
      </c>
      <c r="B580" s="75">
        <f t="shared" si="519"/>
        <v>14</v>
      </c>
      <c r="C580" s="37">
        <f t="shared" ref="C580:H580" si="522">IF(C556="-","-",ROUND(C556*$B$576,2))</f>
        <v>4542.9799999999996</v>
      </c>
      <c r="D580" s="37">
        <f t="shared" si="522"/>
        <v>4851.8999999999996</v>
      </c>
      <c r="E580" s="37">
        <f t="shared" si="522"/>
        <v>5255.33</v>
      </c>
      <c r="F580" s="37">
        <f t="shared" si="522"/>
        <v>5703.01</v>
      </c>
      <c r="G580" s="37">
        <f t="shared" si="522"/>
        <v>6202.05</v>
      </c>
      <c r="H580" s="37">
        <f t="shared" si="522"/>
        <v>6560.31</v>
      </c>
      <c r="T580" s="135" t="s">
        <v>340</v>
      </c>
      <c r="U580" s="37" t="str">
        <f t="shared" ref="U580:Z580" si="523">IF(U556="-","-",ROUND(U556*$B$576,2))</f>
        <v>-</v>
      </c>
      <c r="V580" s="37" t="str">
        <f t="shared" si="523"/>
        <v>-</v>
      </c>
      <c r="W580" s="37">
        <f t="shared" si="523"/>
        <v>4326.72</v>
      </c>
      <c r="X580" s="37">
        <f t="shared" si="523"/>
        <v>4800.07</v>
      </c>
      <c r="Y580" s="37">
        <f t="shared" si="523"/>
        <v>5093.41</v>
      </c>
      <c r="Z580" s="37" t="str">
        <f t="shared" si="523"/>
        <v>-</v>
      </c>
      <c r="AC580" s="75">
        <f t="shared" si="516"/>
        <v>13</v>
      </c>
      <c r="AD580" s="37">
        <f t="shared" si="517"/>
        <v>4994.96</v>
      </c>
      <c r="AE580" s="37">
        <f t="shared" si="517"/>
        <v>5502.94</v>
      </c>
      <c r="AF580" s="37">
        <f t="shared" si="517"/>
        <v>5993.93</v>
      </c>
      <c r="AG580" s="37">
        <f t="shared" si="517"/>
        <v>6476.49</v>
      </c>
      <c r="AH580" s="37">
        <f t="shared" si="517"/>
        <v>6848.99</v>
      </c>
      <c r="AI580" s="37">
        <f t="shared" si="517"/>
        <v>7153.8</v>
      </c>
    </row>
    <row r="581" spans="1:35">
      <c r="A581" s="155" t="str">
        <f t="shared" si="518"/>
        <v>EG</v>
      </c>
      <c r="B581" s="75">
        <f t="shared" si="519"/>
        <v>13</v>
      </c>
      <c r="C581" s="37">
        <f t="shared" ref="C581:H581" si="524">IF(C557="-","-",ROUND(C557*$B$576,2))</f>
        <v>4187.45</v>
      </c>
      <c r="D581" s="37">
        <f t="shared" si="524"/>
        <v>4526.0200000000004</v>
      </c>
      <c r="E581" s="37">
        <f t="shared" si="524"/>
        <v>4911.4399999999996</v>
      </c>
      <c r="F581" s="37">
        <f t="shared" si="524"/>
        <v>5329.9</v>
      </c>
      <c r="G581" s="37">
        <f t="shared" si="524"/>
        <v>5822.3</v>
      </c>
      <c r="H581" s="37">
        <f t="shared" si="524"/>
        <v>6089.52</v>
      </c>
      <c r="T581" s="135" t="s">
        <v>341</v>
      </c>
      <c r="U581" s="37">
        <f t="shared" ref="U581:Z581" si="525">IF(U557="-","-",ROUND(U557*$B$576,2))</f>
        <v>3616.47</v>
      </c>
      <c r="V581" s="37">
        <f t="shared" si="525"/>
        <v>3880.13</v>
      </c>
      <c r="W581" s="37">
        <f t="shared" si="525"/>
        <v>4173.46</v>
      </c>
      <c r="X581" s="37">
        <f t="shared" si="525"/>
        <v>4533.47</v>
      </c>
      <c r="Y581" s="37">
        <f t="shared" si="525"/>
        <v>4933.4799999999996</v>
      </c>
      <c r="Z581" s="37">
        <f t="shared" si="525"/>
        <v>5173.5</v>
      </c>
      <c r="AC581" s="75">
        <f t="shared" si="516"/>
        <v>12</v>
      </c>
      <c r="AD581" s="37">
        <f t="shared" si="517"/>
        <v>4656.3100000000004</v>
      </c>
      <c r="AE581" s="37">
        <f t="shared" si="517"/>
        <v>5105.04</v>
      </c>
      <c r="AF581" s="37">
        <f t="shared" si="517"/>
        <v>5553.7</v>
      </c>
      <c r="AG581" s="37">
        <f t="shared" si="517"/>
        <v>5934.69</v>
      </c>
      <c r="AH581" s="37">
        <f t="shared" si="517"/>
        <v>6307.2</v>
      </c>
      <c r="AI581" s="37">
        <f t="shared" si="517"/>
        <v>6569.47</v>
      </c>
    </row>
    <row r="582" spans="1:35">
      <c r="A582" s="155" t="str">
        <f t="shared" si="518"/>
        <v>EG</v>
      </c>
      <c r="B582" s="75">
        <f t="shared" si="519"/>
        <v>12</v>
      </c>
      <c r="C582" s="37">
        <f t="shared" ref="C582:H582" si="526">IF(C558="-","-",ROUND(C558*$B$576,2))</f>
        <v>3752.91</v>
      </c>
      <c r="D582" s="37">
        <f t="shared" si="526"/>
        <v>4142.5</v>
      </c>
      <c r="E582" s="37">
        <f t="shared" si="526"/>
        <v>4597.79</v>
      </c>
      <c r="F582" s="37">
        <f t="shared" si="526"/>
        <v>5102.97</v>
      </c>
      <c r="G582" s="37">
        <f t="shared" si="526"/>
        <v>5695.74</v>
      </c>
      <c r="H582" s="37">
        <f t="shared" si="526"/>
        <v>5977</v>
      </c>
      <c r="T582" s="135" t="s">
        <v>342</v>
      </c>
      <c r="U582" s="37">
        <f t="shared" ref="U582:Z582" si="527">IF(U558="-","-",ROUND(U558*$B$576,2))</f>
        <v>3481.65</v>
      </c>
      <c r="V582" s="37">
        <f t="shared" si="527"/>
        <v>3733.42</v>
      </c>
      <c r="W582" s="37">
        <f t="shared" si="527"/>
        <v>4000.14</v>
      </c>
      <c r="X582" s="37">
        <f t="shared" si="527"/>
        <v>4306.8100000000004</v>
      </c>
      <c r="Y582" s="37">
        <f t="shared" si="527"/>
        <v>4800.16</v>
      </c>
      <c r="Z582" s="37">
        <f t="shared" si="527"/>
        <v>5013.4799999999996</v>
      </c>
      <c r="AC582" s="75">
        <f t="shared" si="516"/>
        <v>11</v>
      </c>
      <c r="AD582" s="37">
        <f t="shared" si="517"/>
        <v>4359.9799999999996</v>
      </c>
      <c r="AE582" s="37">
        <f t="shared" si="517"/>
        <v>4774.83</v>
      </c>
      <c r="AF582" s="37">
        <f t="shared" si="517"/>
        <v>5138.8500000000004</v>
      </c>
      <c r="AG582" s="37">
        <f t="shared" si="517"/>
        <v>5452.16</v>
      </c>
      <c r="AH582" s="37">
        <f t="shared" si="517"/>
        <v>5714.56</v>
      </c>
      <c r="AI582" s="37">
        <f t="shared" si="517"/>
        <v>5934.69</v>
      </c>
    </row>
    <row r="583" spans="1:35">
      <c r="A583" s="155" t="str">
        <f t="shared" si="518"/>
        <v>EG</v>
      </c>
      <c r="B583" s="75">
        <f t="shared" si="519"/>
        <v>11</v>
      </c>
      <c r="C583" s="37">
        <f t="shared" ref="C583:H583" si="528">IF(C559="-","-",ROUND(C559*$B$576,2))</f>
        <v>3622.16</v>
      </c>
      <c r="D583" s="37">
        <f t="shared" si="528"/>
        <v>3980.48</v>
      </c>
      <c r="E583" s="37">
        <f t="shared" si="528"/>
        <v>4317.18</v>
      </c>
      <c r="F583" s="37">
        <f t="shared" si="528"/>
        <v>4682.47</v>
      </c>
      <c r="G583" s="37">
        <f t="shared" si="528"/>
        <v>5182.41</v>
      </c>
      <c r="H583" s="37">
        <f t="shared" si="528"/>
        <v>5463.69</v>
      </c>
      <c r="T583" s="135" t="s">
        <v>343</v>
      </c>
      <c r="U583" s="37">
        <f t="shared" ref="U583:Z583" si="529">IF(U559="-","-",ROUND(U559*$B$576,2))</f>
        <v>3446.47</v>
      </c>
      <c r="V583" s="37">
        <f t="shared" si="529"/>
        <v>3695.15</v>
      </c>
      <c r="W583" s="37">
        <f t="shared" si="529"/>
        <v>3991.52</v>
      </c>
      <c r="X583" s="37">
        <f t="shared" si="529"/>
        <v>4292.99</v>
      </c>
      <c r="Y583" s="37">
        <f t="shared" si="529"/>
        <v>4626.3599999999997</v>
      </c>
      <c r="Z583" s="37">
        <f t="shared" si="529"/>
        <v>4859.6899999999996</v>
      </c>
      <c r="AC583" s="75">
        <f t="shared" si="516"/>
        <v>10</v>
      </c>
      <c r="AD583" s="37">
        <f t="shared" si="517"/>
        <v>4063.7</v>
      </c>
      <c r="AE583" s="37">
        <f t="shared" si="517"/>
        <v>4453.1499999999996</v>
      </c>
      <c r="AF583" s="37">
        <f t="shared" si="517"/>
        <v>4834.08</v>
      </c>
      <c r="AG583" s="37">
        <f t="shared" si="517"/>
        <v>5088.0600000000004</v>
      </c>
      <c r="AH583" s="37">
        <f t="shared" si="517"/>
        <v>5265.85</v>
      </c>
      <c r="AI583" s="37">
        <f t="shared" si="517"/>
        <v>5392.81</v>
      </c>
    </row>
    <row r="584" spans="1:35">
      <c r="A584" s="155" t="str">
        <f t="shared" si="518"/>
        <v>EG</v>
      </c>
      <c r="B584" s="75">
        <f t="shared" si="519"/>
        <v>10</v>
      </c>
      <c r="C584" s="37">
        <f t="shared" ref="C584:H584" si="530">IF(C560="-","-",ROUND(C560*$B$576,2))</f>
        <v>3492.26</v>
      </c>
      <c r="D584" s="37">
        <f t="shared" si="530"/>
        <v>3773.01</v>
      </c>
      <c r="E584" s="37">
        <f t="shared" si="530"/>
        <v>4092.18</v>
      </c>
      <c r="F584" s="37">
        <f t="shared" si="530"/>
        <v>4438.33</v>
      </c>
      <c r="G584" s="37">
        <f t="shared" si="530"/>
        <v>4823.79</v>
      </c>
      <c r="H584" s="37">
        <f t="shared" si="530"/>
        <v>4950.3599999999997</v>
      </c>
      <c r="T584" s="135" t="s">
        <v>344</v>
      </c>
      <c r="U584" s="37">
        <f t="shared" ref="U584:Z584" si="531">IF(U560="-","-",ROUND(U560*$B$576,2))</f>
        <v>3415.2</v>
      </c>
      <c r="V584" s="37">
        <f t="shared" si="531"/>
        <v>3657.14</v>
      </c>
      <c r="W584" s="37">
        <f t="shared" si="531"/>
        <v>3989.55</v>
      </c>
      <c r="X584" s="37">
        <f t="shared" si="531"/>
        <v>4256.24</v>
      </c>
      <c r="Y584" s="37">
        <f t="shared" si="531"/>
        <v>4589.5600000000004</v>
      </c>
      <c r="Z584" s="37">
        <f t="shared" si="531"/>
        <v>4756.2299999999996</v>
      </c>
      <c r="AC584" s="75">
        <f t="shared" si="516"/>
        <v>9</v>
      </c>
      <c r="AD584" s="37">
        <f t="shared" si="517"/>
        <v>3809.7</v>
      </c>
      <c r="AE584" s="37">
        <f t="shared" si="517"/>
        <v>4148.3500000000004</v>
      </c>
      <c r="AF584" s="37">
        <f t="shared" si="517"/>
        <v>4478.57</v>
      </c>
      <c r="AG584" s="37">
        <f t="shared" si="517"/>
        <v>4707.12</v>
      </c>
      <c r="AH584" s="37">
        <f t="shared" si="517"/>
        <v>4791.78</v>
      </c>
      <c r="AI584" s="37">
        <f t="shared" si="517"/>
        <v>4918.7700000000004</v>
      </c>
    </row>
    <row r="585" spans="1:35">
      <c r="A585" s="155" t="str">
        <f t="shared" si="518"/>
        <v>EG</v>
      </c>
      <c r="B585" s="421" t="str">
        <f t="shared" si="519"/>
        <v>9c</v>
      </c>
      <c r="C585" s="37">
        <f t="shared" ref="C585:H585" si="532">IF(C561="-","-",ROUND(C561*$B$576,2))</f>
        <v>3390.37</v>
      </c>
      <c r="D585" s="37">
        <f t="shared" si="532"/>
        <v>3640.83</v>
      </c>
      <c r="E585" s="37">
        <f t="shared" si="532"/>
        <v>3913.2</v>
      </c>
      <c r="F585" s="37">
        <f t="shared" si="532"/>
        <v>4206.6899999999996</v>
      </c>
      <c r="G585" s="37">
        <f t="shared" si="532"/>
        <v>4522.1899999999996</v>
      </c>
      <c r="H585" s="37">
        <f t="shared" si="532"/>
        <v>4748.3599999999997</v>
      </c>
      <c r="T585" s="135" t="s">
        <v>345</v>
      </c>
      <c r="U585" s="37">
        <f t="shared" ref="U585:Z585" si="533">IF(U561="-","-",ROUND(U561*$B$576,2))</f>
        <v>3361.11</v>
      </c>
      <c r="V585" s="37">
        <f t="shared" si="533"/>
        <v>3603.41</v>
      </c>
      <c r="W585" s="37">
        <f t="shared" si="533"/>
        <v>3933.46</v>
      </c>
      <c r="X585" s="37">
        <f t="shared" si="533"/>
        <v>4200.1099999999997</v>
      </c>
      <c r="Y585" s="37">
        <f t="shared" si="533"/>
        <v>4533.47</v>
      </c>
      <c r="Z585" s="37">
        <f t="shared" si="533"/>
        <v>4700.1400000000003</v>
      </c>
      <c r="AC585" s="75">
        <f t="shared" si="516"/>
        <v>8</v>
      </c>
      <c r="AD585" s="37">
        <f t="shared" si="517"/>
        <v>3555.76</v>
      </c>
      <c r="AE585" s="37">
        <f t="shared" si="517"/>
        <v>3775.84</v>
      </c>
      <c r="AF585" s="37">
        <f t="shared" si="517"/>
        <v>3962.1</v>
      </c>
      <c r="AG585" s="37">
        <f t="shared" si="517"/>
        <v>4139.91</v>
      </c>
      <c r="AH585" s="37">
        <f t="shared" si="517"/>
        <v>4317.68</v>
      </c>
      <c r="AI585" s="37">
        <f t="shared" si="517"/>
        <v>4444.68</v>
      </c>
    </row>
    <row r="586" spans="1:35">
      <c r="A586" s="155" t="str">
        <f t="shared" si="518"/>
        <v>EG</v>
      </c>
      <c r="B586" s="75" t="str">
        <f t="shared" si="519"/>
        <v>9b</v>
      </c>
      <c r="C586" s="37">
        <f t="shared" ref="C586:H586" si="534">IF(C562="-","-",ROUND(C562*$B$576,2))</f>
        <v>3180.94</v>
      </c>
      <c r="D586" s="37">
        <f t="shared" si="534"/>
        <v>3415.7</v>
      </c>
      <c r="E586" s="37">
        <f t="shared" si="534"/>
        <v>3563</v>
      </c>
      <c r="F586" s="37">
        <f t="shared" si="534"/>
        <v>3998.95</v>
      </c>
      <c r="G586" s="37">
        <f t="shared" si="534"/>
        <v>4257.2700000000004</v>
      </c>
      <c r="H586" s="37">
        <f t="shared" si="534"/>
        <v>4556.5</v>
      </c>
      <c r="T586" s="135" t="s">
        <v>346</v>
      </c>
      <c r="U586" s="37">
        <f>IF(U562="-","-",ROUND(U562*$B$576,2))</f>
        <v>3351.74</v>
      </c>
      <c r="V586" s="37">
        <f>IF(V562="-","-",ROUND(V562*$B$576,2))</f>
        <v>3593.37</v>
      </c>
      <c r="W586" s="37">
        <f>IF(W562="-","-",ROUND(W562*$B$576,2))</f>
        <v>3909.61</v>
      </c>
      <c r="X586" s="37">
        <f>IF(X562="-","-",ROUND(X562*$B$576,2))</f>
        <v>4189.6099999999997</v>
      </c>
      <c r="Y586" s="37">
        <f>IF(Y562="-","-",ROUND(Y562*$B$576,2))</f>
        <v>4536.3</v>
      </c>
      <c r="Z586" s="463">
        <f>IF(Z562="-","-",Z587+AA586)</f>
        <v>4775.9000000000005</v>
      </c>
      <c r="AA586" s="460">
        <f>IF(AA562="-","-",ROUND(AA562*$T$576,2))</f>
        <v>92.93</v>
      </c>
      <c r="AC586" s="75">
        <f t="shared" si="516"/>
        <v>7</v>
      </c>
      <c r="AD586" s="37">
        <f t="shared" si="517"/>
        <v>3301.76</v>
      </c>
      <c r="AE586" s="37">
        <f t="shared" si="517"/>
        <v>3504.93</v>
      </c>
      <c r="AF586" s="37">
        <f t="shared" si="517"/>
        <v>3682.73</v>
      </c>
      <c r="AG586" s="37">
        <f t="shared" si="517"/>
        <v>3809.7</v>
      </c>
      <c r="AH586" s="37">
        <f t="shared" si="517"/>
        <v>3894.38</v>
      </c>
      <c r="AI586" s="37">
        <f t="shared" si="517"/>
        <v>3979.05</v>
      </c>
    </row>
    <row r="587" spans="1:35">
      <c r="A587" s="155" t="str">
        <f t="shared" si="518"/>
        <v>EG</v>
      </c>
      <c r="B587" s="75" t="str">
        <f t="shared" si="519"/>
        <v>9a</v>
      </c>
      <c r="C587" s="37">
        <f t="shared" ref="C587:H587" si="535">IF(C563="-","-",ROUND(C563*$B$576,2))</f>
        <v>3069.16</v>
      </c>
      <c r="D587" s="37">
        <f t="shared" si="535"/>
        <v>3271.39</v>
      </c>
      <c r="E587" s="37">
        <f t="shared" si="535"/>
        <v>3468.21</v>
      </c>
      <c r="F587" s="37">
        <f t="shared" si="535"/>
        <v>3906.05</v>
      </c>
      <c r="G587" s="37">
        <f t="shared" si="535"/>
        <v>4005.11</v>
      </c>
      <c r="H587" s="37">
        <f t="shared" si="535"/>
        <v>4258.04</v>
      </c>
      <c r="T587" s="135" t="s">
        <v>347</v>
      </c>
      <c r="U587" s="37">
        <f t="shared" ref="U587:Z587" si="536">IF(U563="-","-",ROUND(U563*$B$576,2))</f>
        <v>3351.74</v>
      </c>
      <c r="V587" s="37">
        <f t="shared" si="536"/>
        <v>3593.37</v>
      </c>
      <c r="W587" s="37">
        <f t="shared" si="536"/>
        <v>3909.61</v>
      </c>
      <c r="X587" s="37">
        <f t="shared" si="536"/>
        <v>4189.6099999999997</v>
      </c>
      <c r="Y587" s="37">
        <f t="shared" si="536"/>
        <v>4536.3</v>
      </c>
      <c r="Z587" s="37">
        <f t="shared" si="536"/>
        <v>4682.97</v>
      </c>
      <c r="AA587" s="460"/>
      <c r="AC587" s="75">
        <f t="shared" si="516"/>
        <v>6</v>
      </c>
      <c r="AD587" s="37">
        <f t="shared" si="517"/>
        <v>3090.09</v>
      </c>
      <c r="AE587" s="37">
        <f t="shared" si="517"/>
        <v>3276.34</v>
      </c>
      <c r="AF587" s="37">
        <f t="shared" si="517"/>
        <v>3445.68</v>
      </c>
      <c r="AG587" s="37">
        <f t="shared" si="517"/>
        <v>3564.19</v>
      </c>
      <c r="AH587" s="37">
        <f t="shared" si="517"/>
        <v>3631.93</v>
      </c>
      <c r="AI587" s="37">
        <f t="shared" si="517"/>
        <v>3691.2</v>
      </c>
    </row>
    <row r="588" spans="1:35">
      <c r="A588" s="155" t="str">
        <f t="shared" si="518"/>
        <v>EG</v>
      </c>
      <c r="B588" s="75">
        <f t="shared" si="519"/>
        <v>8</v>
      </c>
      <c r="C588" s="37">
        <f t="shared" ref="C588:H588" si="537">IF(C564="-","-",ROUND(C564*$B$576,2))</f>
        <v>2910.37</v>
      </c>
      <c r="D588" s="37">
        <f t="shared" si="537"/>
        <v>3104.82</v>
      </c>
      <c r="E588" s="37">
        <f t="shared" si="537"/>
        <v>3239.51</v>
      </c>
      <c r="F588" s="37">
        <f t="shared" si="537"/>
        <v>3373.97</v>
      </c>
      <c r="G588" s="37">
        <f t="shared" si="537"/>
        <v>3518.19</v>
      </c>
      <c r="H588" s="37">
        <f t="shared" si="537"/>
        <v>3587.54</v>
      </c>
      <c r="T588" s="135" t="s">
        <v>348</v>
      </c>
      <c r="U588" s="37">
        <f>IF(U564="-","-",ROUND(U564*$B$576,2))</f>
        <v>3304.79</v>
      </c>
      <c r="V588" s="37">
        <f>IF(V564="-","-",ROUND(V564*$B$576,2))</f>
        <v>3542.98</v>
      </c>
      <c r="W588" s="37">
        <f>IF(W564="-","-",ROUND(W564*$B$576,2))</f>
        <v>3710.32</v>
      </c>
      <c r="X588" s="37">
        <f>IF(X564="-","-",ROUND(X564*$B$576,2))</f>
        <v>4137.01</v>
      </c>
      <c r="Y588" s="37">
        <f>IF(Y564="-","-",ROUND(Y564*$B$576,2))</f>
        <v>4470.3500000000004</v>
      </c>
      <c r="Z588" s="463">
        <f>IF(Z564="-","-",Z589+AA588)</f>
        <v>4751.7</v>
      </c>
      <c r="AA588" s="460">
        <f>IF(AA564="-","-",ROUND(AA564*$T$576,2))</f>
        <v>81.34</v>
      </c>
      <c r="AB588" s="156"/>
      <c r="AC588" s="75">
        <f t="shared" si="516"/>
        <v>5</v>
      </c>
      <c r="AD588" s="37">
        <f t="shared" si="517"/>
        <v>2878.46</v>
      </c>
      <c r="AE588" s="37">
        <f t="shared" si="517"/>
        <v>3056.23</v>
      </c>
      <c r="AF588" s="37">
        <f t="shared" si="517"/>
        <v>3208.64</v>
      </c>
      <c r="AG588" s="37">
        <f t="shared" si="517"/>
        <v>3318.68</v>
      </c>
      <c r="AH588" s="37">
        <f t="shared" si="517"/>
        <v>3386.42</v>
      </c>
      <c r="AI588" s="37">
        <f t="shared" si="517"/>
        <v>3496.46</v>
      </c>
    </row>
    <row r="589" spans="1:35">
      <c r="A589" s="155" t="str">
        <f t="shared" si="518"/>
        <v>EG</v>
      </c>
      <c r="B589" s="75">
        <f t="shared" si="519"/>
        <v>7</v>
      </c>
      <c r="C589" s="37">
        <f t="shared" ref="C589:H589" si="538">IF(C565="-","-",ROUND(C565*$B$576,2))</f>
        <v>2733.87</v>
      </c>
      <c r="D589" s="37">
        <f t="shared" si="538"/>
        <v>2957.9</v>
      </c>
      <c r="E589" s="37">
        <f t="shared" si="538"/>
        <v>3091.36</v>
      </c>
      <c r="F589" s="37">
        <f t="shared" si="538"/>
        <v>3226.04</v>
      </c>
      <c r="G589" s="37">
        <f t="shared" si="538"/>
        <v>3353.07</v>
      </c>
      <c r="H589" s="37">
        <f t="shared" si="538"/>
        <v>3421.28</v>
      </c>
      <c r="T589" s="135" t="s">
        <v>349</v>
      </c>
      <c r="U589" s="37">
        <f t="shared" ref="U589:Z589" si="539">IF(U565="-","-",ROUND(U565*$B$576,2))</f>
        <v>3304.79</v>
      </c>
      <c r="V589" s="37">
        <f t="shared" si="539"/>
        <v>3542.98</v>
      </c>
      <c r="W589" s="37">
        <f t="shared" si="539"/>
        <v>3710.32</v>
      </c>
      <c r="X589" s="37">
        <f t="shared" si="539"/>
        <v>4137.01</v>
      </c>
      <c r="Y589" s="37">
        <f t="shared" si="539"/>
        <v>4470.3500000000004</v>
      </c>
      <c r="Z589" s="37">
        <f t="shared" si="539"/>
        <v>4670.3599999999997</v>
      </c>
      <c r="AC589" s="75">
        <f t="shared" si="516"/>
        <v>4</v>
      </c>
      <c r="AD589" s="37">
        <f t="shared" si="517"/>
        <v>2709.1</v>
      </c>
      <c r="AE589" s="37">
        <f t="shared" si="517"/>
        <v>2878.46</v>
      </c>
      <c r="AF589" s="37">
        <f t="shared" si="517"/>
        <v>3022.36</v>
      </c>
      <c r="AG589" s="37">
        <f t="shared" si="517"/>
        <v>3123.96</v>
      </c>
      <c r="AH589" s="37">
        <f t="shared" si="517"/>
        <v>3191.69</v>
      </c>
      <c r="AI589" s="37">
        <f t="shared" si="517"/>
        <v>3352.54</v>
      </c>
    </row>
    <row r="590" spans="1:35">
      <c r="A590" s="155" t="str">
        <f t="shared" si="518"/>
        <v>EG</v>
      </c>
      <c r="B590" s="75">
        <f t="shared" si="519"/>
        <v>6</v>
      </c>
      <c r="C590" s="37">
        <f t="shared" ref="C590:H590" si="540">IF(C566="-","-",ROUND(C566*$B$576,2))</f>
        <v>2683.45</v>
      </c>
      <c r="D590" s="37">
        <f t="shared" si="540"/>
        <v>2867.82</v>
      </c>
      <c r="E590" s="37">
        <f t="shared" si="540"/>
        <v>2997.1</v>
      </c>
      <c r="F590" s="37">
        <f t="shared" si="540"/>
        <v>3125.04</v>
      </c>
      <c r="G590" s="37">
        <f t="shared" si="540"/>
        <v>3250.7</v>
      </c>
      <c r="H590" s="37">
        <f t="shared" si="540"/>
        <v>3314.71</v>
      </c>
      <c r="T590" s="135" t="s">
        <v>350</v>
      </c>
      <c r="U590" s="37">
        <f t="shared" ref="U590:Z590" si="541">IF(U566="-","-",ROUND(U566*$B$576,2))</f>
        <v>3242.17</v>
      </c>
      <c r="V590" s="37">
        <f t="shared" si="541"/>
        <v>3475.77</v>
      </c>
      <c r="W590" s="37">
        <f t="shared" si="541"/>
        <v>3641.71</v>
      </c>
      <c r="X590" s="37">
        <f t="shared" si="541"/>
        <v>4066.8</v>
      </c>
      <c r="Y590" s="37">
        <f t="shared" si="541"/>
        <v>4400.13</v>
      </c>
      <c r="Z590" s="37">
        <f t="shared" si="541"/>
        <v>4600.1400000000003</v>
      </c>
      <c r="AC590" s="75">
        <f t="shared" si="516"/>
        <v>3</v>
      </c>
      <c r="AD590" s="37">
        <f t="shared" si="517"/>
        <v>2539.8200000000002</v>
      </c>
      <c r="AE590" s="37">
        <f t="shared" si="517"/>
        <v>2675.27</v>
      </c>
      <c r="AF590" s="37">
        <f t="shared" si="517"/>
        <v>2785.31</v>
      </c>
      <c r="AG590" s="37">
        <f t="shared" si="517"/>
        <v>2878.46</v>
      </c>
      <c r="AH590" s="37">
        <f t="shared" si="517"/>
        <v>2937.72</v>
      </c>
      <c r="AI590" s="37">
        <f t="shared" si="517"/>
        <v>3064.68</v>
      </c>
    </row>
    <row r="591" spans="1:35">
      <c r="A591" s="155" t="str">
        <f t="shared" si="518"/>
        <v>EG</v>
      </c>
      <c r="B591" s="75">
        <f t="shared" si="519"/>
        <v>5</v>
      </c>
      <c r="C591" s="37">
        <f t="shared" ref="C591:H591" si="542">IF(C567="-","-",ROUND(C567*$B$576,2))</f>
        <v>2576.29</v>
      </c>
      <c r="D591" s="37">
        <f t="shared" si="542"/>
        <v>2755.14</v>
      </c>
      <c r="E591" s="37">
        <f t="shared" si="542"/>
        <v>2875.93</v>
      </c>
      <c r="F591" s="37">
        <f t="shared" si="542"/>
        <v>3003.85</v>
      </c>
      <c r="G591" s="37">
        <f t="shared" si="542"/>
        <v>3122.72</v>
      </c>
      <c r="H591" s="37">
        <f t="shared" si="542"/>
        <v>3184.15</v>
      </c>
      <c r="T591" s="135" t="s">
        <v>351</v>
      </c>
      <c r="U591" s="37">
        <f t="shared" ref="U591:Z591" si="543">IF(U567="-","-",ROUND(U567*$B$576,2))</f>
        <v>3017.83</v>
      </c>
      <c r="V591" s="37">
        <f t="shared" si="543"/>
        <v>3324.4</v>
      </c>
      <c r="W591" s="37">
        <f t="shared" si="543"/>
        <v>3477.7</v>
      </c>
      <c r="X591" s="37">
        <f t="shared" si="543"/>
        <v>3935.68</v>
      </c>
      <c r="Y591" s="37">
        <f t="shared" si="543"/>
        <v>4309.24</v>
      </c>
      <c r="Z591" s="37">
        <f t="shared" si="543"/>
        <v>4616.08</v>
      </c>
      <c r="AC591" s="75">
        <f>B425</f>
        <v>2</v>
      </c>
      <c r="AD591" s="37">
        <f t="shared" si="517"/>
        <v>2370.46</v>
      </c>
      <c r="AE591" s="37">
        <f t="shared" si="517"/>
        <v>2514.4</v>
      </c>
      <c r="AF591" s="37">
        <f t="shared" si="517"/>
        <v>2641.41</v>
      </c>
      <c r="AG591" s="37">
        <f t="shared" si="517"/>
        <v>2734.54</v>
      </c>
      <c r="AH591" s="37">
        <f t="shared" si="517"/>
        <v>2793.79</v>
      </c>
      <c r="AI591" s="37">
        <f t="shared" si="517"/>
        <v>2827.65</v>
      </c>
    </row>
    <row r="592" spans="1:35">
      <c r="A592" s="155" t="str">
        <f t="shared" si="518"/>
        <v>EG</v>
      </c>
      <c r="B592" s="75">
        <f t="shared" si="519"/>
        <v>4</v>
      </c>
      <c r="C592" s="37">
        <f t="shared" ref="C592:H592" si="544">IF(C568="-","-",ROUND(C568*$B$576,2))</f>
        <v>2456.5100000000002</v>
      </c>
      <c r="D592" s="37">
        <f t="shared" si="544"/>
        <v>2637.49</v>
      </c>
      <c r="E592" s="37">
        <f t="shared" si="544"/>
        <v>2789.34</v>
      </c>
      <c r="F592" s="37">
        <f t="shared" si="544"/>
        <v>2883.87</v>
      </c>
      <c r="G592" s="37">
        <f t="shared" si="544"/>
        <v>2978.39</v>
      </c>
      <c r="H592" s="37">
        <f t="shared" si="544"/>
        <v>3033.74</v>
      </c>
      <c r="T592" s="135" t="s">
        <v>141</v>
      </c>
      <c r="U592" s="37">
        <f t="shared" ref="U592:Z592" si="545">IF(U568="-","-",ROUND(U568*$B$576,2))</f>
        <v>2995.63</v>
      </c>
      <c r="V592" s="37">
        <f t="shared" si="545"/>
        <v>3211.18</v>
      </c>
      <c r="W592" s="37">
        <f t="shared" si="545"/>
        <v>3463.08</v>
      </c>
      <c r="X592" s="37">
        <f t="shared" si="545"/>
        <v>3831.49</v>
      </c>
      <c r="Y592" s="37">
        <f t="shared" si="545"/>
        <v>4179.82</v>
      </c>
      <c r="Z592" s="37">
        <f t="shared" si="545"/>
        <v>4446.8599999999997</v>
      </c>
      <c r="AC592" s="75">
        <f>B426</f>
        <v>1</v>
      </c>
      <c r="AD592" s="37" t="str">
        <f t="shared" si="517"/>
        <v/>
      </c>
      <c r="AE592" s="37" t="str">
        <f t="shared" si="517"/>
        <v/>
      </c>
      <c r="AF592" s="37">
        <f t="shared" si="517"/>
        <v>2116.5</v>
      </c>
      <c r="AG592" s="37" t="str">
        <f t="shared" si="517"/>
        <v/>
      </c>
      <c r="AH592" s="37" t="str">
        <f t="shared" si="517"/>
        <v/>
      </c>
      <c r="AI592" s="37" t="str">
        <f t="shared" si="517"/>
        <v/>
      </c>
    </row>
    <row r="593" spans="1:26">
      <c r="A593" s="155" t="str">
        <f t="shared" si="518"/>
        <v>EG</v>
      </c>
      <c r="B593" s="75">
        <f t="shared" si="519"/>
        <v>3</v>
      </c>
      <c r="C593" s="37">
        <f t="shared" ref="C593:H593" si="546">IF(C569="-","-",ROUND(C569*$B$576,2))</f>
        <v>2418.66</v>
      </c>
      <c r="D593" s="37">
        <f t="shared" si="546"/>
        <v>2613.29</v>
      </c>
      <c r="E593" s="37">
        <f t="shared" si="546"/>
        <v>2660.65</v>
      </c>
      <c r="F593" s="37">
        <f t="shared" si="546"/>
        <v>2768.92</v>
      </c>
      <c r="G593" s="37">
        <f t="shared" si="546"/>
        <v>2850.16</v>
      </c>
      <c r="H593" s="37">
        <f t="shared" si="546"/>
        <v>2924.58</v>
      </c>
      <c r="T593" s="135" t="s">
        <v>352</v>
      </c>
      <c r="U593" s="37">
        <f t="shared" ref="U593:Z593" si="547">IF(U569="-","-",ROUND(U569*$B$576,2))</f>
        <v>2995.63</v>
      </c>
      <c r="V593" s="37">
        <f t="shared" si="547"/>
        <v>3211.18</v>
      </c>
      <c r="W593" s="37">
        <f t="shared" si="547"/>
        <v>3463.08</v>
      </c>
      <c r="X593" s="37">
        <f t="shared" si="547"/>
        <v>3831.49</v>
      </c>
      <c r="Y593" s="37">
        <f t="shared" si="547"/>
        <v>4179.82</v>
      </c>
      <c r="Z593" s="37">
        <f t="shared" si="547"/>
        <v>4446.8599999999997</v>
      </c>
    </row>
    <row r="594" spans="1:26">
      <c r="A594" s="155" t="str">
        <f t="shared" si="518"/>
        <v>EG</v>
      </c>
      <c r="B594" s="75" t="str">
        <f t="shared" si="519"/>
        <v>2Ü</v>
      </c>
      <c r="C594" s="37">
        <f t="shared" ref="C594:H594" si="548">IF(C570="-","-",ROUND(C570*$B$576,2))</f>
        <v>2261.6</v>
      </c>
      <c r="D594" s="37">
        <f t="shared" si="548"/>
        <v>2487.98</v>
      </c>
      <c r="E594" s="37">
        <f t="shared" si="548"/>
        <v>2569.31</v>
      </c>
      <c r="F594" s="37">
        <f t="shared" si="548"/>
        <v>2677.75</v>
      </c>
      <c r="G594" s="37">
        <f t="shared" si="548"/>
        <v>2752.26</v>
      </c>
      <c r="H594" s="37">
        <f t="shared" si="548"/>
        <v>2861.58</v>
      </c>
      <c r="T594" s="135" t="s">
        <v>353</v>
      </c>
      <c r="U594" s="37">
        <f t="shared" ref="U594:Z594" si="549">IF(U570="-","-",ROUND(U570*$B$576,2))</f>
        <v>2931.61</v>
      </c>
      <c r="V594" s="37">
        <f t="shared" si="549"/>
        <v>3142.47</v>
      </c>
      <c r="W594" s="37">
        <f t="shared" si="549"/>
        <v>3360.03</v>
      </c>
      <c r="X594" s="37">
        <f t="shared" si="549"/>
        <v>3566.15</v>
      </c>
      <c r="Y594" s="37">
        <f t="shared" si="549"/>
        <v>3767.64</v>
      </c>
      <c r="Z594" s="37">
        <f t="shared" si="549"/>
        <v>3979.52</v>
      </c>
    </row>
    <row r="595" spans="1:26">
      <c r="A595" s="155" t="str">
        <f t="shared" si="518"/>
        <v>EG</v>
      </c>
      <c r="B595" s="75">
        <f>B571</f>
        <v>2</v>
      </c>
      <c r="C595" s="37">
        <f t="shared" ref="C595:H595" si="550">IF(C571="-","-",ROUND(C571*$B$576,2))</f>
        <v>2242.16</v>
      </c>
      <c r="D595" s="37">
        <f t="shared" si="550"/>
        <v>2439.13</v>
      </c>
      <c r="E595" s="37">
        <f t="shared" si="550"/>
        <v>2486.89</v>
      </c>
      <c r="F595" s="37">
        <f t="shared" si="550"/>
        <v>2555.0500000000002</v>
      </c>
      <c r="G595" s="37">
        <f t="shared" si="550"/>
        <v>2704.86</v>
      </c>
      <c r="H595" s="37">
        <f t="shared" si="550"/>
        <v>2861.58</v>
      </c>
      <c r="T595" s="135" t="s">
        <v>143</v>
      </c>
      <c r="U595" s="37">
        <f t="shared" ref="U595:Z595" si="551">IF(U571="-","-",ROUND(U571*$B$576,2))</f>
        <v>2855.54</v>
      </c>
      <c r="V595" s="37">
        <f t="shared" si="551"/>
        <v>3060.84</v>
      </c>
      <c r="W595" s="37">
        <f t="shared" si="551"/>
        <v>3265.12</v>
      </c>
      <c r="X595" s="37">
        <f t="shared" si="551"/>
        <v>3469.36</v>
      </c>
      <c r="Y595" s="37">
        <f t="shared" si="551"/>
        <v>3622.58</v>
      </c>
      <c r="Z595" s="37">
        <f t="shared" si="551"/>
        <v>3853.46</v>
      </c>
    </row>
    <row r="596" spans="1:26">
      <c r="A596" s="155" t="str">
        <f t="shared" si="518"/>
        <v>EG</v>
      </c>
      <c r="B596" s="75">
        <f t="shared" si="519"/>
        <v>1</v>
      </c>
      <c r="C596" s="37" t="str">
        <f t="shared" ref="C596:H596" si="552">IF(C572="-","-",ROUND(C572*$B$576,2))</f>
        <v>-</v>
      </c>
      <c r="D596" s="37">
        <f t="shared" si="552"/>
        <v>2015.52</v>
      </c>
      <c r="E596" s="37">
        <f t="shared" si="552"/>
        <v>2048.86</v>
      </c>
      <c r="F596" s="37">
        <f t="shared" si="552"/>
        <v>2090.5500000000002</v>
      </c>
      <c r="G596" s="37">
        <f t="shared" si="552"/>
        <v>2129.42</v>
      </c>
      <c r="H596" s="37">
        <f t="shared" si="552"/>
        <v>2229.4699999999998</v>
      </c>
      <c r="T596" s="135" t="s">
        <v>146</v>
      </c>
      <c r="U596" s="37">
        <f t="shared" ref="U596:Z596" si="553">IF(U572="-","-",ROUND(U572*$B$576,2))</f>
        <v>2730.63</v>
      </c>
      <c r="V596" s="37">
        <f t="shared" si="553"/>
        <v>2926.79</v>
      </c>
      <c r="W596" s="37">
        <f t="shared" si="553"/>
        <v>3105.53</v>
      </c>
      <c r="X596" s="37">
        <f t="shared" si="553"/>
        <v>3226.82</v>
      </c>
      <c r="Y596" s="37">
        <f t="shared" si="553"/>
        <v>3341.72</v>
      </c>
      <c r="Z596" s="37">
        <f t="shared" si="553"/>
        <v>3520.72</v>
      </c>
    </row>
    <row r="597" spans="1:26">
      <c r="T597" s="135" t="s">
        <v>147</v>
      </c>
      <c r="U597" s="37">
        <f t="shared" ref="U597:Z597" si="554">IF(U573="-","-",ROUND(U573*$B$576,2))</f>
        <v>2572.41</v>
      </c>
      <c r="V597" s="37">
        <f t="shared" si="554"/>
        <v>2756.99</v>
      </c>
      <c r="W597" s="37">
        <f t="shared" si="554"/>
        <v>2928.7</v>
      </c>
      <c r="X597" s="37">
        <f t="shared" si="554"/>
        <v>3086.37</v>
      </c>
      <c r="Y597" s="37">
        <f t="shared" si="554"/>
        <v>3158.51</v>
      </c>
      <c r="Z597" s="37">
        <f t="shared" si="554"/>
        <v>3244.68</v>
      </c>
    </row>
    <row r="598" spans="1:26">
      <c r="T598" s="135" t="s">
        <v>148</v>
      </c>
      <c r="U598" s="37">
        <f t="shared" ref="U598:Z598" si="555">IF(U574="-","-",ROUND(U574*$B$576,2))</f>
        <v>2377.38</v>
      </c>
      <c r="V598" s="37">
        <f t="shared" si="555"/>
        <v>2490.44</v>
      </c>
      <c r="W598" s="37">
        <f t="shared" si="555"/>
        <v>2574.0700000000002</v>
      </c>
      <c r="X598" s="37">
        <f t="shared" si="555"/>
        <v>2664.88</v>
      </c>
      <c r="Y598" s="37">
        <f t="shared" si="555"/>
        <v>2767</v>
      </c>
      <c r="Z598" s="37">
        <f t="shared" si="555"/>
        <v>2869.15</v>
      </c>
    </row>
  </sheetData>
  <phoneticPr fontId="0" type="noConversion"/>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9" tint="-0.249977111117893"/>
    <pageSetUpPr autoPageBreaks="0"/>
  </sheetPr>
  <dimension ref="A1:AC419"/>
  <sheetViews>
    <sheetView showZeros="0" showOutlineSymbols="0" topLeftCell="A19" zoomScaleNormal="50" zoomScaleSheetLayoutView="50" workbookViewId="0">
      <selection activeCell="J55" sqref="J55"/>
    </sheetView>
  </sheetViews>
  <sheetFormatPr baseColWidth="10" defaultColWidth="10.7109375" defaultRowHeight="11.25" customHeight="1"/>
  <cols>
    <col min="1" max="1" width="10.7109375" style="287" customWidth="1"/>
    <col min="2" max="3" width="6.42578125" style="287" customWidth="1"/>
    <col min="4" max="9" width="10.7109375" style="287" customWidth="1"/>
    <col min="10" max="10" width="17.85546875" style="287" customWidth="1"/>
    <col min="11" max="12" width="6.42578125" style="287" customWidth="1"/>
    <col min="13" max="16384" width="10.7109375" style="287"/>
  </cols>
  <sheetData>
    <row r="1" spans="1:26" ht="11.25" customHeight="1">
      <c r="A1" s="287" t="str">
        <f>Umse!B11</f>
        <v>1.2.</v>
      </c>
    </row>
    <row r="2" spans="1:26" ht="15" customHeight="1">
      <c r="B2" s="663"/>
      <c r="C2" s="664"/>
      <c r="D2" s="664"/>
      <c r="E2" s="664"/>
      <c r="F2" s="664"/>
      <c r="G2" s="664"/>
      <c r="H2" s="664"/>
      <c r="I2" s="664"/>
      <c r="J2" s="664"/>
      <c r="K2" s="664"/>
      <c r="L2" s="664"/>
      <c r="M2" s="664"/>
      <c r="N2" s="664"/>
      <c r="O2" s="665"/>
      <c r="P2" s="665"/>
      <c r="Q2" s="288"/>
      <c r="R2" s="289"/>
    </row>
    <row r="3" spans="1:26" ht="3.75" customHeight="1"/>
    <row r="4" spans="1:26" ht="13.5" customHeight="1">
      <c r="D4" s="290"/>
      <c r="E4" s="291" t="str">
        <f>IF(Umse!B11=0,"Bitte Tarifgebiet auswählen","")</f>
        <v/>
      </c>
      <c r="H4" s="291" t="str">
        <f>IF(Kalk!K3="Pflichtstunden","",IF(Umse!B11=0,"     Bitte Tarifgebiet auswählen",IF(Umse!C24=0,"     Bitte Vollzeit auswählen",IF(OR(Umse!B11="2.2.",Umse!B11="2.3.",Umse!B11="2.4.",Umse!B11="2.5."),"     Bitte Auswahl treffen",IF(AND(Kalk!B5=4,Umse!B50="Land (TdL)"),"     Bitte Auswahl treffen",IF(AND(Kalk!B5=5,Umse!B50="Land (TdL)"),"     Bitte Auswahl treffen",""))))))</f>
        <v/>
      </c>
      <c r="K4" s="666"/>
      <c r="L4" s="666"/>
      <c r="M4" s="666"/>
      <c r="N4" s="666"/>
      <c r="O4" s="666"/>
      <c r="P4" s="666"/>
    </row>
    <row r="5" spans="1:26" ht="13.5" customHeight="1">
      <c r="B5" s="292"/>
      <c r="C5" s="292"/>
      <c r="D5" s="293"/>
      <c r="E5" s="292"/>
      <c r="F5" s="667"/>
      <c r="G5" s="667"/>
      <c r="H5" s="293"/>
      <c r="I5" s="295"/>
      <c r="J5" s="296"/>
      <c r="K5" s="666"/>
      <c r="L5" s="666"/>
      <c r="M5" s="666"/>
      <c r="N5" s="666"/>
      <c r="O5" s="666"/>
      <c r="P5" s="666"/>
    </row>
    <row r="6" spans="1:26" ht="13.5" customHeight="1">
      <c r="I6" s="297"/>
      <c r="J6" s="298"/>
      <c r="K6" s="666"/>
      <c r="L6" s="666"/>
      <c r="M6" s="666"/>
      <c r="N6" s="666"/>
      <c r="O6" s="666"/>
      <c r="P6" s="666"/>
    </row>
    <row r="7" spans="1:26" s="299" customFormat="1" ht="3.75" customHeight="1">
      <c r="B7" s="300"/>
      <c r="C7" s="300"/>
      <c r="D7" s="301"/>
      <c r="E7" s="301"/>
      <c r="F7" s="301"/>
      <c r="G7" s="301"/>
      <c r="H7" s="301"/>
      <c r="I7" s="301"/>
      <c r="K7" s="302"/>
      <c r="L7" s="302"/>
      <c r="M7" s="303"/>
      <c r="N7" s="303"/>
      <c r="O7" s="303"/>
      <c r="P7" s="303"/>
      <c r="Q7" s="303"/>
      <c r="R7" s="303"/>
      <c r="U7" s="304"/>
      <c r="V7" s="304"/>
      <c r="W7" s="304"/>
      <c r="X7" s="304"/>
      <c r="Y7" s="304"/>
      <c r="Z7" s="304"/>
    </row>
    <row r="8" spans="1:26" s="299" customFormat="1" ht="3.75" customHeight="1">
      <c r="B8" s="301"/>
      <c r="C8" s="301"/>
      <c r="D8" s="301"/>
      <c r="E8" s="301"/>
      <c r="F8" s="301"/>
      <c r="G8" s="301"/>
      <c r="H8" s="301"/>
      <c r="I8" s="301"/>
      <c r="J8" s="305"/>
      <c r="K8" s="303"/>
      <c r="L8" s="303"/>
      <c r="M8" s="303"/>
      <c r="N8" s="303"/>
      <c r="O8" s="303"/>
      <c r="P8" s="303"/>
      <c r="Q8" s="303"/>
      <c r="R8" s="303"/>
      <c r="U8" s="304"/>
      <c r="V8" s="304"/>
      <c r="W8" s="304"/>
      <c r="X8" s="304"/>
      <c r="Y8" s="304"/>
      <c r="Z8" s="304"/>
    </row>
    <row r="9" spans="1:26" s="299" customFormat="1" ht="3.75" customHeight="1">
      <c r="B9" s="301"/>
      <c r="C9" s="301"/>
      <c r="D9" s="301"/>
      <c r="E9" s="301"/>
      <c r="F9" s="301"/>
      <c r="G9" s="301"/>
      <c r="H9" s="301"/>
      <c r="I9" s="301"/>
      <c r="J9" s="305"/>
      <c r="K9" s="303"/>
      <c r="L9" s="303"/>
      <c r="M9" s="303"/>
      <c r="N9" s="303"/>
      <c r="O9" s="303"/>
      <c r="P9" s="303"/>
      <c r="Q9" s="303"/>
      <c r="R9" s="303"/>
      <c r="U9" s="304"/>
      <c r="V9" s="304"/>
      <c r="W9" s="304"/>
      <c r="X9" s="304"/>
      <c r="Y9" s="304"/>
      <c r="Z9" s="304"/>
    </row>
    <row r="10" spans="1:26" ht="12.75" customHeight="1">
      <c r="B10" s="669" t="str">
        <f>K10</f>
        <v/>
      </c>
      <c r="C10" s="670"/>
      <c r="D10" s="670"/>
      <c r="E10" s="673" t="str">
        <f>IF(OR(Umse!$B$11="3.3.",Umse!$B$11="3.4.",Umse!$B$11="3.7.",Umse!$B$11="3.8.",Umse!$B$11="3.11.",Umse!$B$11="3.12."),"Stundenentgelt  ( Vollzeit )","")</f>
        <v/>
      </c>
      <c r="F10" s="673"/>
      <c r="G10" s="673"/>
      <c r="H10" s="661" t="str">
        <f>IF(OR(Umse!$B$11="3.3.",Umse!$B$11="3.4.",Umse!$B$11="3.7.",Umse!$B$11="3.8.",Umse!$B$11="3.11.",Umse!$B$11="3.12."),Umse!B62,"")</f>
        <v/>
      </c>
      <c r="I10" s="662"/>
      <c r="J10" s="294"/>
      <c r="K10" s="669" t="str">
        <f>IF(OR(Umse!$B$11="3.3.",Umse!$B$11="3.4.",Umse!$B$11="3.7.",Umse!$B$11="3.8.",Umse!$B$11="3.11.",Umse!$B$11="3.12."),'VKr-AT Ist'!A2,"")</f>
        <v/>
      </c>
      <c r="L10" s="670"/>
      <c r="M10" s="670"/>
      <c r="N10" s="673" t="str">
        <f>IF(OR(Umse!$B$11="3.3.",Umse!$B$11="3.4.",Umse!$B$11="3.7.",Umse!$B$11="3.8.",Umse!$B$11="3.11.",Umse!$B$11="3.12."),'VKr-AT Ist'!M1&amp;" "&amp;'VKr-AT Ist'!Q1,"")</f>
        <v/>
      </c>
      <c r="O10" s="673"/>
      <c r="P10" s="673"/>
      <c r="Q10" s="661" t="str">
        <f>IF(OR(Umse!$B$11="3.3.",Umse!$B$11="3.4.",Umse!$B$11="3.7.",Umse!$B$11="3.8.",Umse!$B$11="3.11.",Umse!$B$11="3.12."),Umse!B36,"")</f>
        <v/>
      </c>
      <c r="R10" s="662"/>
    </row>
    <row r="11" spans="1:26" ht="22.5" customHeight="1">
      <c r="B11" s="302" t="str">
        <f>K11</f>
        <v/>
      </c>
      <c r="C11" s="306"/>
      <c r="D11" s="306" t="str">
        <f t="shared" ref="D11:I11" si="0">M11</f>
        <v/>
      </c>
      <c r="E11" s="306" t="str">
        <f t="shared" si="0"/>
        <v/>
      </c>
      <c r="F11" s="306" t="str">
        <f t="shared" si="0"/>
        <v/>
      </c>
      <c r="G11" s="306" t="str">
        <f t="shared" si="0"/>
        <v/>
      </c>
      <c r="H11" s="306" t="str">
        <f t="shared" si="0"/>
        <v/>
      </c>
      <c r="I11" s="306" t="str">
        <f t="shared" si="0"/>
        <v/>
      </c>
      <c r="J11" s="307" t="str">
        <f>IF(Kalk!$B$4=3,'VKr-AT Ist'!J2,"")</f>
        <v/>
      </c>
      <c r="K11" s="302" t="str">
        <f>IF(OR(Umse!$C$24=0,Umse!$B$11=0),"",IF(OR(Umse!$B$11="3.3.",Umse!$B$11="3.4.",Umse!$B$11="3.7.",Umse!$B$11="3.8.",Umse!$B$11="3.11.",Umse!$B$11="3.12."),'VKr-AT Ist'!K2,""))</f>
        <v/>
      </c>
      <c r="L11" s="306"/>
      <c r="M11" s="306" t="str">
        <f>IF(OR(Umse!$C$24=0,Umse!$B$11=0),"",IF(OR(Umse!$B$11="3.3.",Umse!$B$11="3.4.",Umse!$B$11="3.7.",Umse!$B$11="3.8.",Umse!$B$11="3.11.",Umse!$B$11="3.12."),'VKr-AT Ist'!M2,""))</f>
        <v/>
      </c>
      <c r="N11" s="306" t="str">
        <f>IF(OR(Umse!$C$24=0,Umse!$B$11=0),"",IF(OR(Umse!$B$11="3.3.",Umse!$B$11="3.4.",Umse!$B$11="3.7.",Umse!$B$11="3.8.",Umse!$B$11="3.11.",Umse!$B$11="3.12."),'VKr-AT Ist'!N2,""))</f>
        <v/>
      </c>
      <c r="O11" s="306" t="str">
        <f>IF(OR(Umse!$C$24=0,Umse!$B$11=0),"",IF(OR(Umse!$B$11="3.3.",Umse!$B$11="3.4.",Umse!$B$11="3.7.",Umse!$B$11="3.8.",Umse!$B$11="3.11.",Umse!$B$11="3.12."),'VKr-AT Ist'!O2,""))</f>
        <v/>
      </c>
      <c r="P11" s="306" t="str">
        <f>IF(OR(Umse!$C$24=0,Umse!$B$11=0),"",IF(OR(Umse!$B$11="3.3.",Umse!$B$11="3.4.",Umse!$B$11="3.7.",Umse!$B$11="3.8.",Umse!$B$11="3.11.",Umse!$B$11="3.12."),'VKr-AT Ist'!P2,""))</f>
        <v/>
      </c>
      <c r="Q11" s="306" t="str">
        <f>IF(OR(Umse!$C$24=0,Umse!$B$11=0),"",IF(OR(Umse!$B$11="3.3.",Umse!$B$11="3.4.",Umse!$B$11="3.7.",Umse!$B$11="3.8.",Umse!$B$11="3.11.",Umse!$B$11="3.12."),'VKr-AT Ist'!Q2,""))</f>
        <v/>
      </c>
      <c r="R11" s="306" t="str">
        <f>IF(OR(Umse!$C$24=0,Umse!$B$11=0),"",IF(OR(Umse!$B$11="3.3.",Umse!$B$11="3.4.",Umse!$B$11="3.7.",Umse!$B$11="3.8.",Umse!$B$11="3.11.",Umse!$B$11="3.12."),'VKr-AT Ist'!R2,""))</f>
        <v/>
      </c>
    </row>
    <row r="12" spans="1:26" ht="11.25" customHeight="1">
      <c r="B12" s="306" t="str">
        <f t="shared" ref="B12:C28" si="1">K12</f>
        <v/>
      </c>
      <c r="C12" s="322" t="str">
        <f t="shared" si="1"/>
        <v/>
      </c>
      <c r="D12" s="308">
        <f>IF(OR(Umse!$B$11="3.3.",Umse!$B$11="3.4.",Umse!$B$11="3.7.",Umse!$B$11="3.8.",Umse!$B$11="3.11.",Umse!$B$11="3.12."),'VKr-AT Ist'!D3,0)</f>
        <v>0</v>
      </c>
      <c r="E12" s="308">
        <f>IF(OR(Umse!$B$11="3.3.",Umse!$B$11="3.4.",Umse!$B$11="3.7.",Umse!$B$11="3.8.",Umse!$B$11="3.11.",Umse!$B$11="3.12."),'VKr-AT Ist'!E3,0)</f>
        <v>0</v>
      </c>
      <c r="F12" s="308">
        <f>IF(OR(Umse!$B$11="3.3.",Umse!$B$11="3.4.",Umse!$B$11="3.7.",Umse!$B$11="3.8.",Umse!$B$11="3.11.",Umse!$B$11="3.12."),'VKr-AT Ist'!F3,0)</f>
        <v>0</v>
      </c>
      <c r="G12" s="308">
        <f>IF(OR(Umse!$B$11="3.3.",Umse!$B$11="3.4.",Umse!$B$11="3.7.",Umse!$B$11="3.8.",Umse!$B$11="3.11.",Umse!$B$11="3.12."),'VKr-AT Ist'!G3,0)</f>
        <v>0</v>
      </c>
      <c r="H12" s="308">
        <f>IF(OR(Umse!$B$11="3.3.",Umse!$B$11="3.4.",Umse!$B$11="3.7.",Umse!$B$11="3.8.",Umse!$B$11="3.11.",Umse!$B$11="3.12."),'VKr-AT Ist'!H3,0)</f>
        <v>0</v>
      </c>
      <c r="I12" s="308">
        <f>IF(OR(Umse!$B$11="3.3.",Umse!$B$11="3.4.",Umse!$B$11="3.7.",Umse!$B$11="3.8.",Umse!$B$11="3.11.",Umse!$B$11="3.12."),'VKr-AT Ist'!I3,0)</f>
        <v>0</v>
      </c>
      <c r="J12" s="307" t="str">
        <f>IF(Kalk!$B$4=3,'VKr-AT Ist'!J3,"")</f>
        <v/>
      </c>
      <c r="K12" s="306" t="str">
        <f>IF(OR(Umse!$C$24=0,Umse!$B$11=0),"",IF(OR(Umse!$B$11="3.3.",Umse!$B$11="3.4.",Umse!$B$11="3.7.",Umse!$B$11="3.8.",Umse!$B$11="3.11.",Umse!$B$11="3.12."),'VKr-AT Ist'!K3,""))</f>
        <v/>
      </c>
      <c r="L12" s="322" t="str">
        <f>IF(OR(Umse!$C$24=0,Umse!$B$11=0),"",IF(OR(Umse!$B$11="3.3.",Umse!$B$11="3.4.",Umse!$B$11="3.7.",Umse!$B$11="3.8.",Umse!$B$11="3.11.",Umse!$B$11="3.12."),'VKr-AT Ist'!L3,""))</f>
        <v/>
      </c>
      <c r="M12" s="308">
        <f>IF(OR(Umse!$C$24=0,Umse!$B$11=0),"",IF(OR(Umse!$B$11="3.3.",Umse!$B$11="3.4.",Umse!$B$11="3.7.",Umse!$B$11="3.8.",Umse!$B$11="3.11.",Umse!$B$11="3.12."),'VKr-AT Ist'!M3,0))</f>
        <v>0</v>
      </c>
      <c r="N12" s="308">
        <f>IF(OR(Umse!$C$24=0,Umse!$B$11=0),"",IF(OR(Umse!$B$11="3.3.",Umse!$B$11="3.4.",Umse!$B$11="3.7.",Umse!$B$11="3.8.",Umse!$B$11="3.11.",Umse!$B$11="3.12."),'VKr-AT Ist'!N3,0))</f>
        <v>0</v>
      </c>
      <c r="O12" s="308">
        <f>IF(OR(Umse!$C$24=0,Umse!$B$11=0),"",IF(OR(Umse!$B$11="3.3.",Umse!$B$11="3.4.",Umse!$B$11="3.7.",Umse!$B$11="3.8.",Umse!$B$11="3.11.",Umse!$B$11="3.12."),'VKr-AT Ist'!O3,0))</f>
        <v>0</v>
      </c>
      <c r="P12" s="308">
        <f>IF(OR(Umse!$C$24=0,Umse!$B$11=0),"",IF(OR(Umse!$B$11="3.3.",Umse!$B$11="3.4.",Umse!$B$11="3.7.",Umse!$B$11="3.8.",Umse!$B$11="3.11.",Umse!$B$11="3.12."),'VKr-AT Ist'!P3,0))</f>
        <v>0</v>
      </c>
      <c r="Q12" s="308">
        <f>IF(OR(Umse!$C$24=0,Umse!$B$11=0),"",IF(OR(Umse!$B$11="3.3.",Umse!$B$11="3.4.",Umse!$B$11="3.7.",Umse!$B$11="3.8.",Umse!$B$11="3.11.",Umse!$B$11="3.12."),'VKr-AT Ist'!Q3,0))</f>
        <v>0</v>
      </c>
      <c r="R12" s="308">
        <f>IF(OR(Umse!$C$24=0,Umse!$B$11=0),"",IF(OR(Umse!$B$11="3.3.",Umse!$B$11="3.4.",Umse!$B$11="3.7.",Umse!$B$11="3.8.",Umse!$B$11="3.11.",Umse!$B$11="3.12."),'VKr-AT Ist'!R3,0))</f>
        <v>0</v>
      </c>
    </row>
    <row r="13" spans="1:26" ht="11.25" customHeight="1">
      <c r="B13" s="306" t="str">
        <f t="shared" si="1"/>
        <v/>
      </c>
      <c r="C13" s="322" t="str">
        <f t="shared" si="1"/>
        <v/>
      </c>
      <c r="D13" s="308">
        <f>IF(OR(Umse!$B$11="3.3.",Umse!$B$11="3.4.",Umse!$B$11="3.7.",Umse!$B$11="3.8.",Umse!$B$11="3.11.",Umse!$B$11="3.12."),'VKr-AT Ist'!D4,0)</f>
        <v>0</v>
      </c>
      <c r="E13" s="308">
        <f>IF(OR(Umse!$B$11="3.3.",Umse!$B$11="3.4.",Umse!$B$11="3.7.",Umse!$B$11="3.8.",Umse!$B$11="3.11.",Umse!$B$11="3.12."),'VKr-AT Ist'!E4,0)</f>
        <v>0</v>
      </c>
      <c r="F13" s="308">
        <f>IF(OR(Umse!$B$11="3.3.",Umse!$B$11="3.4.",Umse!$B$11="3.7.",Umse!$B$11="3.8.",Umse!$B$11="3.11.",Umse!$B$11="3.12."),'VKr-AT Ist'!F4,0)</f>
        <v>0</v>
      </c>
      <c r="G13" s="308">
        <f>IF(OR(Umse!$B$11="3.3.",Umse!$B$11="3.4.",Umse!$B$11="3.7.",Umse!$B$11="3.8.",Umse!$B$11="3.11.",Umse!$B$11="3.12."),'VKr-AT Ist'!G4,0)</f>
        <v>0</v>
      </c>
      <c r="H13" s="308">
        <f>IF(OR(Umse!$B$11="3.3.",Umse!$B$11="3.4.",Umse!$B$11="3.7.",Umse!$B$11="3.8.",Umse!$B$11="3.11.",Umse!$B$11="3.12."),'VKr-AT Ist'!H4,0)</f>
        <v>0</v>
      </c>
      <c r="I13" s="308">
        <f>IF(OR(Umse!$B$11="3.3.",Umse!$B$11="3.4.",Umse!$B$11="3.7.",Umse!$B$11="3.8.",Umse!$B$11="3.11.",Umse!$B$11="3.12."),'VKr-AT Ist'!I4,0)</f>
        <v>0</v>
      </c>
      <c r="J13" s="307" t="str">
        <f>IF(Kalk!$B$4=3,'VKr-AT Ist'!J4,"")</f>
        <v/>
      </c>
      <c r="K13" s="306" t="str">
        <f>IF(OR(Umse!$C$24=0,Umse!$B$11=0),"",IF(OR(Umse!$B$11="3.3.",Umse!$B$11="3.4.",Umse!$B$11="3.7.",Umse!$B$11="3.8.",Umse!$B$11="3.11.",Umse!$B$11="3.12."),'VKr-AT Ist'!K4,""))</f>
        <v/>
      </c>
      <c r="L13" s="322" t="str">
        <f>IF(OR(Umse!$C$24=0,Umse!$B$11=0),"",IF(OR(Umse!$B$11="3.3.",Umse!$B$11="3.4.",Umse!$B$11="3.7.",Umse!$B$11="3.8.",Umse!$B$11="3.11.",Umse!$B$11="3.12."),'VKr-AT Ist'!L4,""))</f>
        <v/>
      </c>
      <c r="M13" s="308">
        <f>IF(OR(Umse!$C$24=0,Umse!$B$11=0),"",IF(OR(Umse!$B$11="3.3.",Umse!$B$11="3.4.",Umse!$B$11="3.7.",Umse!$B$11="3.8.",Umse!$B$11="3.11.",Umse!$B$11="3.12."),'VKr-AT Ist'!M4,0))</f>
        <v>0</v>
      </c>
      <c r="N13" s="308">
        <f>IF(OR(Umse!$C$24=0,Umse!$B$11=0),"",IF(OR(Umse!$B$11="3.3.",Umse!$B$11="3.4.",Umse!$B$11="3.7.",Umse!$B$11="3.8.",Umse!$B$11="3.11.",Umse!$B$11="3.12."),'VKr-AT Ist'!N4,0))</f>
        <v>0</v>
      </c>
      <c r="O13" s="308">
        <f>IF(OR(Umse!$C$24=0,Umse!$B$11=0),"",IF(OR(Umse!$B$11="3.3.",Umse!$B$11="3.4.",Umse!$B$11="3.7.",Umse!$B$11="3.8.",Umse!$B$11="3.11.",Umse!$B$11="3.12."),'VKr-AT Ist'!O4,0))</f>
        <v>0</v>
      </c>
      <c r="P13" s="308">
        <f>IF(OR(Umse!$C$24=0,Umse!$B$11=0),"",IF(OR(Umse!$B$11="3.3.",Umse!$B$11="3.4.",Umse!$B$11="3.7.",Umse!$B$11="3.8.",Umse!$B$11="3.11.",Umse!$B$11="3.12."),'VKr-AT Ist'!P4,0))</f>
        <v>0</v>
      </c>
      <c r="Q13" s="308">
        <f>IF(OR(Umse!$C$24=0,Umse!$B$11=0),"",IF(OR(Umse!$B$11="3.3.",Umse!$B$11="3.4.",Umse!$B$11="3.7.",Umse!$B$11="3.8.",Umse!$B$11="3.11.",Umse!$B$11="3.12."),'VKr-AT Ist'!Q4,0))</f>
        <v>0</v>
      </c>
      <c r="R13" s="308">
        <f>IF(OR(Umse!$C$24=0,Umse!$B$11=0),"",IF(OR(Umse!$B$11="3.3.",Umse!$B$11="3.4.",Umse!$B$11="3.7.",Umse!$B$11="3.8.",Umse!$B$11="3.11.",Umse!$B$11="3.12."),'VKr-AT Ist'!R4,0))</f>
        <v>0</v>
      </c>
    </row>
    <row r="14" spans="1:26" ht="11.25" customHeight="1">
      <c r="B14" s="306" t="str">
        <f t="shared" si="1"/>
        <v/>
      </c>
      <c r="C14" s="322" t="str">
        <f t="shared" si="1"/>
        <v/>
      </c>
      <c r="D14" s="308">
        <f>IF(OR(Umse!$B$11="3.3.",Umse!$B$11="3.4.",Umse!$B$11="3.7.",Umse!$B$11="3.8.",Umse!$B$11="3.11.",Umse!$B$11="3.12."),'VKr-AT Ist'!D5,0)</f>
        <v>0</v>
      </c>
      <c r="E14" s="308">
        <f>IF(OR(Umse!$B$11="3.3.",Umse!$B$11="3.4.",Umse!$B$11="3.7.",Umse!$B$11="3.8.",Umse!$B$11="3.11.",Umse!$B$11="3.12."),'VKr-AT Ist'!E5,0)</f>
        <v>0</v>
      </c>
      <c r="F14" s="308">
        <f>IF(OR(Umse!$B$11="3.3.",Umse!$B$11="3.4.",Umse!$B$11="3.7.",Umse!$B$11="3.8.",Umse!$B$11="3.11.",Umse!$B$11="3.12."),'VKr-AT Ist'!F5,0)</f>
        <v>0</v>
      </c>
      <c r="G14" s="308">
        <f>IF(OR(Umse!$B$11="3.3.",Umse!$B$11="3.4.",Umse!$B$11="3.7.",Umse!$B$11="3.8.",Umse!$B$11="3.11.",Umse!$B$11="3.12."),'VKr-AT Ist'!G5,0)</f>
        <v>0</v>
      </c>
      <c r="H14" s="308">
        <f>IF(OR(Umse!$B$11="3.3.",Umse!$B$11="3.4.",Umse!$B$11="3.7.",Umse!$B$11="3.8.",Umse!$B$11="3.11.",Umse!$B$11="3.12."),'VKr-AT Ist'!H5,0)</f>
        <v>0</v>
      </c>
      <c r="I14" s="308">
        <f>IF(OR(Umse!$B$11="3.3.",Umse!$B$11="3.4.",Umse!$B$11="3.7.",Umse!$B$11="3.8.",Umse!$B$11="3.11.",Umse!$B$11="3.12."),'VKr-AT Ist'!I5,0)</f>
        <v>0</v>
      </c>
      <c r="J14" s="307" t="str">
        <f>IF(Kalk!$B$4=3,'VKr-AT Ist'!J5,"")</f>
        <v/>
      </c>
      <c r="K14" s="306" t="str">
        <f>IF(OR(Umse!$C$24=0,Umse!$B$11=0),"",IF(OR(Umse!$B$11="3.3.",Umse!$B$11="3.4.",Umse!$B$11="3.7.",Umse!$B$11="3.8.",Umse!$B$11="3.11.",Umse!$B$11="3.12."),'VKr-AT Ist'!K5,""))</f>
        <v/>
      </c>
      <c r="L14" s="322" t="str">
        <f>IF(OR(Umse!$C$24=0,Umse!$B$11=0),"",IF(OR(Umse!$B$11="3.3.",Umse!$B$11="3.4.",Umse!$B$11="3.7.",Umse!$B$11="3.8.",Umse!$B$11="3.11.",Umse!$B$11="3.12."),'VKr-AT Ist'!L5,""))</f>
        <v/>
      </c>
      <c r="M14" s="308">
        <f>IF(OR(Umse!$C$24=0,Umse!$B$11=0),"",IF(OR(Umse!$B$11="3.3.",Umse!$B$11="3.4.",Umse!$B$11="3.7.",Umse!$B$11="3.8.",Umse!$B$11="3.11.",Umse!$B$11="3.12."),'VKr-AT Ist'!M5,0))</f>
        <v>0</v>
      </c>
      <c r="N14" s="308">
        <f>IF(OR(Umse!$C$24=0,Umse!$B$11=0),"",IF(OR(Umse!$B$11="3.3.",Umse!$B$11="3.4.",Umse!$B$11="3.7.",Umse!$B$11="3.8.",Umse!$B$11="3.11.",Umse!$B$11="3.12."),'VKr-AT Ist'!N5,0))</f>
        <v>0</v>
      </c>
      <c r="O14" s="308">
        <f>IF(OR(Umse!$C$24=0,Umse!$B$11=0),"",IF(OR(Umse!$B$11="3.3.",Umse!$B$11="3.4.",Umse!$B$11="3.7.",Umse!$B$11="3.8.",Umse!$B$11="3.11.",Umse!$B$11="3.12."),'VKr-AT Ist'!O5,0))</f>
        <v>0</v>
      </c>
      <c r="P14" s="308">
        <f>IF(OR(Umse!$C$24=0,Umse!$B$11=0),"",IF(OR(Umse!$B$11="3.3.",Umse!$B$11="3.4.",Umse!$B$11="3.7.",Umse!$B$11="3.8.",Umse!$B$11="3.11.",Umse!$B$11="3.12."),'VKr-AT Ist'!P5,0))</f>
        <v>0</v>
      </c>
      <c r="Q14" s="308">
        <f>IF(OR(Umse!$C$24=0,Umse!$B$11=0),"",IF(OR(Umse!$B$11="3.3.",Umse!$B$11="3.4.",Umse!$B$11="3.7.",Umse!$B$11="3.8.",Umse!$B$11="3.11.",Umse!$B$11="3.12."),'VKr-AT Ist'!Q5,0))</f>
        <v>0</v>
      </c>
      <c r="R14" s="308">
        <f>IF(OR(Umse!$C$24=0,Umse!$B$11=0),"",IF(OR(Umse!$B$11="3.3.",Umse!$B$11="3.4.",Umse!$B$11="3.7.",Umse!$B$11="3.8.",Umse!$B$11="3.11.",Umse!$B$11="3.12."),'VKr-AT Ist'!R5,0))</f>
        <v>0</v>
      </c>
    </row>
    <row r="15" spans="1:26" ht="11.25" customHeight="1">
      <c r="B15" s="306" t="str">
        <f t="shared" si="1"/>
        <v/>
      </c>
      <c r="C15" s="322" t="str">
        <f t="shared" si="1"/>
        <v/>
      </c>
      <c r="D15" s="308">
        <f>IF(OR(Umse!$B$11="3.3.",Umse!$B$11="3.4.",Umse!$B$11="3.7.",Umse!$B$11="3.8.",Umse!$B$11="3.11.",Umse!$B$11="3.12."),'VKr-AT Ist'!D6,0)</f>
        <v>0</v>
      </c>
      <c r="E15" s="308">
        <f>IF(OR(Umse!$B$11="3.3.",Umse!$B$11="3.4.",Umse!$B$11="3.7.",Umse!$B$11="3.8.",Umse!$B$11="3.11.",Umse!$B$11="3.12."),'VKr-AT Ist'!E6,0)</f>
        <v>0</v>
      </c>
      <c r="F15" s="308">
        <f>IF(OR(Umse!$B$11="3.3.",Umse!$B$11="3.4.",Umse!$B$11="3.7.",Umse!$B$11="3.8.",Umse!$B$11="3.11.",Umse!$B$11="3.12."),'VKr-AT Ist'!F6,0)</f>
        <v>0</v>
      </c>
      <c r="G15" s="308">
        <f>IF(OR(Umse!$B$11="3.3.",Umse!$B$11="3.4.",Umse!$B$11="3.7.",Umse!$B$11="3.8.",Umse!$B$11="3.11.",Umse!$B$11="3.12."),'VKr-AT Ist'!G6,0)</f>
        <v>0</v>
      </c>
      <c r="H15" s="308">
        <f>IF(OR(Umse!$B$11="3.3.",Umse!$B$11="3.4.",Umse!$B$11="3.7.",Umse!$B$11="3.8.",Umse!$B$11="3.11.",Umse!$B$11="3.12."),'VKr-AT Ist'!H6,0)</f>
        <v>0</v>
      </c>
      <c r="I15" s="308">
        <f>IF(OR(Umse!$B$11="3.3.",Umse!$B$11="3.4.",Umse!$B$11="3.7.",Umse!$B$11="3.8.",Umse!$B$11="3.11.",Umse!$B$11="3.12."),'VKr-AT Ist'!I6,0)</f>
        <v>0</v>
      </c>
      <c r="J15" s="307" t="str">
        <f>IF(Kalk!$B$4=3,'VKr-AT Ist'!J6,"")</f>
        <v/>
      </c>
      <c r="K15" s="306" t="str">
        <f>IF(OR(Umse!$C$24=0,Umse!$B$11=0),"",IF(OR(Umse!$B$11="3.3.",Umse!$B$11="3.4.",Umse!$B$11="3.7.",Umse!$B$11="3.8.",Umse!$B$11="3.11.",Umse!$B$11="3.12."),'VKr-AT Ist'!K6,""))</f>
        <v/>
      </c>
      <c r="L15" s="322" t="str">
        <f>IF(OR(Umse!$C$24=0,Umse!$B$11=0),"",IF(OR(Umse!$B$11="3.3.",Umse!$B$11="3.4.",Umse!$B$11="3.7.",Umse!$B$11="3.8.",Umse!$B$11="3.11.",Umse!$B$11="3.12."),'VKr-AT Ist'!L6,""))</f>
        <v/>
      </c>
      <c r="M15" s="308">
        <f>IF(OR(Umse!$C$24=0,Umse!$B$11=0),"",IF(OR(Umse!$B$11="3.3.",Umse!$B$11="3.4.",Umse!$B$11="3.7.",Umse!$B$11="3.8.",Umse!$B$11="3.11.",Umse!$B$11="3.12."),'VKr-AT Ist'!M6,0))</f>
        <v>0</v>
      </c>
      <c r="N15" s="308">
        <f>IF(OR(Umse!$C$24=0,Umse!$B$11=0),"",IF(OR(Umse!$B$11="3.3.",Umse!$B$11="3.4.",Umse!$B$11="3.7.",Umse!$B$11="3.8.",Umse!$B$11="3.11.",Umse!$B$11="3.12."),'VKr-AT Ist'!N6,0))</f>
        <v>0</v>
      </c>
      <c r="O15" s="308">
        <f>IF(OR(Umse!$C$24=0,Umse!$B$11=0),"",IF(OR(Umse!$B$11="3.3.",Umse!$B$11="3.4.",Umse!$B$11="3.7.",Umse!$B$11="3.8.",Umse!$B$11="3.11.",Umse!$B$11="3.12."),'VKr-AT Ist'!O6,0))</f>
        <v>0</v>
      </c>
      <c r="P15" s="308">
        <f>IF(OR(Umse!$C$24=0,Umse!$B$11=0),"",IF(OR(Umse!$B$11="3.3.",Umse!$B$11="3.4.",Umse!$B$11="3.7.",Umse!$B$11="3.8.",Umse!$B$11="3.11.",Umse!$B$11="3.12."),'VKr-AT Ist'!P6,0))</f>
        <v>0</v>
      </c>
      <c r="Q15" s="308">
        <f>IF(OR(Umse!$C$24=0,Umse!$B$11=0),"",IF(OR(Umse!$B$11="3.3.",Umse!$B$11="3.4.",Umse!$B$11="3.7.",Umse!$B$11="3.8.",Umse!$B$11="3.11.",Umse!$B$11="3.12."),'VKr-AT Ist'!Q6,0))</f>
        <v>0</v>
      </c>
      <c r="R15" s="308">
        <f>IF(OR(Umse!$C$24=0,Umse!$B$11=0),"",IF(OR(Umse!$B$11="3.3.",Umse!$B$11="3.4.",Umse!$B$11="3.7.",Umse!$B$11="3.8.",Umse!$B$11="3.11.",Umse!$B$11="3.12."),'VKr-AT Ist'!R6,0))</f>
        <v>0</v>
      </c>
    </row>
    <row r="16" spans="1:26" ht="11.25" customHeight="1">
      <c r="B16" s="306" t="str">
        <f t="shared" si="1"/>
        <v/>
      </c>
      <c r="C16" s="322" t="str">
        <f t="shared" si="1"/>
        <v/>
      </c>
      <c r="D16" s="308">
        <f>IF(OR(Umse!$B$11="3.3.",Umse!$B$11="3.4.",Umse!$B$11="3.7.",Umse!$B$11="3.8.",Umse!$B$11="3.11.",Umse!$B$11="3.12."),'VKr-AT Ist'!D7,0)</f>
        <v>0</v>
      </c>
      <c r="E16" s="308">
        <f>IF(OR(Umse!$B$11="3.3.",Umse!$B$11="3.4.",Umse!$B$11="3.7.",Umse!$B$11="3.8.",Umse!$B$11="3.11.",Umse!$B$11="3.12."),'VKr-AT Ist'!E7,0)</f>
        <v>0</v>
      </c>
      <c r="F16" s="308">
        <f>IF(OR(Umse!$B$11="3.3.",Umse!$B$11="3.4.",Umse!$B$11="3.7.",Umse!$B$11="3.8.",Umse!$B$11="3.11.",Umse!$B$11="3.12."),'VKr-AT Ist'!F7,0)</f>
        <v>0</v>
      </c>
      <c r="G16" s="308">
        <f>IF(OR(Umse!$B$11="3.3.",Umse!$B$11="3.4.",Umse!$B$11="3.7.",Umse!$B$11="3.8.",Umse!$B$11="3.11.",Umse!$B$11="3.12."),'VKr-AT Ist'!G7,0)</f>
        <v>0</v>
      </c>
      <c r="H16" s="308">
        <f>IF(OR(Umse!$B$11="3.3.",Umse!$B$11="3.4.",Umse!$B$11="3.7.",Umse!$B$11="3.8.",Umse!$B$11="3.11.",Umse!$B$11="3.12."),'VKr-AT Ist'!H7,0)</f>
        <v>0</v>
      </c>
      <c r="I16" s="308">
        <f>IF(OR(Umse!$B$11="3.3.",Umse!$B$11="3.4.",Umse!$B$11="3.7.",Umse!$B$11="3.8.",Umse!$B$11="3.11.",Umse!$B$11="3.12."),'VKr-AT Ist'!I7,0)</f>
        <v>0</v>
      </c>
      <c r="J16" s="307" t="str">
        <f>IF(Kalk!$B$4=3,'VKr-AT Ist'!J7,"")</f>
        <v/>
      </c>
      <c r="K16" s="306" t="str">
        <f>IF(OR(Umse!$C$24=0,Umse!$B$11=0),"",IF(OR(Umse!$B$11="3.3.",Umse!$B$11="3.4.",Umse!$B$11="3.7.",Umse!$B$11="3.8.",Umse!$B$11="3.11.",Umse!$B$11="3.12."),'VKr-AT Ist'!K7,""))</f>
        <v/>
      </c>
      <c r="L16" s="322" t="str">
        <f>IF(OR(Umse!$C$24=0,Umse!$B$11=0),"",IF(OR(Umse!$B$11="3.3.",Umse!$B$11="3.4.",Umse!$B$11="3.7.",Umse!$B$11="3.8.",Umse!$B$11="3.11.",Umse!$B$11="3.12."),'VKr-AT Ist'!L7,""))</f>
        <v/>
      </c>
      <c r="M16" s="308">
        <f>IF(OR(Umse!$C$24=0,Umse!$B$11=0),"",IF(OR(Umse!$B$11="3.3.",Umse!$B$11="3.4.",Umse!$B$11="3.7.",Umse!$B$11="3.8.",Umse!$B$11="3.11.",Umse!$B$11="3.12."),'VKr-AT Ist'!M7,0))</f>
        <v>0</v>
      </c>
      <c r="N16" s="308">
        <f>IF(OR(Umse!$C$24=0,Umse!$B$11=0),"",IF(OR(Umse!$B$11="3.3.",Umse!$B$11="3.4.",Umse!$B$11="3.7.",Umse!$B$11="3.8.",Umse!$B$11="3.11.",Umse!$B$11="3.12."),'VKr-AT Ist'!N7,0))</f>
        <v>0</v>
      </c>
      <c r="O16" s="308">
        <f>IF(OR(Umse!$C$24=0,Umse!$B$11=0),"",IF(OR(Umse!$B$11="3.3.",Umse!$B$11="3.4.",Umse!$B$11="3.7.",Umse!$B$11="3.8.",Umse!$B$11="3.11.",Umse!$B$11="3.12."),'VKr-AT Ist'!O7,0))</f>
        <v>0</v>
      </c>
      <c r="P16" s="308">
        <f>IF(OR(Umse!$C$24=0,Umse!$B$11=0),"",IF(OR(Umse!$B$11="3.3.",Umse!$B$11="3.4.",Umse!$B$11="3.7.",Umse!$B$11="3.8.",Umse!$B$11="3.11.",Umse!$B$11="3.12."),'VKr-AT Ist'!P7,0))</f>
        <v>0</v>
      </c>
      <c r="Q16" s="308">
        <f>IF(OR(Umse!$C$24=0,Umse!$B$11=0),"",IF(OR(Umse!$B$11="3.3.",Umse!$B$11="3.4.",Umse!$B$11="3.7.",Umse!$B$11="3.8.",Umse!$B$11="3.11.",Umse!$B$11="3.12."),'VKr-AT Ist'!Q7,0))</f>
        <v>0</v>
      </c>
      <c r="R16" s="308">
        <f>IF(OR(Umse!$C$24=0,Umse!$B$11=0),"",IF(OR(Umse!$B$11="3.3.",Umse!$B$11="3.4.",Umse!$B$11="3.7.",Umse!$B$11="3.8.",Umse!$B$11="3.11.",Umse!$B$11="3.12."),'VKr-AT Ist'!R7,0))</f>
        <v>0</v>
      </c>
    </row>
    <row r="17" spans="2:29" ht="11.25" customHeight="1">
      <c r="B17" s="306" t="str">
        <f t="shared" si="1"/>
        <v/>
      </c>
      <c r="C17" s="322" t="str">
        <f t="shared" si="1"/>
        <v/>
      </c>
      <c r="D17" s="308">
        <f>IF(OR(Umse!$B$11="3.3.",Umse!$B$11="3.4.",Umse!$B$11="3.7.",Umse!$B$11="3.8.",Umse!$B$11="3.11.",Umse!$B$11="3.12."),'VKr-AT Ist'!D8,0)</f>
        <v>0</v>
      </c>
      <c r="E17" s="308">
        <f>IF(OR(Umse!$B$11="3.3.",Umse!$B$11="3.4.",Umse!$B$11="3.7.",Umse!$B$11="3.8.",Umse!$B$11="3.11.",Umse!$B$11="3.12."),'VKr-AT Ist'!E8,0)</f>
        <v>0</v>
      </c>
      <c r="F17" s="308">
        <f>IF(OR(Umse!$B$11="3.3.",Umse!$B$11="3.4.",Umse!$B$11="3.7.",Umse!$B$11="3.8.",Umse!$B$11="3.11.",Umse!$B$11="3.12."),'VKr-AT Ist'!F8,0)</f>
        <v>0</v>
      </c>
      <c r="G17" s="308">
        <f>IF(OR(Umse!$B$11="3.3.",Umse!$B$11="3.4.",Umse!$B$11="3.7.",Umse!$B$11="3.8.",Umse!$B$11="3.11.",Umse!$B$11="3.12."),'VKr-AT Ist'!G8,0)</f>
        <v>0</v>
      </c>
      <c r="H17" s="308">
        <f>IF(OR(Umse!$B$11="3.3.",Umse!$B$11="3.4.",Umse!$B$11="3.7.",Umse!$B$11="3.8.",Umse!$B$11="3.11.",Umse!$B$11="3.12."),'VKr-AT Ist'!H8,0)</f>
        <v>0</v>
      </c>
      <c r="I17" s="308">
        <f>IF(OR(Umse!$B$11="3.3.",Umse!$B$11="3.4.",Umse!$B$11="3.7.",Umse!$B$11="3.8.",Umse!$B$11="3.11.",Umse!$B$11="3.12."),'VKr-AT Ist'!I8,0)</f>
        <v>0</v>
      </c>
      <c r="J17" s="307" t="str">
        <f>IF(Kalk!$B$4=3,'VKr-AT Ist'!J8,"")</f>
        <v/>
      </c>
      <c r="K17" s="306" t="str">
        <f>IF(OR(Umse!$C$24=0,Umse!$B$11=0),"",IF(OR(Umse!$B$11="3.3.",Umse!$B$11="3.4.",Umse!$B$11="3.7.",Umse!$B$11="3.8.",Umse!$B$11="3.11.",Umse!$B$11="3.12."),'VKr-AT Ist'!K8,""))</f>
        <v/>
      </c>
      <c r="L17" s="322" t="str">
        <f>IF(OR(Umse!$C$24=0,Umse!$B$11=0),"",IF(OR(Umse!$B$11="3.3.",Umse!$B$11="3.4.",Umse!$B$11="3.7.",Umse!$B$11="3.8.",Umse!$B$11="3.11.",Umse!$B$11="3.12."),'VKr-AT Ist'!L8,""))</f>
        <v/>
      </c>
      <c r="M17" s="308">
        <f>IF(OR(Umse!$C$24=0,Umse!$B$11=0),"",IF(OR(Umse!$B$11="3.3.",Umse!$B$11="3.4.",Umse!$B$11="3.7.",Umse!$B$11="3.8.",Umse!$B$11="3.11.",Umse!$B$11="3.12."),'VKr-AT Ist'!M8,0))</f>
        <v>0</v>
      </c>
      <c r="N17" s="308">
        <f>IF(OR(Umse!$C$24=0,Umse!$B$11=0),"",IF(OR(Umse!$B$11="3.3.",Umse!$B$11="3.4.",Umse!$B$11="3.7.",Umse!$B$11="3.8.",Umse!$B$11="3.11.",Umse!$B$11="3.12."),'VKr-AT Ist'!N8,0))</f>
        <v>0</v>
      </c>
      <c r="O17" s="308">
        <f>IF(OR(Umse!$C$24=0,Umse!$B$11=0),"",IF(OR(Umse!$B$11="3.3.",Umse!$B$11="3.4.",Umse!$B$11="3.7.",Umse!$B$11="3.8.",Umse!$B$11="3.11.",Umse!$B$11="3.12."),'VKr-AT Ist'!O8,0))</f>
        <v>0</v>
      </c>
      <c r="P17" s="308">
        <f>IF(OR(Umse!$C$24=0,Umse!$B$11=0),"",IF(OR(Umse!$B$11="3.3.",Umse!$B$11="3.4.",Umse!$B$11="3.7.",Umse!$B$11="3.8.",Umse!$B$11="3.11.",Umse!$B$11="3.12."),'VKr-AT Ist'!P8,0))</f>
        <v>0</v>
      </c>
      <c r="Q17" s="308">
        <f>IF(OR(Umse!$C$24=0,Umse!$B$11=0),"",IF(OR(Umse!$B$11="3.3.",Umse!$B$11="3.4.",Umse!$B$11="3.7.",Umse!$B$11="3.8.",Umse!$B$11="3.11.",Umse!$B$11="3.12."),'VKr-AT Ist'!Q8,0))</f>
        <v>0</v>
      </c>
      <c r="R17" s="308">
        <f>IF(OR(Umse!$C$24=0,Umse!$B$11=0),"",IF(OR(Umse!$B$11="3.3.",Umse!$B$11="3.4.",Umse!$B$11="3.7.",Umse!$B$11="3.8.",Umse!$B$11="3.11.",Umse!$B$11="3.12."),'VKr-AT Ist'!R8,0))</f>
        <v>0</v>
      </c>
    </row>
    <row r="18" spans="2:29" ht="11.25" customHeight="1">
      <c r="B18" s="306" t="str">
        <f t="shared" si="1"/>
        <v/>
      </c>
      <c r="C18" s="322" t="str">
        <f t="shared" si="1"/>
        <v/>
      </c>
      <c r="D18" s="308">
        <f>IF(OR(Umse!$B$11="3.3.",Umse!$B$11="3.4.",Umse!$B$11="3.7.",Umse!$B$11="3.8.",Umse!$B$11="3.11.",Umse!$B$11="3.12."),'VKr-AT Ist'!D9,0)</f>
        <v>0</v>
      </c>
      <c r="E18" s="308">
        <f>IF(OR(Umse!$B$11="3.3.",Umse!$B$11="3.4.",Umse!$B$11="3.7.",Umse!$B$11="3.8.",Umse!$B$11="3.11.",Umse!$B$11="3.12."),'VKr-AT Ist'!E9,0)</f>
        <v>0</v>
      </c>
      <c r="F18" s="308">
        <f>IF(OR(Umse!$B$11="3.3.",Umse!$B$11="3.4.",Umse!$B$11="3.7.",Umse!$B$11="3.8.",Umse!$B$11="3.11.",Umse!$B$11="3.12."),'VKr-AT Ist'!F9,0)</f>
        <v>0</v>
      </c>
      <c r="G18" s="308">
        <f>IF(OR(Umse!$B$11="3.3.",Umse!$B$11="3.4.",Umse!$B$11="3.7.",Umse!$B$11="3.8.",Umse!$B$11="3.11.",Umse!$B$11="3.12."),'VKr-AT Ist'!G9,0)</f>
        <v>0</v>
      </c>
      <c r="H18" s="308">
        <f>IF(OR(Umse!$B$11="3.3.",Umse!$B$11="3.4.",Umse!$B$11="3.7.",Umse!$B$11="3.8.",Umse!$B$11="3.11.",Umse!$B$11="3.12."),'VKr-AT Ist'!H9,0)</f>
        <v>0</v>
      </c>
      <c r="I18" s="308">
        <f>IF(OR(Umse!$B$11="3.3.",Umse!$B$11="3.4.",Umse!$B$11="3.7.",Umse!$B$11="3.8.",Umse!$B$11="3.11.",Umse!$B$11="3.12."),'VKr-AT Ist'!I9,0)</f>
        <v>0</v>
      </c>
      <c r="J18" s="307" t="str">
        <f>IF(Kalk!$B$4=3,'VKr-AT Ist'!J9,"")</f>
        <v/>
      </c>
      <c r="K18" s="306" t="str">
        <f>IF(OR(Umse!$C$24=0,Umse!$B$11=0),"",IF(OR(Umse!$B$11="3.3.",Umse!$B$11="3.4.",Umse!$B$11="3.7.",Umse!$B$11="3.8.",Umse!$B$11="3.11.",Umse!$B$11="3.12."),'VKr-AT Ist'!K9,""))</f>
        <v/>
      </c>
      <c r="L18" s="322" t="str">
        <f>IF(OR(Umse!$C$24=0,Umse!$B$11=0),"",IF(OR(Umse!$B$11="3.3.",Umse!$B$11="3.4.",Umse!$B$11="3.7.",Umse!$B$11="3.8.",Umse!$B$11="3.11.",Umse!$B$11="3.12."),'VKr-AT Ist'!L9,""))</f>
        <v/>
      </c>
      <c r="M18" s="308">
        <f>IF(OR(Umse!$C$24=0,Umse!$B$11=0),"",IF(OR(Umse!$B$11="3.3.",Umse!$B$11="3.4.",Umse!$B$11="3.7.",Umse!$B$11="3.8.",Umse!$B$11="3.11.",Umse!$B$11="3.12."),'VKr-AT Ist'!M9,0))</f>
        <v>0</v>
      </c>
      <c r="N18" s="308">
        <f>IF(OR(Umse!$C$24=0,Umse!$B$11=0),"",IF(OR(Umse!$B$11="3.3.",Umse!$B$11="3.4.",Umse!$B$11="3.7.",Umse!$B$11="3.8.",Umse!$B$11="3.11.",Umse!$B$11="3.12."),'VKr-AT Ist'!N9,0))</f>
        <v>0</v>
      </c>
      <c r="O18" s="308">
        <f>IF(OR(Umse!$C$24=0,Umse!$B$11=0),"",IF(OR(Umse!$B$11="3.3.",Umse!$B$11="3.4.",Umse!$B$11="3.7.",Umse!$B$11="3.8.",Umse!$B$11="3.11.",Umse!$B$11="3.12."),'VKr-AT Ist'!O9,0))</f>
        <v>0</v>
      </c>
      <c r="P18" s="308">
        <f>IF(OR(Umse!$C$24=0,Umse!$B$11=0),"",IF(OR(Umse!$B$11="3.3.",Umse!$B$11="3.4.",Umse!$B$11="3.7.",Umse!$B$11="3.8.",Umse!$B$11="3.11.",Umse!$B$11="3.12."),'VKr-AT Ist'!P9,0))</f>
        <v>0</v>
      </c>
      <c r="Q18" s="308">
        <f>IF(OR(Umse!$C$24=0,Umse!$B$11=0),"",IF(OR(Umse!$B$11="3.3.",Umse!$B$11="3.4.",Umse!$B$11="3.7.",Umse!$B$11="3.8.",Umse!$B$11="3.11.",Umse!$B$11="3.12."),'VKr-AT Ist'!Q9,0))</f>
        <v>0</v>
      </c>
      <c r="R18" s="308">
        <f>IF(OR(Umse!$C$24=0,Umse!$B$11=0),"",IF(OR(Umse!$B$11="3.3.",Umse!$B$11="3.4.",Umse!$B$11="3.7.",Umse!$B$11="3.8.",Umse!$B$11="3.11.",Umse!$B$11="3.12."),'VKr-AT Ist'!R9,0))</f>
        <v>0</v>
      </c>
    </row>
    <row r="19" spans="2:29" ht="11.25" customHeight="1">
      <c r="B19" s="306" t="str">
        <f t="shared" si="1"/>
        <v/>
      </c>
      <c r="C19" s="322" t="str">
        <f t="shared" si="1"/>
        <v/>
      </c>
      <c r="D19" s="308">
        <f>IF(OR(Umse!$B$11="3.3.",Umse!$B$11="3.4.",Umse!$B$11="3.7.",Umse!$B$11="3.8.",Umse!$B$11="3.11.",Umse!$B$11="3.12."),'VKr-AT Ist'!D10,0)</f>
        <v>0</v>
      </c>
      <c r="E19" s="308">
        <f>IF(OR(Umse!$B$11="3.3.",Umse!$B$11="3.4.",Umse!$B$11="3.7.",Umse!$B$11="3.8.",Umse!$B$11="3.11.",Umse!$B$11="3.12."),'VKr-AT Ist'!E10,0)</f>
        <v>0</v>
      </c>
      <c r="F19" s="308">
        <f>IF(OR(Umse!$B$11="3.3.",Umse!$B$11="3.4.",Umse!$B$11="3.7.",Umse!$B$11="3.8.",Umse!$B$11="3.11.",Umse!$B$11="3.12."),'VKr-AT Ist'!F10,0)</f>
        <v>0</v>
      </c>
      <c r="G19" s="308">
        <f>IF(OR(Umse!$B$11="3.3.",Umse!$B$11="3.4.",Umse!$B$11="3.7.",Umse!$B$11="3.8.",Umse!$B$11="3.11.",Umse!$B$11="3.12."),'VKr-AT Ist'!G10,0)</f>
        <v>0</v>
      </c>
      <c r="H19" s="308">
        <f>IF(OR(Umse!$B$11="3.3.",Umse!$B$11="3.4.",Umse!$B$11="3.7.",Umse!$B$11="3.8.",Umse!$B$11="3.11.",Umse!$B$11="3.12."),'VKr-AT Ist'!H10,0)</f>
        <v>0</v>
      </c>
      <c r="I19" s="308">
        <f>IF(OR(Umse!$B$11="3.3.",Umse!$B$11="3.4.",Umse!$B$11="3.7.",Umse!$B$11="3.8.",Umse!$B$11="3.11.",Umse!$B$11="3.12."),'VKr-AT Ist'!I10,0)</f>
        <v>0</v>
      </c>
      <c r="J19" s="307" t="str">
        <f>IF(Kalk!$B$4=3,'VKr-AT Ist'!J10,"")</f>
        <v/>
      </c>
      <c r="K19" s="306" t="str">
        <f>IF(OR(Umse!$C$24=0,Umse!$B$11=0),"",IF(OR(Umse!$B$11="3.3.",Umse!$B$11="3.4.",Umse!$B$11="3.7.",Umse!$B$11="3.8.",Umse!$B$11="3.11.",Umse!$B$11="3.12."),'VKr-AT Ist'!K10,""))</f>
        <v/>
      </c>
      <c r="L19" s="322" t="str">
        <f>IF(OR(Umse!$C$24=0,Umse!$B$11=0),"",IF(OR(Umse!$B$11="3.3.",Umse!$B$11="3.4.",Umse!$B$11="3.7.",Umse!$B$11="3.8.",Umse!$B$11="3.11.",Umse!$B$11="3.12."),'VKr-AT Ist'!L10,""))</f>
        <v/>
      </c>
      <c r="M19" s="308">
        <f>IF(OR(Umse!$C$24=0,Umse!$B$11=0),"",IF(OR(Umse!$B$11="3.3.",Umse!$B$11="3.4.",Umse!$B$11="3.7.",Umse!$B$11="3.8.",Umse!$B$11="3.11.",Umse!$B$11="3.12."),'VKr-AT Ist'!M10,0))</f>
        <v>0</v>
      </c>
      <c r="N19" s="308">
        <f>IF(OR(Umse!$C$24=0,Umse!$B$11=0),"",IF(OR(Umse!$B$11="3.3.",Umse!$B$11="3.4.",Umse!$B$11="3.7.",Umse!$B$11="3.8.",Umse!$B$11="3.11.",Umse!$B$11="3.12."),'VKr-AT Ist'!N10,0))</f>
        <v>0</v>
      </c>
      <c r="O19" s="308">
        <f>IF(OR(Umse!$C$24=0,Umse!$B$11=0),"",IF(OR(Umse!$B$11="3.3.",Umse!$B$11="3.4.",Umse!$B$11="3.7.",Umse!$B$11="3.8.",Umse!$B$11="3.11.",Umse!$B$11="3.12."),'VKr-AT Ist'!O10,0))</f>
        <v>0</v>
      </c>
      <c r="P19" s="308">
        <f>IF(OR(Umse!$C$24=0,Umse!$B$11=0),"",IF(OR(Umse!$B$11="3.3.",Umse!$B$11="3.4.",Umse!$B$11="3.7.",Umse!$B$11="3.8.",Umse!$B$11="3.11.",Umse!$B$11="3.12."),'VKr-AT Ist'!P10,0))</f>
        <v>0</v>
      </c>
      <c r="Q19" s="308">
        <f>IF(OR(Umse!$C$24=0,Umse!$B$11=0),"",IF(OR(Umse!$B$11="3.3.",Umse!$B$11="3.4.",Umse!$B$11="3.7.",Umse!$B$11="3.8.",Umse!$B$11="3.11.",Umse!$B$11="3.12."),'VKr-AT Ist'!Q10,0))</f>
        <v>0</v>
      </c>
      <c r="R19" s="308">
        <f>IF(OR(Umse!$C$24=0,Umse!$B$11=0),"",IF(OR(Umse!$B$11="3.3.",Umse!$B$11="3.4.",Umse!$B$11="3.7.",Umse!$B$11="3.8.",Umse!$B$11="3.11.",Umse!$B$11="3.12."),'VKr-AT Ist'!R10,0))</f>
        <v>0</v>
      </c>
    </row>
    <row r="20" spans="2:29" ht="11.25" customHeight="1">
      <c r="B20" s="306" t="str">
        <f t="shared" si="1"/>
        <v/>
      </c>
      <c r="C20" s="322" t="str">
        <f t="shared" si="1"/>
        <v/>
      </c>
      <c r="D20" s="308">
        <f>IF(OR(Umse!$B$11="3.3.",Umse!$B$11="3.4.",Umse!$B$11="3.7.",Umse!$B$11="3.8.",Umse!$B$11="3.11.",Umse!$B$11="3.12."),'VKr-AT Ist'!D11,0)</f>
        <v>0</v>
      </c>
      <c r="E20" s="308">
        <f>IF(OR(Umse!$B$11="3.3.",Umse!$B$11="3.4.",Umse!$B$11="3.7.",Umse!$B$11="3.8.",Umse!$B$11="3.11.",Umse!$B$11="3.12."),'VKr-AT Ist'!E11,0)</f>
        <v>0</v>
      </c>
      <c r="F20" s="308">
        <f>IF(OR(Umse!$B$11="3.3.",Umse!$B$11="3.4.",Umse!$B$11="3.7.",Umse!$B$11="3.8.",Umse!$B$11="3.11.",Umse!$B$11="3.12."),'VKr-AT Ist'!F11,0)</f>
        <v>0</v>
      </c>
      <c r="G20" s="308">
        <f>IF(OR(Umse!$B$11="3.3.",Umse!$B$11="3.4.",Umse!$B$11="3.7.",Umse!$B$11="3.8.",Umse!$B$11="3.11.",Umse!$B$11="3.12."),'VKr-AT Ist'!G11,0)</f>
        <v>0</v>
      </c>
      <c r="H20" s="308">
        <f>IF(OR(Umse!$B$11="3.3.",Umse!$B$11="3.4.",Umse!$B$11="3.7.",Umse!$B$11="3.8.",Umse!$B$11="3.11.",Umse!$B$11="3.12."),'VKr-AT Ist'!H11,0)</f>
        <v>0</v>
      </c>
      <c r="I20" s="308">
        <f>IF(OR(Umse!$B$11="3.3.",Umse!$B$11="3.4.",Umse!$B$11="3.7.",Umse!$B$11="3.8.",Umse!$B$11="3.11.",Umse!$B$11="3.12."),'VKr-AT Ist'!I11,0)</f>
        <v>0</v>
      </c>
      <c r="J20" s="307" t="str">
        <f>IF(Kalk!$B$4=3,'VKr-AT Ist'!J11,"")</f>
        <v/>
      </c>
      <c r="K20" s="306" t="str">
        <f>IF(OR(Umse!$C$24=0,Umse!$B$11=0),"",IF(OR(Umse!$B$11="3.3.",Umse!$B$11="3.4.",Umse!$B$11="3.7.",Umse!$B$11="3.8.",Umse!$B$11="3.11.",Umse!$B$11="3.12."),'VKr-AT Ist'!K11,""))</f>
        <v/>
      </c>
      <c r="L20" s="322" t="str">
        <f>IF(OR(Umse!$C$24=0,Umse!$B$11=0),"",IF(OR(Umse!$B$11="3.3.",Umse!$B$11="3.4.",Umse!$B$11="3.7.",Umse!$B$11="3.8.",Umse!$B$11="3.11.",Umse!$B$11="3.12."),'VKr-AT Ist'!L11,""))</f>
        <v/>
      </c>
      <c r="M20" s="308">
        <f>IF(OR(Umse!$C$24=0,Umse!$B$11=0),"",IF(OR(Umse!$B$11="3.3.",Umse!$B$11="3.4.",Umse!$B$11="3.7.",Umse!$B$11="3.8.",Umse!$B$11="3.11.",Umse!$B$11="3.12."),'VKr-AT Ist'!M11,0))</f>
        <v>0</v>
      </c>
      <c r="N20" s="308">
        <f>IF(OR(Umse!$C$24=0,Umse!$B$11=0),"",IF(OR(Umse!$B$11="3.3.",Umse!$B$11="3.4.",Umse!$B$11="3.7.",Umse!$B$11="3.8.",Umse!$B$11="3.11.",Umse!$B$11="3.12."),'VKr-AT Ist'!N11,0))</f>
        <v>0</v>
      </c>
      <c r="O20" s="308">
        <f>IF(OR(Umse!$C$24=0,Umse!$B$11=0),"",IF(OR(Umse!$B$11="3.3.",Umse!$B$11="3.4.",Umse!$B$11="3.7.",Umse!$B$11="3.8.",Umse!$B$11="3.11.",Umse!$B$11="3.12."),'VKr-AT Ist'!O11,0))</f>
        <v>0</v>
      </c>
      <c r="P20" s="308">
        <f>IF(OR(Umse!$C$24=0,Umse!$B$11=0),"",IF(OR(Umse!$B$11="3.3.",Umse!$B$11="3.4.",Umse!$B$11="3.7.",Umse!$B$11="3.8.",Umse!$B$11="3.11.",Umse!$B$11="3.12."),'VKr-AT Ist'!P11,0))</f>
        <v>0</v>
      </c>
      <c r="Q20" s="308">
        <f>IF(OR(Umse!$C$24=0,Umse!$B$11=0),"",IF(OR(Umse!$B$11="3.3.",Umse!$B$11="3.4.",Umse!$B$11="3.7.",Umse!$B$11="3.8.",Umse!$B$11="3.11.",Umse!$B$11="3.12."),'VKr-AT Ist'!Q11,0))</f>
        <v>0</v>
      </c>
      <c r="R20" s="308">
        <f>IF(OR(Umse!$C$24=0,Umse!$B$11=0),"",IF(OR(Umse!$B$11="3.3.",Umse!$B$11="3.4.",Umse!$B$11="3.7.",Umse!$B$11="3.8.",Umse!$B$11="3.11.",Umse!$B$11="3.12."),'VKr-AT Ist'!R11,0))</f>
        <v>0</v>
      </c>
    </row>
    <row r="21" spans="2:29" ht="11.25" customHeight="1">
      <c r="B21" s="306" t="str">
        <f t="shared" si="1"/>
        <v/>
      </c>
      <c r="C21" s="322" t="str">
        <f t="shared" si="1"/>
        <v/>
      </c>
      <c r="D21" s="308">
        <f>IF(OR(Umse!$B$11="3.3.",Umse!$B$11="3.4.",Umse!$B$11="3.7.",Umse!$B$11="3.8.",Umse!$B$11="3.11.",Umse!$B$11="3.12."),'VKr-AT Ist'!D12,0)</f>
        <v>0</v>
      </c>
      <c r="E21" s="308">
        <f>IF(OR(Umse!$B$11="3.3.",Umse!$B$11="3.4.",Umse!$B$11="3.7.",Umse!$B$11="3.8.",Umse!$B$11="3.11.",Umse!$B$11="3.12."),'VKr-AT Ist'!E12,0)</f>
        <v>0</v>
      </c>
      <c r="F21" s="308">
        <f>IF(OR(Umse!$B$11="3.3.",Umse!$B$11="3.4.",Umse!$B$11="3.7.",Umse!$B$11="3.8.",Umse!$B$11="3.11.",Umse!$B$11="3.12."),'VKr-AT Ist'!F12,0)</f>
        <v>0</v>
      </c>
      <c r="G21" s="308">
        <f>IF(OR(Umse!$B$11="3.3.",Umse!$B$11="3.4.",Umse!$B$11="3.7.",Umse!$B$11="3.8.",Umse!$B$11="3.11.",Umse!$B$11="3.12."),'VKr-AT Ist'!G12,0)</f>
        <v>0</v>
      </c>
      <c r="H21" s="308">
        <f>IF(OR(Umse!$B$11="3.3.",Umse!$B$11="3.4.",Umse!$B$11="3.7.",Umse!$B$11="3.8.",Umse!$B$11="3.11.",Umse!$B$11="3.12."),'VKr-AT Ist'!H12,0)</f>
        <v>0</v>
      </c>
      <c r="I21" s="308">
        <f>IF(OR(Umse!$B$11="3.3.",Umse!$B$11="3.4.",Umse!$B$11="3.7.",Umse!$B$11="3.8.",Umse!$B$11="3.11.",Umse!$B$11="3.12."),'VKr-AT Ist'!I12,0)</f>
        <v>0</v>
      </c>
      <c r="J21" s="307" t="str">
        <f>IF(Kalk!$B$4=3,'VKr-AT Ist'!J12,"")</f>
        <v/>
      </c>
      <c r="K21" s="306" t="str">
        <f>IF(OR(Umse!$C$24=0,Umse!$B$11=0),"",IF(OR(Umse!$B$11="3.3.",Umse!$B$11="3.4.",Umse!$B$11="3.7.",Umse!$B$11="3.8.",Umse!$B$11="3.11.",Umse!$B$11="3.12."),'VKr-AT Ist'!K12,""))</f>
        <v/>
      </c>
      <c r="L21" s="322" t="str">
        <f>IF(OR(Umse!$C$24=0,Umse!$B$11=0),"",IF(OR(Umse!$B$11="3.3.",Umse!$B$11="3.4.",Umse!$B$11="3.7.",Umse!$B$11="3.8.",Umse!$B$11="3.11.",Umse!$B$11="3.12."),'VKr-AT Ist'!L12,""))</f>
        <v/>
      </c>
      <c r="M21" s="308">
        <f>IF(OR(Umse!$C$24=0,Umse!$B$11=0),"",IF(OR(Umse!$B$11="3.3.",Umse!$B$11="3.4.",Umse!$B$11="3.7.",Umse!$B$11="3.8.",Umse!$B$11="3.11.",Umse!$B$11="3.12."),'VKr-AT Ist'!M12,0))</f>
        <v>0</v>
      </c>
      <c r="N21" s="308">
        <f>IF(OR(Umse!$C$24=0,Umse!$B$11=0),"",IF(OR(Umse!$B$11="3.3.",Umse!$B$11="3.4.",Umse!$B$11="3.7.",Umse!$B$11="3.8.",Umse!$B$11="3.11.",Umse!$B$11="3.12."),'VKr-AT Ist'!N12,0))</f>
        <v>0</v>
      </c>
      <c r="O21" s="308">
        <f>IF(OR(Umse!$C$24=0,Umse!$B$11=0),"",IF(OR(Umse!$B$11="3.3.",Umse!$B$11="3.4.",Umse!$B$11="3.7.",Umse!$B$11="3.8.",Umse!$B$11="3.11.",Umse!$B$11="3.12."),'VKr-AT Ist'!O12,0))</f>
        <v>0</v>
      </c>
      <c r="P21" s="308">
        <f>IF(OR(Umse!$C$24=0,Umse!$B$11=0),"",IF(OR(Umse!$B$11="3.3.",Umse!$B$11="3.4.",Umse!$B$11="3.7.",Umse!$B$11="3.8.",Umse!$B$11="3.11.",Umse!$B$11="3.12."),'VKr-AT Ist'!P12,0))</f>
        <v>0</v>
      </c>
      <c r="Q21" s="308">
        <f>IF(OR(Umse!$C$24=0,Umse!$B$11=0),"",IF(OR(Umse!$B$11="3.3.",Umse!$B$11="3.4.",Umse!$B$11="3.7.",Umse!$B$11="3.8.",Umse!$B$11="3.11.",Umse!$B$11="3.12."),'VKr-AT Ist'!Q12,0))</f>
        <v>0</v>
      </c>
      <c r="R21" s="308">
        <f>IF(OR(Umse!$C$24=0,Umse!$B$11=0),"",IF(OR(Umse!$B$11="3.3.",Umse!$B$11="3.4.",Umse!$B$11="3.7.",Umse!$B$11="3.8.",Umse!$B$11="3.11.",Umse!$B$11="3.12."),'VKr-AT Ist'!R12,0))</f>
        <v>0</v>
      </c>
    </row>
    <row r="22" spans="2:29" ht="11.25" customHeight="1">
      <c r="B22" s="306" t="str">
        <f t="shared" si="1"/>
        <v/>
      </c>
      <c r="C22" s="322" t="str">
        <f t="shared" si="1"/>
        <v/>
      </c>
      <c r="D22" s="308">
        <f>IF(OR(Umse!$B$11="3.3.",Umse!$B$11="3.4.",Umse!$B$11="3.7.",Umse!$B$11="3.8.",Umse!$B$11="3.11.",Umse!$B$11="3.12."),'VKr-AT Ist'!D13,0)</f>
        <v>0</v>
      </c>
      <c r="E22" s="308">
        <f>IF(OR(Umse!$B$11="3.3.",Umse!$B$11="3.4.",Umse!$B$11="3.7.",Umse!$B$11="3.8.",Umse!$B$11="3.11.",Umse!$B$11="3.12."),'VKr-AT Ist'!E13,0)</f>
        <v>0</v>
      </c>
      <c r="F22" s="308">
        <f>IF(OR(Umse!$B$11="3.3.",Umse!$B$11="3.4.",Umse!$B$11="3.7.",Umse!$B$11="3.8.",Umse!$B$11="3.11.",Umse!$B$11="3.12."),'VKr-AT Ist'!F13,0)</f>
        <v>0</v>
      </c>
      <c r="G22" s="308">
        <f>IF(OR(Umse!$B$11="3.3.",Umse!$B$11="3.4.",Umse!$B$11="3.7.",Umse!$B$11="3.8.",Umse!$B$11="3.11.",Umse!$B$11="3.12."),'VKr-AT Ist'!G13,0)</f>
        <v>0</v>
      </c>
      <c r="H22" s="308">
        <f>IF(OR(Umse!$B$11="3.3.",Umse!$B$11="3.4.",Umse!$B$11="3.7.",Umse!$B$11="3.8.",Umse!$B$11="3.11.",Umse!$B$11="3.12."),'VKr-AT Ist'!H13,0)</f>
        <v>0</v>
      </c>
      <c r="I22" s="308">
        <f>IF(OR(Umse!$B$11="3.3.",Umse!$B$11="3.4.",Umse!$B$11="3.7.",Umse!$B$11="3.8.",Umse!$B$11="3.11.",Umse!$B$11="3.12."),'VKr-AT Ist'!I13,0)</f>
        <v>0</v>
      </c>
      <c r="J22" s="307" t="str">
        <f>IF(Kalk!$B$4=3,'VKr-AT Ist'!J13,"")</f>
        <v/>
      </c>
      <c r="K22" s="306" t="str">
        <f>IF(OR(Umse!$C$24=0,Umse!$B$11=0),"",IF(OR(Umse!$B$11="3.3.",Umse!$B$11="3.4.",Umse!$B$11="3.7.",Umse!$B$11="3.8.",Umse!$B$11="3.11.",Umse!$B$11="3.12."),'VKr-AT Ist'!K13,""))</f>
        <v/>
      </c>
      <c r="L22" s="322" t="str">
        <f>IF(OR(Umse!$C$24=0,Umse!$B$11=0),"",IF(OR(Umse!$B$11="3.3.",Umse!$B$11="3.4.",Umse!$B$11="3.7.",Umse!$B$11="3.8.",Umse!$B$11="3.11.",Umse!$B$11="3.12."),'VKr-AT Ist'!L13,""))</f>
        <v/>
      </c>
      <c r="M22" s="308">
        <f>IF(OR(Umse!$C$24=0,Umse!$B$11=0),"",IF(OR(Umse!$B$11="3.3.",Umse!$B$11="3.4.",Umse!$B$11="3.7.",Umse!$B$11="3.8.",Umse!$B$11="3.11.",Umse!$B$11="3.12."),'VKr-AT Ist'!M13,0))</f>
        <v>0</v>
      </c>
      <c r="N22" s="308">
        <f>IF(OR(Umse!$C$24=0,Umse!$B$11=0),"",IF(OR(Umse!$B$11="3.3.",Umse!$B$11="3.4.",Umse!$B$11="3.7.",Umse!$B$11="3.8.",Umse!$B$11="3.11.",Umse!$B$11="3.12."),'VKr-AT Ist'!N13,0))</f>
        <v>0</v>
      </c>
      <c r="O22" s="308">
        <f>IF(OR(Umse!$C$24=0,Umse!$B$11=0),"",IF(OR(Umse!$B$11="3.3.",Umse!$B$11="3.4.",Umse!$B$11="3.7.",Umse!$B$11="3.8.",Umse!$B$11="3.11.",Umse!$B$11="3.12."),'VKr-AT Ist'!O13,0))</f>
        <v>0</v>
      </c>
      <c r="P22" s="308">
        <f>IF(OR(Umse!$C$24=0,Umse!$B$11=0),"",IF(OR(Umse!$B$11="3.3.",Umse!$B$11="3.4.",Umse!$B$11="3.7.",Umse!$B$11="3.8.",Umse!$B$11="3.11.",Umse!$B$11="3.12."),'VKr-AT Ist'!P13,0))</f>
        <v>0</v>
      </c>
      <c r="Q22" s="308">
        <f>IF(OR(Umse!$C$24=0,Umse!$B$11=0),"",IF(OR(Umse!$B$11="3.3.",Umse!$B$11="3.4.",Umse!$B$11="3.7.",Umse!$B$11="3.8.",Umse!$B$11="3.11.",Umse!$B$11="3.12."),'VKr-AT Ist'!Q13,0))</f>
        <v>0</v>
      </c>
      <c r="R22" s="308">
        <f>IF(OR(Umse!$C$24=0,Umse!$B$11=0),"",IF(OR(Umse!$B$11="3.3.",Umse!$B$11="3.4.",Umse!$B$11="3.7.",Umse!$B$11="3.8.",Umse!$B$11="3.11.",Umse!$B$11="3.12."),'VKr-AT Ist'!R13,0))</f>
        <v>0</v>
      </c>
    </row>
    <row r="23" spans="2:29" ht="11.25" customHeight="1">
      <c r="B23" s="306" t="str">
        <f t="shared" si="1"/>
        <v/>
      </c>
      <c r="C23" s="322" t="str">
        <f t="shared" si="1"/>
        <v/>
      </c>
      <c r="D23" s="308">
        <f>IF(OR(Umse!$B$11="3.3.",Umse!$B$11="3.4.",Umse!$B$11="3.7.",Umse!$B$11="3.8.",Umse!$B$11="3.11.",Umse!$B$11="3.12."),'VKr-AT Ist'!D14,0)</f>
        <v>0</v>
      </c>
      <c r="E23" s="308">
        <f>IF(OR(Umse!$B$11="3.3.",Umse!$B$11="3.4.",Umse!$B$11="3.7.",Umse!$B$11="3.8.",Umse!$B$11="3.11.",Umse!$B$11="3.12."),'VKr-AT Ist'!E14,0)</f>
        <v>0</v>
      </c>
      <c r="F23" s="308">
        <f>IF(OR(Umse!$B$11="3.3.",Umse!$B$11="3.4.",Umse!$B$11="3.7.",Umse!$B$11="3.8.",Umse!$B$11="3.11.",Umse!$B$11="3.12."),'VKr-AT Ist'!F14,0)</f>
        <v>0</v>
      </c>
      <c r="G23" s="308">
        <f>IF(OR(Umse!$B$11="3.3.",Umse!$B$11="3.4.",Umse!$B$11="3.7.",Umse!$B$11="3.8.",Umse!$B$11="3.11.",Umse!$B$11="3.12."),'VKr-AT Ist'!G14,0)</f>
        <v>0</v>
      </c>
      <c r="H23" s="308">
        <f>IF(OR(Umse!$B$11="3.3.",Umse!$B$11="3.4.",Umse!$B$11="3.7.",Umse!$B$11="3.8.",Umse!$B$11="3.11.",Umse!$B$11="3.12."),'VKr-AT Ist'!H14,0)</f>
        <v>0</v>
      </c>
      <c r="I23" s="308">
        <f>IF(OR(Umse!$B$11="3.3.",Umse!$B$11="3.4.",Umse!$B$11="3.7.",Umse!$B$11="3.8.",Umse!$B$11="3.11.",Umse!$B$11="3.12."),'VKr-AT Ist'!I14,0)</f>
        <v>0</v>
      </c>
      <c r="J23" s="307" t="str">
        <f>IF(Kalk!$B$4=3,'VKr-AT Ist'!J14,"")</f>
        <v/>
      </c>
      <c r="K23" s="306" t="str">
        <f>IF(OR(Umse!$C$24=0,Umse!$B$11=0),"",IF(OR(Umse!$B$11="3.3.",Umse!$B$11="3.4.",Umse!$B$11="3.7.",Umse!$B$11="3.8.",Umse!$B$11="3.11.",Umse!$B$11="3.12."),'VKr-AT Ist'!K14,""))</f>
        <v/>
      </c>
      <c r="L23" s="322" t="str">
        <f>IF(OR(Umse!$C$24=0,Umse!$B$11=0),"",IF(OR(Umse!$B$11="3.3.",Umse!$B$11="3.4.",Umse!$B$11="3.7.",Umse!$B$11="3.8.",Umse!$B$11="3.11.",Umse!$B$11="3.12."),'VKr-AT Ist'!L14,""))</f>
        <v/>
      </c>
      <c r="M23" s="308">
        <f>IF(OR(Umse!$C$24=0,Umse!$B$11=0),"",IF(OR(Umse!$B$11="3.3.",Umse!$B$11="3.4.",Umse!$B$11="3.7.",Umse!$B$11="3.8.",Umse!$B$11="3.11.",Umse!$B$11="3.12."),'VKr-AT Ist'!M14,0))</f>
        <v>0</v>
      </c>
      <c r="N23" s="308">
        <f>IF(OR(Umse!$C$24=0,Umse!$B$11=0),"",IF(OR(Umse!$B$11="3.3.",Umse!$B$11="3.4.",Umse!$B$11="3.7.",Umse!$B$11="3.8.",Umse!$B$11="3.11.",Umse!$B$11="3.12."),'VKr-AT Ist'!N14,0))</f>
        <v>0</v>
      </c>
      <c r="O23" s="308">
        <f>IF(OR(Umse!$C$24=0,Umse!$B$11=0),"",IF(OR(Umse!$B$11="3.3.",Umse!$B$11="3.4.",Umse!$B$11="3.7.",Umse!$B$11="3.8.",Umse!$B$11="3.11.",Umse!$B$11="3.12."),'VKr-AT Ist'!O14,0))</f>
        <v>0</v>
      </c>
      <c r="P23" s="308">
        <f>IF(OR(Umse!$C$24=0,Umse!$B$11=0),"",IF(OR(Umse!$B$11="3.3.",Umse!$B$11="3.4.",Umse!$B$11="3.7.",Umse!$B$11="3.8.",Umse!$B$11="3.11.",Umse!$B$11="3.12."),'VKr-AT Ist'!P14,0))</f>
        <v>0</v>
      </c>
      <c r="Q23" s="308">
        <f>IF(OR(Umse!$C$24=0,Umse!$B$11=0),"",IF(OR(Umse!$B$11="3.3.",Umse!$B$11="3.4.",Umse!$B$11="3.7.",Umse!$B$11="3.8.",Umse!$B$11="3.11.",Umse!$B$11="3.12."),'VKr-AT Ist'!Q14,0))</f>
        <v>0</v>
      </c>
      <c r="R23" s="308">
        <f>IF(OR(Umse!$C$24=0,Umse!$B$11=0),"",IF(OR(Umse!$B$11="3.3.",Umse!$B$11="3.4.",Umse!$B$11="3.7.",Umse!$B$11="3.8.",Umse!$B$11="3.11.",Umse!$B$11="3.12."),'VKr-AT Ist'!R14,0))</f>
        <v>0</v>
      </c>
    </row>
    <row r="24" spans="2:29" ht="11.25" customHeight="1">
      <c r="B24" s="306" t="str">
        <f t="shared" si="1"/>
        <v/>
      </c>
      <c r="C24" s="322" t="str">
        <f t="shared" si="1"/>
        <v/>
      </c>
      <c r="D24" s="308">
        <f>IF(OR(Umse!$B$11="3.3.",Umse!$B$11="3.4.",Umse!$B$11="3.7.",Umse!$B$11="3.8.",Umse!$B$11="3.11.",Umse!$B$11="3.12."),'VKr-AT Ist'!D15,0)</f>
        <v>0</v>
      </c>
      <c r="E24" s="308">
        <f>IF(OR(Umse!$B$11="3.3.",Umse!$B$11="3.4.",Umse!$B$11="3.7.",Umse!$B$11="3.8.",Umse!$B$11="3.11.",Umse!$B$11="3.12."),'VKr-AT Ist'!E15,0)</f>
        <v>0</v>
      </c>
      <c r="F24" s="308">
        <f>IF(OR(Umse!$B$11="3.3.",Umse!$B$11="3.4.",Umse!$B$11="3.7.",Umse!$B$11="3.8.",Umse!$B$11="3.11.",Umse!$B$11="3.12."),'VKr-AT Ist'!F15,0)</f>
        <v>0</v>
      </c>
      <c r="G24" s="308">
        <f>IF(OR(Umse!$B$11="3.3.",Umse!$B$11="3.4.",Umse!$B$11="3.7.",Umse!$B$11="3.8.",Umse!$B$11="3.11.",Umse!$B$11="3.12."),'VKr-AT Ist'!G15,0)</f>
        <v>0</v>
      </c>
      <c r="H24" s="308">
        <f>IF(OR(Umse!$B$11="3.3.",Umse!$B$11="3.4.",Umse!$B$11="3.7.",Umse!$B$11="3.8.",Umse!$B$11="3.11.",Umse!$B$11="3.12."),'VKr-AT Ist'!H15,0)</f>
        <v>0</v>
      </c>
      <c r="I24" s="308">
        <f>IF(OR(Umse!$B$11="3.3.",Umse!$B$11="3.4.",Umse!$B$11="3.7.",Umse!$B$11="3.8.",Umse!$B$11="3.11.",Umse!$B$11="3.12."),'VKr-AT Ist'!I15,0)</f>
        <v>0</v>
      </c>
      <c r="J24" s="307" t="str">
        <f>IF(Kalk!$B$4=3,'VKr-AT Ist'!J15,"")</f>
        <v/>
      </c>
      <c r="K24" s="306" t="str">
        <f>IF(OR(Umse!$C$24=0,Umse!$B$11=0),"",IF(OR(Umse!$B$11="3.3.",Umse!$B$11="3.4.",Umse!$B$11="3.7.",Umse!$B$11="3.8.",Umse!$B$11="3.11.",Umse!$B$11="3.12."),'VKr-AT Ist'!K15,""))</f>
        <v/>
      </c>
      <c r="L24" s="322" t="str">
        <f>IF(OR(Umse!$C$24=0,Umse!$B$11=0),"",IF(OR(Umse!$B$11="3.3.",Umse!$B$11="3.4.",Umse!$B$11="3.7.",Umse!$B$11="3.8.",Umse!$B$11="3.11.",Umse!$B$11="3.12."),'VKr-AT Ist'!L15,""))</f>
        <v/>
      </c>
      <c r="M24" s="308">
        <f>IF(OR(Umse!$C$24=0,Umse!$B$11=0),"",IF(OR(Umse!$B$11="3.3.",Umse!$B$11="3.4.",Umse!$B$11="3.7.",Umse!$B$11="3.8.",Umse!$B$11="3.11.",Umse!$B$11="3.12."),'VKr-AT Ist'!M15,0))</f>
        <v>0</v>
      </c>
      <c r="N24" s="308">
        <f>IF(OR(Umse!$C$24=0,Umse!$B$11=0),"",IF(OR(Umse!$B$11="3.3.",Umse!$B$11="3.4.",Umse!$B$11="3.7.",Umse!$B$11="3.8.",Umse!$B$11="3.11.",Umse!$B$11="3.12."),'VKr-AT Ist'!N15,0))</f>
        <v>0</v>
      </c>
      <c r="O24" s="308">
        <f>IF(OR(Umse!$C$24=0,Umse!$B$11=0),"",IF(OR(Umse!$B$11="3.3.",Umse!$B$11="3.4.",Umse!$B$11="3.7.",Umse!$B$11="3.8.",Umse!$B$11="3.11.",Umse!$B$11="3.12."),'VKr-AT Ist'!O15,0))</f>
        <v>0</v>
      </c>
      <c r="P24" s="308">
        <f>IF(OR(Umse!$C$24=0,Umse!$B$11=0),"",IF(OR(Umse!$B$11="3.3.",Umse!$B$11="3.4.",Umse!$B$11="3.7.",Umse!$B$11="3.8.",Umse!$B$11="3.11.",Umse!$B$11="3.12."),'VKr-AT Ist'!P15,0))</f>
        <v>0</v>
      </c>
      <c r="Q24" s="308">
        <f>IF(OR(Umse!$C$24=0,Umse!$B$11=0),"",IF(OR(Umse!$B$11="3.3.",Umse!$B$11="3.4.",Umse!$B$11="3.7.",Umse!$B$11="3.8.",Umse!$B$11="3.11.",Umse!$B$11="3.12."),'VKr-AT Ist'!Q15,0))</f>
        <v>0</v>
      </c>
      <c r="R24" s="308">
        <f>IF(OR(Umse!$C$24=0,Umse!$B$11=0),"",IF(OR(Umse!$B$11="3.3.",Umse!$B$11="3.4.",Umse!$B$11="3.7.",Umse!$B$11="3.8.",Umse!$B$11="3.11.",Umse!$B$11="3.12."),'VKr-AT Ist'!R15,0))</f>
        <v>0</v>
      </c>
    </row>
    <row r="25" spans="2:29" ht="11.25" customHeight="1">
      <c r="B25" s="306" t="str">
        <f t="shared" si="1"/>
        <v/>
      </c>
      <c r="C25" s="322" t="str">
        <f t="shared" si="1"/>
        <v/>
      </c>
      <c r="D25" s="308">
        <f>IF(OR(Umse!$B$11="3.3.",Umse!$B$11="3.4.",Umse!$B$11="3.7.",Umse!$B$11="3.8.",Umse!$B$11="3.11.",Umse!$B$11="3.12."),'VKr-AT Ist'!D16,0)</f>
        <v>0</v>
      </c>
      <c r="E25" s="308">
        <f>IF(OR(Umse!$B$11="3.3.",Umse!$B$11="3.4.",Umse!$B$11="3.7.",Umse!$B$11="3.8.",Umse!$B$11="3.11.",Umse!$B$11="3.12."),'VKr-AT Ist'!E16,0)</f>
        <v>0</v>
      </c>
      <c r="F25" s="308">
        <f>IF(OR(Umse!$B$11="3.3.",Umse!$B$11="3.4.",Umse!$B$11="3.7.",Umse!$B$11="3.8.",Umse!$B$11="3.11.",Umse!$B$11="3.12."),'VKr-AT Ist'!F16,0)</f>
        <v>0</v>
      </c>
      <c r="G25" s="308">
        <f>IF(OR(Umse!$B$11="3.3.",Umse!$B$11="3.4.",Umse!$B$11="3.7.",Umse!$B$11="3.8.",Umse!$B$11="3.11.",Umse!$B$11="3.12."),'VKr-AT Ist'!G16,0)</f>
        <v>0</v>
      </c>
      <c r="H25" s="308">
        <f>IF(OR(Umse!$B$11="3.3.",Umse!$B$11="3.4.",Umse!$B$11="3.7.",Umse!$B$11="3.8.",Umse!$B$11="3.11.",Umse!$B$11="3.12."),'VKr-AT Ist'!H16,0)</f>
        <v>0</v>
      </c>
      <c r="I25" s="308">
        <f>IF(OR(Umse!$B$11="3.3.",Umse!$B$11="3.4.",Umse!$B$11="3.7.",Umse!$B$11="3.8.",Umse!$B$11="3.11.",Umse!$B$11="3.12."),'VKr-AT Ist'!I16,0)</f>
        <v>0</v>
      </c>
      <c r="J25" s="307" t="str">
        <f>IF(Kalk!$B$4=3,'VKr-AT Ist'!J16,"")</f>
        <v/>
      </c>
      <c r="K25" s="306" t="str">
        <f>IF(OR(Umse!$C$24=0,Umse!$B$11=0),"",IF(OR(Umse!$B$11="3.3.",Umse!$B$11="3.4.",Umse!$B$11="3.7.",Umse!$B$11="3.8.",Umse!$B$11="3.11.",Umse!$B$11="3.12."),'VKr-AT Ist'!K16,""))</f>
        <v/>
      </c>
      <c r="L25" s="322" t="str">
        <f>IF(OR(Umse!$C$24=0,Umse!$B$11=0),"",IF(OR(Umse!$B$11="3.3.",Umse!$B$11="3.4.",Umse!$B$11="3.7.",Umse!$B$11="3.8.",Umse!$B$11="3.11.",Umse!$B$11="3.12."),'VKr-AT Ist'!L16,""))</f>
        <v/>
      </c>
      <c r="M25" s="308">
        <f>IF(OR(Umse!$C$24=0,Umse!$B$11=0),"",IF(OR(Umse!$B$11="3.3.",Umse!$B$11="3.4.",Umse!$B$11="3.7.",Umse!$B$11="3.8.",Umse!$B$11="3.11.",Umse!$B$11="3.12."),'VKr-AT Ist'!M16,0))</f>
        <v>0</v>
      </c>
      <c r="N25" s="308">
        <f>IF(OR(Umse!$C$24=0,Umse!$B$11=0),"",IF(OR(Umse!$B$11="3.3.",Umse!$B$11="3.4.",Umse!$B$11="3.7.",Umse!$B$11="3.8.",Umse!$B$11="3.11.",Umse!$B$11="3.12."),'VKr-AT Ist'!N16,0))</f>
        <v>0</v>
      </c>
      <c r="O25" s="308">
        <f>IF(OR(Umse!$C$24=0,Umse!$B$11=0),"",IF(OR(Umse!$B$11="3.3.",Umse!$B$11="3.4.",Umse!$B$11="3.7.",Umse!$B$11="3.8.",Umse!$B$11="3.11.",Umse!$B$11="3.12."),'VKr-AT Ist'!O16,0))</f>
        <v>0</v>
      </c>
      <c r="P25" s="308">
        <f>IF(OR(Umse!$C$24=0,Umse!$B$11=0),"",IF(OR(Umse!$B$11="3.3.",Umse!$B$11="3.4.",Umse!$B$11="3.7.",Umse!$B$11="3.8.",Umse!$B$11="3.11.",Umse!$B$11="3.12."),'VKr-AT Ist'!P16,0))</f>
        <v>0</v>
      </c>
      <c r="Q25" s="308">
        <f>IF(OR(Umse!$C$24=0,Umse!$B$11=0),"",IF(OR(Umse!$B$11="3.3.",Umse!$B$11="3.4.",Umse!$B$11="3.7.",Umse!$B$11="3.8.",Umse!$B$11="3.11.",Umse!$B$11="3.12."),'VKr-AT Ist'!Q16,0))</f>
        <v>0</v>
      </c>
      <c r="R25" s="308">
        <f>IF(OR(Umse!$C$24=0,Umse!$B$11=0),"",IF(OR(Umse!$B$11="3.3.",Umse!$B$11="3.4.",Umse!$B$11="3.7.",Umse!$B$11="3.8.",Umse!$B$11="3.11.",Umse!$B$11="3.12."),'VKr-AT Ist'!R16,0))</f>
        <v>0</v>
      </c>
    </row>
    <row r="26" spans="2:29" ht="11.25" customHeight="1">
      <c r="B26" s="306" t="str">
        <f t="shared" si="1"/>
        <v/>
      </c>
      <c r="C26" s="322" t="str">
        <f t="shared" si="1"/>
        <v/>
      </c>
      <c r="D26" s="308">
        <f>IF(OR(Umse!$B$11="3.3.",Umse!$B$11="3.4.",Umse!$B$11="3.7.",Umse!$B$11="3.8.",Umse!$B$11="3.11.",Umse!$B$11="3.12."),'VKr-AT Ist'!D17,0)</f>
        <v>0</v>
      </c>
      <c r="E26" s="308">
        <f>IF(OR(Umse!$B$11="3.3.",Umse!$B$11="3.4.",Umse!$B$11="3.7.",Umse!$B$11="3.8.",Umse!$B$11="3.11.",Umse!$B$11="3.12."),'VKr-AT Ist'!E17,0)</f>
        <v>0</v>
      </c>
      <c r="F26" s="308">
        <f>IF(OR(Umse!$B$11="3.3.",Umse!$B$11="3.4.",Umse!$B$11="3.7.",Umse!$B$11="3.8.",Umse!$B$11="3.11.",Umse!$B$11="3.12."),'VKr-AT Ist'!F17,0)</f>
        <v>0</v>
      </c>
      <c r="G26" s="308">
        <f>IF(OR(Umse!$B$11="3.3.",Umse!$B$11="3.4.",Umse!$B$11="3.7.",Umse!$B$11="3.8.",Umse!$B$11="3.11.",Umse!$B$11="3.12."),'VKr-AT Ist'!G17,0)</f>
        <v>0</v>
      </c>
      <c r="H26" s="308">
        <f>IF(OR(Umse!$B$11="3.3.",Umse!$B$11="3.4.",Umse!$B$11="3.7.",Umse!$B$11="3.8.",Umse!$B$11="3.11.",Umse!$B$11="3.12."),'VKr-AT Ist'!H17,0)</f>
        <v>0</v>
      </c>
      <c r="I26" s="308">
        <f>IF(OR(Umse!$B$11="3.3.",Umse!$B$11="3.4.",Umse!$B$11="3.7.",Umse!$B$11="3.8.",Umse!$B$11="3.11.",Umse!$B$11="3.12."),'VKr-AT Ist'!I17,0)</f>
        <v>0</v>
      </c>
      <c r="J26" s="307" t="str">
        <f>IF(Kalk!$B$4=3,'VKr-AT Ist'!J17,"")</f>
        <v/>
      </c>
      <c r="K26" s="306" t="str">
        <f>IF(OR(Umse!$C$24=0,Umse!$B$11=0),"",IF(OR(Umse!$B$11="3.3.",Umse!$B$11="3.4.",Umse!$B$11="3.7.",Umse!$B$11="3.8.",Umse!$B$11="3.11.",Umse!$B$11="3.12."),'VKr-AT Ist'!K17,""))</f>
        <v/>
      </c>
      <c r="L26" s="322" t="str">
        <f>IF(OR(Umse!$C$24=0,Umse!$B$11=0),"",IF(OR(Umse!$B$11="3.3.",Umse!$B$11="3.4.",Umse!$B$11="3.7.",Umse!$B$11="3.8.",Umse!$B$11="3.11.",Umse!$B$11="3.12."),'VKr-AT Ist'!L17,""))</f>
        <v/>
      </c>
      <c r="M26" s="308">
        <f>IF(OR(Umse!$C$24=0,Umse!$B$11=0),"",IF(OR(Umse!$B$11="3.3.",Umse!$B$11="3.4.",Umse!$B$11="3.7.",Umse!$B$11="3.8.",Umse!$B$11="3.11.",Umse!$B$11="3.12."),'VKr-AT Ist'!M17,0))</f>
        <v>0</v>
      </c>
      <c r="N26" s="308">
        <f>IF(OR(Umse!$C$24=0,Umse!$B$11=0),"",IF(OR(Umse!$B$11="3.3.",Umse!$B$11="3.4.",Umse!$B$11="3.7.",Umse!$B$11="3.8.",Umse!$B$11="3.11.",Umse!$B$11="3.12."),'VKr-AT Ist'!N17,0))</f>
        <v>0</v>
      </c>
      <c r="O26" s="308">
        <f>IF(OR(Umse!$C$24=0,Umse!$B$11=0),"",IF(OR(Umse!$B$11="3.3.",Umse!$B$11="3.4.",Umse!$B$11="3.7.",Umse!$B$11="3.8.",Umse!$B$11="3.11.",Umse!$B$11="3.12."),'VKr-AT Ist'!O17,0))</f>
        <v>0</v>
      </c>
      <c r="P26" s="308">
        <f>IF(OR(Umse!$C$24=0,Umse!$B$11=0),"",IF(OR(Umse!$B$11="3.3.",Umse!$B$11="3.4.",Umse!$B$11="3.7.",Umse!$B$11="3.8.",Umse!$B$11="3.11.",Umse!$B$11="3.12."),'VKr-AT Ist'!P17,0))</f>
        <v>0</v>
      </c>
      <c r="Q26" s="308">
        <f>IF(OR(Umse!$C$24=0,Umse!$B$11=0),"",IF(OR(Umse!$B$11="3.3.",Umse!$B$11="3.4.",Umse!$B$11="3.7.",Umse!$B$11="3.8.",Umse!$B$11="3.11.",Umse!$B$11="3.12."),'VKr-AT Ist'!Q17,0))</f>
        <v>0</v>
      </c>
      <c r="R26" s="308">
        <f>IF(OR(Umse!$C$24=0,Umse!$B$11=0),"",IF(OR(Umse!$B$11="3.3.",Umse!$B$11="3.4.",Umse!$B$11="3.7.",Umse!$B$11="3.8.",Umse!$B$11="3.11.",Umse!$B$11="3.12."),'VKr-AT Ist'!R17,0))</f>
        <v>0</v>
      </c>
      <c r="T26" s="299"/>
      <c r="U26" s="299"/>
      <c r="V26" s="299"/>
    </row>
    <row r="27" spans="2:29" ht="11.25" customHeight="1">
      <c r="B27" s="306" t="str">
        <f t="shared" si="1"/>
        <v/>
      </c>
      <c r="C27" s="322" t="str">
        <f t="shared" si="1"/>
        <v/>
      </c>
      <c r="D27" s="308">
        <f>IF(OR(Umse!$B$11="3.3.",Umse!$B$11="3.4.",Umse!$B$11="3.7.",Umse!$B$11="3.8.",Umse!$B$11="3.11.",Umse!$B$11="3.12."),'VKr-AT Ist'!D18,0)</f>
        <v>0</v>
      </c>
      <c r="E27" s="308">
        <f>IF(OR(Umse!$B$11="3.3.",Umse!$B$11="3.4.",Umse!$B$11="3.7.",Umse!$B$11="3.8.",Umse!$B$11="3.11.",Umse!$B$11="3.12."),'VKr-AT Ist'!E18,0)</f>
        <v>0</v>
      </c>
      <c r="F27" s="308">
        <f>IF(OR(Umse!$B$11="3.3.",Umse!$B$11="3.4.",Umse!$B$11="3.7.",Umse!$B$11="3.8.",Umse!$B$11="3.11.",Umse!$B$11="3.12."),'VKr-AT Ist'!F18,0)</f>
        <v>0</v>
      </c>
      <c r="G27" s="308">
        <f>IF(OR(Umse!$B$11="3.3.",Umse!$B$11="3.4.",Umse!$B$11="3.7.",Umse!$B$11="3.8.",Umse!$B$11="3.11.",Umse!$B$11="3.12."),'VKr-AT Ist'!G18,0)</f>
        <v>0</v>
      </c>
      <c r="H27" s="308">
        <f>IF(OR(Umse!$B$11="3.3.",Umse!$B$11="3.4.",Umse!$B$11="3.7.",Umse!$B$11="3.8.",Umse!$B$11="3.11.",Umse!$B$11="3.12."),'VKr-AT Ist'!H18,0)</f>
        <v>0</v>
      </c>
      <c r="I27" s="308">
        <f>IF(OR(Umse!$B$11="3.3.",Umse!$B$11="3.4.",Umse!$B$11="3.7.",Umse!$B$11="3.8.",Umse!$B$11="3.11.",Umse!$B$11="3.12."),'VKr-AT Ist'!I18,0)</f>
        <v>0</v>
      </c>
      <c r="J27" s="307" t="str">
        <f>IF(Kalk!$B$4=3,'VKr-AT Ist'!J18,"")</f>
        <v/>
      </c>
      <c r="K27" s="306" t="str">
        <f>IF(OR(Umse!$C$24=0,Umse!$B$11=0),"",IF(OR(Umse!$B$11="3.3.",Umse!$B$11="3.4.",Umse!$B$11="3.7.",Umse!$B$11="3.8.",Umse!$B$11="3.11.",Umse!$B$11="3.12."),'VKr-AT Ist'!K18,""))</f>
        <v/>
      </c>
      <c r="L27" s="322" t="str">
        <f>IF(OR(Umse!$C$24=0,Umse!$B$11=0),"",IF(OR(Umse!$B$11="3.3.",Umse!$B$11="3.4.",Umse!$B$11="3.7.",Umse!$B$11="3.8.",Umse!$B$11="3.11.",Umse!$B$11="3.12."),'VKr-AT Ist'!L18,""))</f>
        <v/>
      </c>
      <c r="M27" s="308">
        <f>IF(OR(Umse!$C$24=0,Umse!$B$11=0),"",IF(OR(Umse!$B$11="3.3.",Umse!$B$11="3.4.",Umse!$B$11="3.7.",Umse!$B$11="3.8.",Umse!$B$11="3.11.",Umse!$B$11="3.12."),'VKr-AT Ist'!M18,0))</f>
        <v>0</v>
      </c>
      <c r="N27" s="308">
        <f>IF(OR(Umse!$C$24=0,Umse!$B$11=0),"",IF(OR(Umse!$B$11="3.3.",Umse!$B$11="3.4.",Umse!$B$11="3.7.",Umse!$B$11="3.8.",Umse!$B$11="3.11.",Umse!$B$11="3.12."),'VKr-AT Ist'!N18,0))</f>
        <v>0</v>
      </c>
      <c r="O27" s="308">
        <f>IF(OR(Umse!$C$24=0,Umse!$B$11=0),"",IF(OR(Umse!$B$11="3.3.",Umse!$B$11="3.4.",Umse!$B$11="3.7.",Umse!$B$11="3.8.",Umse!$B$11="3.11.",Umse!$B$11="3.12."),'VKr-AT Ist'!O18,0))</f>
        <v>0</v>
      </c>
      <c r="P27" s="308">
        <f>IF(OR(Umse!$C$24=0,Umse!$B$11=0),"",IF(OR(Umse!$B$11="3.3.",Umse!$B$11="3.4.",Umse!$B$11="3.7.",Umse!$B$11="3.8.",Umse!$B$11="3.11.",Umse!$B$11="3.12."),'VKr-AT Ist'!P18,0))</f>
        <v>0</v>
      </c>
      <c r="Q27" s="308">
        <f>IF(OR(Umse!$C$24=0,Umse!$B$11=0),"",IF(OR(Umse!$B$11="3.3.",Umse!$B$11="3.4.",Umse!$B$11="3.7.",Umse!$B$11="3.8.",Umse!$B$11="3.11.",Umse!$B$11="3.12."),'VKr-AT Ist'!Q18,0))</f>
        <v>0</v>
      </c>
      <c r="R27" s="308">
        <f>IF(OR(Umse!$C$24=0,Umse!$B$11=0),"",IF(OR(Umse!$B$11="3.3.",Umse!$B$11="3.4.",Umse!$B$11="3.7.",Umse!$B$11="3.8.",Umse!$B$11="3.11.",Umse!$B$11="3.12."),'VKr-AT Ist'!R18,0))</f>
        <v>0</v>
      </c>
      <c r="T27" s="299"/>
      <c r="U27" s="299"/>
      <c r="V27" s="299"/>
    </row>
    <row r="28" spans="2:29" ht="11.25" customHeight="1">
      <c r="B28" s="306" t="str">
        <f t="shared" si="1"/>
        <v/>
      </c>
      <c r="C28" s="322" t="str">
        <f t="shared" si="1"/>
        <v/>
      </c>
      <c r="D28" s="308">
        <f>IF(OR(Umse!$B$11="3.3.",Umse!$B$11="3.4.",Umse!$B$11="3.7.",Umse!$B$11="3.8.",Umse!$B$11="3.11.",Umse!$B$11="3.12."),'VKr-AT Ist'!D19,0)</f>
        <v>0</v>
      </c>
      <c r="E28" s="308">
        <f>IF(OR(Umse!$B$11="3.3.",Umse!$B$11="3.4.",Umse!$B$11="3.7.",Umse!$B$11="3.8.",Umse!$B$11="3.11.",Umse!$B$11="3.12."),'VKr-AT Ist'!E19,0)</f>
        <v>0</v>
      </c>
      <c r="F28" s="308">
        <f>IF(OR(Umse!$B$11="3.3.",Umse!$B$11="3.4.",Umse!$B$11="3.7.",Umse!$B$11="3.8.",Umse!$B$11="3.11.",Umse!$B$11="3.12."),'VKr-AT Ist'!F19,0)</f>
        <v>0</v>
      </c>
      <c r="G28" s="308">
        <f>IF(OR(Umse!$B$11="3.3.",Umse!$B$11="3.4.",Umse!$B$11="3.7.",Umse!$B$11="3.8.",Umse!$B$11="3.11.",Umse!$B$11="3.12."),'VKr-AT Ist'!G19,0)</f>
        <v>0</v>
      </c>
      <c r="H28" s="308">
        <f>IF(OR(Umse!$B$11="3.3.",Umse!$B$11="3.4.",Umse!$B$11="3.7.",Umse!$B$11="3.8.",Umse!$B$11="3.11.",Umse!$B$11="3.12."),'VKr-AT Ist'!H19,0)</f>
        <v>0</v>
      </c>
      <c r="I28" s="308">
        <f>IF(OR(Umse!$B$11="3.3.",Umse!$B$11="3.4.",Umse!$B$11="3.7.",Umse!$B$11="3.8.",Umse!$B$11="3.11.",Umse!$B$11="3.12."),'VKr-AT Ist'!I19,0)</f>
        <v>0</v>
      </c>
      <c r="J28" s="307" t="str">
        <f>IF(Kalk!$B$4=3,'VKr-AT Ist'!J19,"")</f>
        <v/>
      </c>
      <c r="K28" s="306" t="str">
        <f>IF(OR(Umse!$C$24=0,Umse!$B$11=0),"",IF(OR(Umse!$B$11="3.3.",Umse!$B$11="3.4.",Umse!$B$11="3.7.",Umse!$B$11="3.8.",Umse!$B$11="3.11.",Umse!$B$11="3.12."),'VKr-AT Ist'!K19,""))</f>
        <v/>
      </c>
      <c r="L28" s="322" t="str">
        <f>IF(OR(Umse!$C$24=0,Umse!$B$11=0),"",IF(OR(Umse!$B$11="3.3.",Umse!$B$11="3.4.",Umse!$B$11="3.7.",Umse!$B$11="3.8.",Umse!$B$11="3.11.",Umse!$B$11="3.12."),'VKr-AT Ist'!L19,""))</f>
        <v/>
      </c>
      <c r="M28" s="308">
        <f>IF(OR(Umse!$C$24=0,Umse!$B$11=0),"",IF(OR(Umse!$B$11="3.3.",Umse!$B$11="3.4.",Umse!$B$11="3.7.",Umse!$B$11="3.8.",Umse!$B$11="3.11.",Umse!$B$11="3.12."),'VKr-AT Ist'!M19,0))</f>
        <v>0</v>
      </c>
      <c r="N28" s="308">
        <f>IF(OR(Umse!$C$24=0,Umse!$B$11=0),"",IF(OR(Umse!$B$11="3.3.",Umse!$B$11="3.4.",Umse!$B$11="3.7.",Umse!$B$11="3.8.",Umse!$B$11="3.11.",Umse!$B$11="3.12."),'VKr-AT Ist'!N19,0))</f>
        <v>0</v>
      </c>
      <c r="O28" s="308">
        <f>IF(OR(Umse!$C$24=0,Umse!$B$11=0),"",IF(OR(Umse!$B$11="3.3.",Umse!$B$11="3.4.",Umse!$B$11="3.7.",Umse!$B$11="3.8.",Umse!$B$11="3.11.",Umse!$B$11="3.12."),'VKr-AT Ist'!O19,0))</f>
        <v>0</v>
      </c>
      <c r="P28" s="308">
        <f>IF(OR(Umse!$C$24=0,Umse!$B$11=0),"",IF(OR(Umse!$B$11="3.3.",Umse!$B$11="3.4.",Umse!$B$11="3.7.",Umse!$B$11="3.8.",Umse!$B$11="3.11.",Umse!$B$11="3.12."),'VKr-AT Ist'!P19,0))</f>
        <v>0</v>
      </c>
      <c r="Q28" s="308">
        <f>IF(OR(Umse!$C$24=0,Umse!$B$11=0),"",IF(OR(Umse!$B$11="3.3.",Umse!$B$11="3.4.",Umse!$B$11="3.7.",Umse!$B$11="3.8.",Umse!$B$11="3.11.",Umse!$B$11="3.12."),'VKr-AT Ist'!Q19,0))</f>
        <v>0</v>
      </c>
      <c r="R28" s="308">
        <f>IF(OR(Umse!$C$24=0,Umse!$B$11=0),"",IF(OR(Umse!$B$11="3.3.",Umse!$B$11="3.4.",Umse!$B$11="3.7.",Umse!$B$11="3.8.",Umse!$B$11="3.11.",Umse!$B$11="3.12."),'VKr-AT Ist'!R19,0))</f>
        <v>0</v>
      </c>
      <c r="T28" s="299"/>
      <c r="U28" s="299"/>
      <c r="V28" s="299"/>
    </row>
    <row r="29" spans="2:29" ht="11.25" customHeight="1">
      <c r="B29" s="306" t="str">
        <f>K29</f>
        <v/>
      </c>
      <c r="C29" s="322" t="str">
        <f>L29</f>
        <v/>
      </c>
      <c r="D29" s="308">
        <f>IF(OR(Umse!$B$11="3.3.",Umse!$B$11="3.4.",Umse!$B$11="3.7.",Umse!$B$11="3.8.",Umse!$B$11="3.11.",Umse!$B$11="3.12."),'VKr-AT Ist'!D20,0)</f>
        <v>0</v>
      </c>
      <c r="E29" s="308">
        <f>IF(OR(Umse!$B$11="3.3.",Umse!$B$11="3.4.",Umse!$B$11="3.7.",Umse!$B$11="3.8.",Umse!$B$11="3.11.",Umse!$B$11="3.12."),'VKr-AT Ist'!E20,0)</f>
        <v>0</v>
      </c>
      <c r="F29" s="308">
        <f>IF(OR(Umse!$B$11="3.3.",Umse!$B$11="3.4.",Umse!$B$11="3.7.",Umse!$B$11="3.8.",Umse!$B$11="3.11.",Umse!$B$11="3.12."),'VKr-AT Ist'!F20,0)</f>
        <v>0</v>
      </c>
      <c r="G29" s="308">
        <f>IF(OR(Umse!$B$11="3.3.",Umse!$B$11="3.4.",Umse!$B$11="3.7.",Umse!$B$11="3.8.",Umse!$B$11="3.11.",Umse!$B$11="3.12."),'VKr-AT Ist'!G20,0)</f>
        <v>0</v>
      </c>
      <c r="H29" s="308">
        <f>IF(OR(Umse!$B$11="3.3.",Umse!$B$11="3.4.",Umse!$B$11="3.7.",Umse!$B$11="3.8.",Umse!$B$11="3.11.",Umse!$B$11="3.12."),'VKr-AT Ist'!H20,0)</f>
        <v>0</v>
      </c>
      <c r="I29" s="308">
        <f>IF(OR(Umse!$B$11="3.3.",Umse!$B$11="3.4.",Umse!$B$11="3.7.",Umse!$B$11="3.8.",Umse!$B$11="3.11.",Umse!$B$11="3.12."),'VKr-AT Ist'!I20,0)</f>
        <v>0</v>
      </c>
      <c r="J29" s="307"/>
      <c r="K29" s="306" t="str">
        <f>IF(OR(Umse!$C$24=0,Umse!$B$11=0),"",IF(OR(Umse!$B$11="3.3.",Umse!$B$11="3.4.",Umse!$B$11="3.7.",Umse!$B$11="3.8.",Umse!$B$11="3.11.",Umse!$B$11="3.12."),'VKr-AT Ist'!K20,""))</f>
        <v/>
      </c>
      <c r="L29" s="322" t="str">
        <f>IF(OR(Umse!$C$24=0,Umse!$B$11=0),"",IF(OR(Umse!$B$11="3.3.",Umse!$B$11="3.4.",Umse!$B$11="3.7.",Umse!$B$11="3.8.",Umse!$B$11="3.11.",Umse!$B$11="3.12."),'VKr-AT Ist'!L20,""))</f>
        <v/>
      </c>
      <c r="M29" s="308">
        <f>IF(OR(Umse!$C$24=0,Umse!$B$11=0),"",IF(OR(Umse!$B$11="3.3.",Umse!$B$11="3.4.",Umse!$B$11="3.7.",Umse!$B$11="3.8.",Umse!$B$11="3.11.",Umse!$B$11="3.12."),'VKr-AT Ist'!M20,0))</f>
        <v>0</v>
      </c>
      <c r="N29" s="308">
        <f>IF(OR(Umse!$C$24=0,Umse!$B$11=0),"",IF(OR(Umse!$B$11="3.3.",Umse!$B$11="3.4.",Umse!$B$11="3.7.",Umse!$B$11="3.8.",Umse!$B$11="3.11.",Umse!$B$11="3.12."),'VKr-AT Ist'!N20,0))</f>
        <v>0</v>
      </c>
      <c r="O29" s="308">
        <f>IF(OR(Umse!$C$24=0,Umse!$B$11=0),"",IF(OR(Umse!$B$11="3.3.",Umse!$B$11="3.4.",Umse!$B$11="3.7.",Umse!$B$11="3.8.",Umse!$B$11="3.11.",Umse!$B$11="3.12."),'VKr-AT Ist'!O20,0))</f>
        <v>0</v>
      </c>
      <c r="P29" s="308">
        <f>IF(OR(Umse!$C$24=0,Umse!$B$11=0),"",IF(OR(Umse!$B$11="3.3.",Umse!$B$11="3.4.",Umse!$B$11="3.7.",Umse!$B$11="3.8.",Umse!$B$11="3.11.",Umse!$B$11="3.12."),'VKr-AT Ist'!P20,0))</f>
        <v>0</v>
      </c>
      <c r="Q29" s="308">
        <f>IF(OR(Umse!$C$24=0,Umse!$B$11=0),"",IF(OR(Umse!$B$11="3.3.",Umse!$B$11="3.4.",Umse!$B$11="3.7.",Umse!$B$11="3.8.",Umse!$B$11="3.11.",Umse!$B$11="3.12."),'VKr-AT Ist'!Q20,0))</f>
        <v>0</v>
      </c>
      <c r="R29" s="308">
        <f>IF(OR(Umse!$C$24=0,Umse!$B$11=0),"",IF(OR(Umse!$B$11="3.3.",Umse!$B$11="3.4.",Umse!$B$11="3.7.",Umse!$B$11="3.8.",Umse!$B$11="3.11.",Umse!$B$11="3.12."),'VKr-AT Ist'!R20,0))</f>
        <v>0</v>
      </c>
      <c r="S29" s="299"/>
      <c r="T29" s="299"/>
      <c r="U29" s="299"/>
      <c r="V29" s="299"/>
      <c r="W29" s="309"/>
      <c r="X29" s="299"/>
      <c r="Y29" s="299"/>
      <c r="Z29" s="299"/>
      <c r="AA29" s="299"/>
      <c r="AB29" s="299"/>
      <c r="AC29" s="299"/>
    </row>
    <row r="30" spans="2:29" ht="11.25" customHeight="1">
      <c r="B30" s="306" t="str">
        <f>K30</f>
        <v/>
      </c>
      <c r="C30" s="322" t="str">
        <f>L30</f>
        <v/>
      </c>
      <c r="D30" s="308">
        <f>IF(OR(Umse!$B$11="3.3.",Umse!$B$11="3.4.",Umse!$B$11="3.7.",Umse!$B$11="3.8.",Umse!$B$11="3.11.",Umse!$B$11="3.12."),'VKr-AT Ist'!D21,0)</f>
        <v>0</v>
      </c>
      <c r="E30" s="308">
        <f>IF(OR(Umse!$B$11="3.3.",Umse!$B$11="3.4.",Umse!$B$11="3.7.",Umse!$B$11="3.8.",Umse!$B$11="3.11.",Umse!$B$11="3.12."),'VKr-AT Ist'!E21,0)</f>
        <v>0</v>
      </c>
      <c r="F30" s="308">
        <f>IF(OR(Umse!$B$11="3.3.",Umse!$B$11="3.4.",Umse!$B$11="3.7.",Umse!$B$11="3.8.",Umse!$B$11="3.11.",Umse!$B$11="3.12."),'VKr-AT Ist'!F21,0)</f>
        <v>0</v>
      </c>
      <c r="G30" s="308">
        <f>IF(OR(Umse!$B$11="3.3.",Umse!$B$11="3.4.",Umse!$B$11="3.7.",Umse!$B$11="3.8.",Umse!$B$11="3.11.",Umse!$B$11="3.12."),'VKr-AT Ist'!G21,0)</f>
        <v>0</v>
      </c>
      <c r="H30" s="308">
        <f>IF(OR(Umse!$B$11="3.3.",Umse!$B$11="3.4.",Umse!$B$11="3.7.",Umse!$B$11="3.8.",Umse!$B$11="3.11.",Umse!$B$11="3.12."),'VKr-AT Ist'!H21,0)</f>
        <v>0</v>
      </c>
      <c r="I30" s="308">
        <f>IF(OR(Umse!$B$11="3.3.",Umse!$B$11="3.4.",Umse!$B$11="3.7.",Umse!$B$11="3.8.",Umse!$B$11="3.11.",Umse!$B$11="3.12."),'VKr-AT Ist'!I21,0)</f>
        <v>0</v>
      </c>
      <c r="J30" s="307"/>
      <c r="K30" s="306" t="str">
        <f>IF(OR(Umse!$C$24=0,Umse!$B$11=0),"",IF(OR(Umse!$B$11="3.3.",Umse!$B$11="3.4.",Umse!$B$11="3.7.",Umse!$B$11="3.8.",Umse!$B$11="3.11.",Umse!$B$11="3.12."),'VKr-AT Ist'!K21,""))</f>
        <v/>
      </c>
      <c r="L30" s="322" t="str">
        <f>IF(OR(Umse!$C$24=0,Umse!$B$11=0),"",IF(OR(Umse!$B$11="3.3.",Umse!$B$11="3.4.",Umse!$B$11="3.7.",Umse!$B$11="3.8.",Umse!$B$11="3.11.",Umse!$B$11="3.12."),'VKr-AT Ist'!L21,""))</f>
        <v/>
      </c>
      <c r="M30" s="308">
        <f>IF(OR(Umse!$C$24=0,Umse!$B$11=0),"",IF(OR(Umse!$B$11="3.3.",Umse!$B$11="3.4.",Umse!$B$11="3.7.",Umse!$B$11="3.8.",Umse!$B$11="3.11.",Umse!$B$11="3.12."),'VKr-AT Ist'!M21,0))</f>
        <v>0</v>
      </c>
      <c r="N30" s="308">
        <f>IF(OR(Umse!$C$24=0,Umse!$B$11=0),"",IF(OR(Umse!$B$11="3.3.",Umse!$B$11="3.4.",Umse!$B$11="3.7.",Umse!$B$11="3.8.",Umse!$B$11="3.11.",Umse!$B$11="3.12."),'VKr-AT Ist'!N21,0))</f>
        <v>0</v>
      </c>
      <c r="O30" s="308">
        <f>IF(OR(Umse!$C$24=0,Umse!$B$11=0),"",IF(OR(Umse!$B$11="3.3.",Umse!$B$11="3.4.",Umse!$B$11="3.7.",Umse!$B$11="3.8.",Umse!$B$11="3.11.",Umse!$B$11="3.12."),'VKr-AT Ist'!O21,0))</f>
        <v>0</v>
      </c>
      <c r="P30" s="308">
        <f>IF(OR(Umse!$C$24=0,Umse!$B$11=0),"",IF(OR(Umse!$B$11="3.3.",Umse!$B$11="3.4.",Umse!$B$11="3.7.",Umse!$B$11="3.8.",Umse!$B$11="3.11.",Umse!$B$11="3.12."),'VKr-AT Ist'!P21,0))</f>
        <v>0</v>
      </c>
      <c r="Q30" s="308">
        <f>IF(OR(Umse!$C$24=0,Umse!$B$11=0),"",IF(OR(Umse!$B$11="3.3.",Umse!$B$11="3.4.",Umse!$B$11="3.7.",Umse!$B$11="3.8.",Umse!$B$11="3.11.",Umse!$B$11="3.12."),'VKr-AT Ist'!Q21,0))</f>
        <v>0</v>
      </c>
      <c r="R30" s="308">
        <f>IF(OR(Umse!$C$24=0,Umse!$B$11=0),"",IF(OR(Umse!$B$11="3.3.",Umse!$B$11="3.4.",Umse!$B$11="3.7.",Umse!$B$11="3.8.",Umse!$B$11="3.11.",Umse!$B$11="3.12."),'VKr-AT Ist'!R21,0))</f>
        <v>0</v>
      </c>
      <c r="S30" s="299"/>
      <c r="T30" s="299"/>
      <c r="U30" s="299"/>
      <c r="V30" s="299"/>
      <c r="W30" s="309"/>
      <c r="X30" s="299"/>
      <c r="Y30" s="299"/>
      <c r="Z30" s="299"/>
      <c r="AA30" s="299"/>
      <c r="AB30" s="299"/>
      <c r="AC30" s="299"/>
    </row>
    <row r="31" spans="2:29" ht="11.25" customHeight="1">
      <c r="B31" s="306"/>
      <c r="C31" s="306"/>
      <c r="D31" s="308"/>
      <c r="E31" s="308"/>
      <c r="F31" s="308"/>
      <c r="G31" s="308"/>
      <c r="H31" s="308"/>
      <c r="I31" s="308"/>
      <c r="J31" s="307"/>
      <c r="K31" s="306"/>
      <c r="L31" s="306"/>
      <c r="M31" s="308"/>
      <c r="N31" s="308"/>
      <c r="O31" s="308"/>
      <c r="P31" s="308"/>
      <c r="Q31" s="308"/>
      <c r="R31" s="308"/>
      <c r="S31" s="299"/>
      <c r="T31" s="299"/>
      <c r="U31" s="299"/>
      <c r="V31" s="299"/>
      <c r="W31" s="309"/>
      <c r="X31" s="299"/>
      <c r="Y31" s="299"/>
      <c r="Z31" s="299"/>
      <c r="AA31" s="299"/>
      <c r="AB31" s="299"/>
      <c r="AC31" s="299"/>
    </row>
    <row r="32" spans="2:29" ht="11.25" customHeight="1">
      <c r="B32" s="306"/>
      <c r="C32" s="306"/>
      <c r="D32" s="308"/>
      <c r="E32" s="308"/>
      <c r="F32" s="308"/>
      <c r="G32" s="308"/>
      <c r="H32" s="308"/>
      <c r="I32" s="308"/>
      <c r="J32" s="307"/>
      <c r="K32" s="306"/>
      <c r="L32" s="306"/>
      <c r="M32" s="308"/>
      <c r="N32" s="308"/>
      <c r="O32" s="308"/>
      <c r="P32" s="308"/>
      <c r="Q32" s="308"/>
      <c r="R32" s="308"/>
      <c r="S32" s="299"/>
      <c r="T32" s="299"/>
      <c r="U32" s="299"/>
      <c r="V32" s="299"/>
      <c r="W32" s="309"/>
      <c r="X32" s="299"/>
      <c r="Y32" s="299"/>
      <c r="Z32" s="299"/>
      <c r="AA32" s="299"/>
      <c r="AB32" s="299"/>
      <c r="AC32" s="299"/>
    </row>
    <row r="33" spans="2:29" ht="11.25" customHeight="1">
      <c r="B33" s="306"/>
      <c r="C33" s="306"/>
      <c r="D33" s="308"/>
      <c r="E33" s="308"/>
      <c r="F33" s="308"/>
      <c r="G33" s="308"/>
      <c r="H33" s="308"/>
      <c r="I33" s="308"/>
      <c r="J33" s="307"/>
      <c r="K33" s="306"/>
      <c r="L33" s="306"/>
      <c r="M33" s="308"/>
      <c r="N33" s="308"/>
      <c r="O33" s="308"/>
      <c r="P33" s="308"/>
      <c r="Q33" s="308"/>
      <c r="R33" s="308"/>
      <c r="S33" s="299"/>
      <c r="T33" s="299"/>
      <c r="U33" s="299"/>
      <c r="V33" s="299"/>
      <c r="W33" s="309"/>
      <c r="X33" s="299"/>
      <c r="Y33" s="299"/>
      <c r="Z33" s="299"/>
      <c r="AA33" s="299"/>
      <c r="AB33" s="299"/>
      <c r="AC33" s="299"/>
    </row>
    <row r="34" spans="2:29" ht="3.75" customHeight="1">
      <c r="S34" s="299"/>
      <c r="T34" s="299"/>
      <c r="U34" s="299"/>
      <c r="V34" s="299"/>
      <c r="W34" s="309"/>
      <c r="X34" s="299"/>
      <c r="Y34" s="299"/>
      <c r="Z34" s="299"/>
      <c r="AA34" s="299"/>
      <c r="AB34" s="299"/>
      <c r="AC34" s="299"/>
    </row>
    <row r="35" spans="2:29" ht="12.75" customHeight="1">
      <c r="B35" s="669" t="str">
        <f>K10</f>
        <v/>
      </c>
      <c r="C35" s="670"/>
      <c r="D35" s="670"/>
      <c r="E35" s="673" t="str">
        <f>IF(OR(Umse!$B$11="3.3.",Umse!$B$11="3.4.",Umse!$B$11="3.7.",Umse!$B$11="3.8.",Umse!$B$11="3.11.",Umse!$B$11="3.12."),"Zeitzuschläge","")</f>
        <v/>
      </c>
      <c r="F35" s="673"/>
      <c r="G35" s="673"/>
      <c r="H35" s="661" t="str">
        <f>H10</f>
        <v/>
      </c>
      <c r="I35" s="662"/>
      <c r="J35" s="307"/>
      <c r="K35" s="310"/>
      <c r="L35" s="311"/>
      <c r="M35" s="312"/>
      <c r="N35" s="312"/>
      <c r="O35" s="312"/>
      <c r="P35" s="312"/>
      <c r="Q35" s="312"/>
      <c r="R35" s="313"/>
      <c r="S35" s="299"/>
      <c r="T35" s="299"/>
      <c r="U35" s="299"/>
      <c r="V35" s="299"/>
      <c r="W35" s="309"/>
      <c r="X35" s="299"/>
      <c r="Y35" s="299"/>
      <c r="Z35" s="299"/>
      <c r="AA35" s="299"/>
      <c r="AB35" s="299"/>
      <c r="AC35" s="299"/>
    </row>
    <row r="36" spans="2:29" ht="12.75" customHeight="1">
      <c r="B36" s="674" t="str">
        <f>IF(OR(Umse!$C$24=0,Umse!$B$11=0),"",IF(OR(Umse!$B$11="3.3.",Umse!$B$11="3.4.",Umse!$B$11="3.7.",Umse!$B$11="3.8.",Umse!$B$11="3.11.",Umse!$B$11="3.12."),'VKr-AT Ist'!B26,""))</f>
        <v/>
      </c>
      <c r="C36" s="675"/>
      <c r="D36" s="671" t="str">
        <f>IF(OR(Umse!$C$24=0,Umse!$B$11=0),"",IF(OR(Umse!$B$11="3.3.",Umse!$B$11="3.4.",Umse!$B$11="3.7.",Umse!$B$11="3.8.",Umse!$B$11="3.11.",Umse!$B$11="3.12."),'VKr-AT Ist'!D26,""))</f>
        <v/>
      </c>
      <c r="E36" s="671" t="str">
        <f>IF(OR(Umse!$C$24=0,Umse!$B$11=0),"",IF(OR(Umse!$B$11="3.3.",Umse!$B$11="3.4.",Umse!$B$11="3.7.",Umse!$B$11="3.8.",Umse!$B$11="3.11.",Umse!$B$11="3.12."),'VKr-AT Ist'!E26,""))</f>
        <v/>
      </c>
      <c r="F36" s="671" t="str">
        <f>IF(OR(Umse!$C$24=0,Umse!$B$11=0),"",IF(OR(Umse!$B$11="3.3.",Umse!$B$11="3.4.",Umse!$B$11="3.7.",Umse!$B$11="3.8.",Umse!$B$11="3.11.",Umse!$B$11="3.12."),'VKr-AT Ist'!F26,""))</f>
        <v/>
      </c>
      <c r="G36" s="671" t="str">
        <f>IF(OR(Umse!$C$24=0,Umse!$B$11=0),"",IF(OR(Umse!$B$11="3.3.",Umse!$B$11="3.4.",Umse!$B$11="3.7.",Umse!$B$11="3.8.",Umse!$B$11="3.11.",Umse!$B$11="3.12."),'VKr-AT Ist'!G26,""))</f>
        <v/>
      </c>
      <c r="H36" s="671" t="str">
        <f>IF(OR(Umse!$C$24=0,Umse!$B$11=0),"",IF(OR(Umse!$B$11="3.3.",Umse!$B$11="3.4.",Umse!$B$11="3.7.",Umse!$B$11="3.8.",Umse!$B$11="3.11.",Umse!$B$11="3.12."),'VKr-AT Ist'!H26,""))</f>
        <v/>
      </c>
      <c r="I36" s="671" t="str">
        <f>IF(OR(Umse!$C$24=0,Umse!$B$11=0),"",IF(OR(Umse!$B$11="3.3.",Umse!$B$11="3.4.",Umse!$B$11="3.7.",Umse!$B$11="3.8.",Umse!$B$11="3.11.",Umse!$B$11="3.12."),'VKr-AT Ist'!I26,""))</f>
        <v/>
      </c>
      <c r="J36" s="307"/>
      <c r="K36" s="668"/>
      <c r="L36" s="668"/>
      <c r="M36" s="668"/>
      <c r="N36" s="668"/>
      <c r="O36" s="668"/>
      <c r="P36" s="668"/>
      <c r="Q36" s="668"/>
      <c r="R36" s="668"/>
      <c r="S36" s="299"/>
      <c r="T36" s="299"/>
      <c r="U36" s="299"/>
      <c r="V36" s="299"/>
      <c r="W36" s="309"/>
      <c r="X36" s="299"/>
      <c r="Y36" s="299"/>
      <c r="Z36" s="299"/>
      <c r="AA36" s="299"/>
      <c r="AB36" s="299"/>
      <c r="AC36" s="299"/>
    </row>
    <row r="37" spans="2:29" ht="12.75" customHeight="1">
      <c r="B37" s="672"/>
      <c r="C37" s="676"/>
      <c r="D37" s="672"/>
      <c r="E37" s="672"/>
      <c r="F37" s="672"/>
      <c r="G37" s="672"/>
      <c r="H37" s="672"/>
      <c r="I37" s="672"/>
      <c r="J37" s="307"/>
      <c r="K37" s="668"/>
      <c r="L37" s="668"/>
      <c r="M37" s="668"/>
      <c r="N37" s="668"/>
      <c r="O37" s="668"/>
      <c r="P37" s="668"/>
      <c r="Q37" s="668"/>
      <c r="R37" s="668"/>
      <c r="S37" s="299"/>
      <c r="T37" s="299"/>
      <c r="U37" s="299"/>
      <c r="V37" s="299"/>
      <c r="W37" s="309"/>
      <c r="X37" s="299"/>
      <c r="Y37" s="299"/>
      <c r="Z37" s="299"/>
      <c r="AA37" s="299"/>
      <c r="AB37" s="299"/>
      <c r="AC37" s="299"/>
    </row>
    <row r="38" spans="2:29" ht="12.75" customHeight="1">
      <c r="B38" s="672"/>
      <c r="C38" s="676"/>
      <c r="D38" s="672"/>
      <c r="E38" s="672"/>
      <c r="F38" s="672"/>
      <c r="G38" s="672"/>
      <c r="H38" s="672"/>
      <c r="I38" s="672"/>
      <c r="J38" s="307"/>
      <c r="K38" s="668"/>
      <c r="L38" s="668"/>
      <c r="M38" s="668"/>
      <c r="N38" s="668"/>
      <c r="O38" s="668"/>
      <c r="P38" s="668"/>
      <c r="Q38" s="668"/>
      <c r="R38" s="668"/>
      <c r="S38" s="299"/>
      <c r="T38" s="299"/>
      <c r="U38" s="299"/>
      <c r="V38" s="299"/>
      <c r="W38" s="309"/>
      <c r="X38" s="299"/>
      <c r="Y38" s="299"/>
      <c r="Z38" s="299"/>
      <c r="AA38" s="299"/>
      <c r="AB38" s="299"/>
      <c r="AC38" s="299"/>
    </row>
    <row r="39" spans="2:29" ht="12.75" customHeight="1">
      <c r="B39" s="672"/>
      <c r="C39" s="676"/>
      <c r="D39" s="672"/>
      <c r="E39" s="672"/>
      <c r="F39" s="672"/>
      <c r="G39" s="672"/>
      <c r="H39" s="672"/>
      <c r="I39" s="672"/>
      <c r="J39" s="307"/>
      <c r="K39" s="668"/>
      <c r="L39" s="668"/>
      <c r="M39" s="668"/>
      <c r="N39" s="668"/>
      <c r="O39" s="668"/>
      <c r="P39" s="668"/>
      <c r="Q39" s="668"/>
      <c r="R39" s="668"/>
      <c r="S39" s="299"/>
      <c r="T39" s="299"/>
      <c r="U39" s="299"/>
      <c r="V39" s="299"/>
      <c r="W39" s="299"/>
      <c r="X39" s="299"/>
      <c r="Y39" s="299"/>
      <c r="Z39" s="299"/>
      <c r="AA39" s="299"/>
      <c r="AB39" s="299"/>
      <c r="AC39" s="299"/>
    </row>
    <row r="40" spans="2:29" ht="12.75" customHeight="1">
      <c r="B40" s="672"/>
      <c r="C40" s="676"/>
      <c r="D40" s="672"/>
      <c r="E40" s="672"/>
      <c r="F40" s="672"/>
      <c r="G40" s="672"/>
      <c r="H40" s="672"/>
      <c r="I40" s="672"/>
      <c r="J40" s="307"/>
      <c r="K40" s="668"/>
      <c r="L40" s="668"/>
      <c r="M40" s="668"/>
      <c r="N40" s="668"/>
      <c r="O40" s="668"/>
      <c r="P40" s="668"/>
      <c r="Q40" s="668"/>
      <c r="R40" s="668"/>
      <c r="S40" s="299"/>
      <c r="T40" s="299"/>
      <c r="U40" s="299"/>
      <c r="V40" s="299"/>
      <c r="W40" s="299"/>
      <c r="X40" s="299"/>
      <c r="Y40" s="299"/>
      <c r="Z40" s="299"/>
      <c r="AA40" s="299"/>
      <c r="AB40" s="299"/>
      <c r="AC40" s="299"/>
    </row>
    <row r="41" spans="2:29" ht="12.75" customHeight="1">
      <c r="B41" s="672"/>
      <c r="C41" s="676"/>
      <c r="D41" s="672"/>
      <c r="E41" s="672"/>
      <c r="F41" s="672"/>
      <c r="G41" s="672"/>
      <c r="H41" s="672"/>
      <c r="I41" s="672"/>
      <c r="J41" s="307"/>
      <c r="K41" s="668"/>
      <c r="L41" s="668"/>
      <c r="M41" s="668"/>
      <c r="N41" s="668"/>
      <c r="O41" s="668"/>
      <c r="P41" s="668"/>
      <c r="Q41" s="668"/>
      <c r="R41" s="668"/>
      <c r="S41" s="299"/>
      <c r="W41" s="299"/>
      <c r="X41" s="299"/>
      <c r="Y41" s="299"/>
      <c r="Z41" s="299"/>
      <c r="AA41" s="299"/>
      <c r="AB41" s="299"/>
      <c r="AC41" s="299"/>
    </row>
    <row r="42" spans="2:29" ht="12.75" customHeight="1">
      <c r="B42" s="672"/>
      <c r="C42" s="676"/>
      <c r="D42" s="672"/>
      <c r="E42" s="672"/>
      <c r="F42" s="672"/>
      <c r="G42" s="672"/>
      <c r="H42" s="672"/>
      <c r="I42" s="672"/>
      <c r="J42" s="307"/>
      <c r="K42" s="668"/>
      <c r="L42" s="668"/>
      <c r="M42" s="668"/>
      <c r="N42" s="668"/>
      <c r="O42" s="668"/>
      <c r="P42" s="668"/>
      <c r="Q42" s="668"/>
      <c r="R42" s="668"/>
      <c r="S42" s="299"/>
      <c r="W42" s="299"/>
      <c r="X42" s="299"/>
      <c r="Y42" s="299"/>
      <c r="Z42" s="299"/>
      <c r="AA42" s="299"/>
      <c r="AB42" s="299"/>
      <c r="AC42" s="299"/>
    </row>
    <row r="43" spans="2:29" ht="12.75" customHeight="1">
      <c r="B43" s="672"/>
      <c r="C43" s="676"/>
      <c r="D43" s="672"/>
      <c r="E43" s="672"/>
      <c r="F43" s="672"/>
      <c r="G43" s="672"/>
      <c r="H43" s="672"/>
      <c r="I43" s="672"/>
      <c r="J43" s="307"/>
      <c r="K43" s="299"/>
      <c r="L43" s="299"/>
      <c r="M43" s="299"/>
      <c r="N43" s="299"/>
      <c r="O43" s="299"/>
      <c r="P43" s="299"/>
      <c r="Q43" s="299"/>
      <c r="R43" s="299"/>
      <c r="S43" s="299"/>
      <c r="W43" s="299"/>
      <c r="X43" s="299"/>
      <c r="Y43" s="299"/>
      <c r="Z43" s="299"/>
      <c r="AA43" s="299"/>
      <c r="AB43" s="299"/>
      <c r="AC43" s="299"/>
    </row>
    <row r="44" spans="2:29" ht="11.25" customHeight="1">
      <c r="B44" s="672"/>
      <c r="C44" s="676"/>
      <c r="D44" s="672"/>
      <c r="E44" s="672"/>
      <c r="F44" s="672"/>
      <c r="G44" s="672"/>
      <c r="H44" s="672"/>
      <c r="I44" s="672"/>
      <c r="J44" s="307"/>
    </row>
    <row r="45" spans="2:29" ht="12.75" customHeight="1">
      <c r="B45" s="672"/>
      <c r="C45" s="676"/>
      <c r="D45" s="672"/>
      <c r="E45" s="672"/>
      <c r="F45" s="672"/>
      <c r="G45" s="672"/>
      <c r="H45" s="672"/>
      <c r="I45" s="672"/>
      <c r="J45" s="307"/>
      <c r="K45" s="669" t="str">
        <f>K10</f>
        <v/>
      </c>
      <c r="L45" s="670"/>
      <c r="M45" s="670"/>
      <c r="N45" s="673" t="str">
        <f>IF(OR(Umse!$B$11="3.3.",Umse!$B$11="3.4.",Umse!$B$11="3.7.",Umse!$B$11="3.8.",Umse!$B$11="3.11.",Umse!$B$11="3.12."),"Überstundenentgelt","")</f>
        <v/>
      </c>
      <c r="O45" s="673"/>
      <c r="P45" s="673"/>
      <c r="Q45" s="661" t="str">
        <f>H10</f>
        <v/>
      </c>
      <c r="R45" s="662"/>
    </row>
    <row r="46" spans="2:29" ht="22.5" customHeight="1">
      <c r="B46" s="302" t="str">
        <f>IF(OR(Umse!$C$24=0,Umse!$B$11=0),"",IF(OR(Umse!$B$11="3.3.",Umse!$B$11="3.4.",Umse!$B$11="3.7.",Umse!$B$11="3.8.",Umse!$B$11="3.11.",Umse!$B$11="3.12."),'VKr-AT Ist'!B36,""))</f>
        <v/>
      </c>
      <c r="C46" s="306"/>
      <c r="D46" s="314" t="str">
        <f>IF(OR(Umse!$C$24=0,Umse!$B$11=0),"",IF(OR(Umse!$B$11="3.3.",Umse!$B$11="3.4.",Umse!$B$11="3.7.",Umse!$B$11="3.8.",Umse!$B$11="3.11.",Umse!$B$11="3.12."),'VKr-AT Ist'!D36,""))</f>
        <v/>
      </c>
      <c r="E46" s="314" t="str">
        <f>IF(OR(Umse!$C$24=0,Umse!$B$11=0),"",IF(OR(Umse!$B$11="3.3.",Umse!$B$11="3.4.",Umse!$B$11="3.7.",Umse!$B$11="3.8.",Umse!$B$11="3.11.",Umse!$B$11="3.12."),'VKr-AT Ist'!E36,""))</f>
        <v/>
      </c>
      <c r="F46" s="315" t="str">
        <f>IF(OR(Umse!$C$24=0,Umse!$B$11=0),"",IF(OR(Umse!$B$11="3.3.",Umse!$B$11="3.4.",Umse!$B$11="3.7.",Umse!$B$11="3.8.",Umse!$B$11="3.11.",Umse!$B$11="3.12."),'VKr-AT Ist'!F36,""))</f>
        <v/>
      </c>
      <c r="G46" s="315" t="str">
        <f>IF(OR(Umse!$C$24=0,Umse!$B$11=0),"",IF(OR(Umse!$B$11="3.3.",Umse!$B$11="3.4.",Umse!$B$11="3.7.",Umse!$B$11="3.8.",Umse!$B$11="3.11.",Umse!$B$11="3.12."),'VKr-AT Ist'!G36,""))</f>
        <v/>
      </c>
      <c r="H46" s="315" t="str">
        <f>IF(OR(Umse!$C$24=0,Umse!$B$11=0),"",IF(OR(Umse!$B$11="3.3.",Umse!$B$11="3.4.",Umse!$B$11="3.7.",Umse!$B$11="3.8.",Umse!$B$11="3.11.",Umse!$B$11="3.12."),'VKr-AT Ist'!H36,""))</f>
        <v/>
      </c>
      <c r="I46" s="315" t="str">
        <f>IF(OR(Umse!$C$24=0,Umse!$B$11=0),"",IF(OR(Umse!$B$11="3.3.",Umse!$B$11="3.4.",Umse!$B$11="3.7.",Umse!$B$11="3.8.",Umse!$B$11="3.11.",Umse!$B$11="3.12."),'VKr-AT Ist'!I36,""))</f>
        <v/>
      </c>
      <c r="J46" s="307"/>
      <c r="K46" s="302" t="str">
        <f>K11</f>
        <v/>
      </c>
      <c r="L46" s="306"/>
      <c r="M46" s="306" t="str">
        <f t="shared" ref="M46:R46" si="2">M11</f>
        <v/>
      </c>
      <c r="N46" s="306" t="str">
        <f t="shared" si="2"/>
        <v/>
      </c>
      <c r="O46" s="306" t="str">
        <f t="shared" si="2"/>
        <v/>
      </c>
      <c r="P46" s="306" t="str">
        <f t="shared" si="2"/>
        <v/>
      </c>
      <c r="Q46" s="306" t="str">
        <f t="shared" si="2"/>
        <v/>
      </c>
      <c r="R46" s="306" t="str">
        <f t="shared" si="2"/>
        <v/>
      </c>
      <c r="S46" s="307"/>
    </row>
    <row r="47" spans="2:29" ht="11.25" customHeight="1">
      <c r="B47" s="306" t="str">
        <f>K12</f>
        <v/>
      </c>
      <c r="C47" s="322" t="str">
        <f>L12</f>
        <v/>
      </c>
      <c r="D47" s="308">
        <f>IF(OR(Umse!$B$11="3.3.",Umse!$B$11="3.4.",Umse!$B$11="3.7.",Umse!$B$11="3.8.",Umse!$B$11="3.11.",Umse!$B$11="3.12."),'VKr-AT Ist'!D37,0)</f>
        <v>0</v>
      </c>
      <c r="E47" s="308">
        <f>IF(OR(Umse!$B$11="3.3.",Umse!$B$11="3.4.",Umse!$B$11="3.7.",Umse!$B$11="3.8.",Umse!$B$11="3.11.",Umse!$B$11="3.12."),'VKr-AT Ist'!E37,0)</f>
        <v>0</v>
      </c>
      <c r="F47" s="308">
        <f>IF(OR(Umse!$B$11="3.3.",Umse!$B$11="3.4.",Umse!$B$11="3.7.",Umse!$B$11="3.8.",Umse!$B$11="3.11.",Umse!$B$11="3.12."),'VKr-AT Ist'!F37,0)</f>
        <v>0</v>
      </c>
      <c r="G47" s="308">
        <f>IF(OR(Umse!$B$11="3.3.",Umse!$B$11="3.4.",Umse!$B$11="3.7.",Umse!$B$11="3.8.",Umse!$B$11="3.11.",Umse!$B$11="3.12."),'VKr-AT Ist'!G37,0)</f>
        <v>0</v>
      </c>
      <c r="H47" s="308">
        <f>IF(OR(Umse!$B$11="3.3.",Umse!$B$11="3.4.",Umse!$B$11="3.7.",Umse!$B$11="3.8.",Umse!$B$11="3.11.",Umse!$B$11="3.12."),'VKr-AT Ist'!H37,0)</f>
        <v>0</v>
      </c>
      <c r="I47" s="308">
        <f>IF(OR(Umse!$B$11="3.3.",Umse!$B$11="3.4.",Umse!$B$11="3.7.",Umse!$B$11="3.8.",Umse!$B$11="3.11.",Umse!$B$11="3.12."),'VKr-AT Ist'!I37,0)</f>
        <v>0</v>
      </c>
      <c r="J47" s="307"/>
      <c r="K47" s="306" t="str">
        <f t="shared" ref="K47:L63" si="3">K12</f>
        <v/>
      </c>
      <c r="L47" s="322" t="str">
        <f t="shared" si="3"/>
        <v/>
      </c>
      <c r="M47" s="308">
        <f>IF(OR(Umse!$B$11="3.3.",Umse!$B$11="3.4.",Umse!$B$11="3.7.",Umse!$B$11="3.8.",Umse!$B$11="3.11.",Umse!$B$11="3.12."),'VKr-AT Ist'!M37,0)</f>
        <v>0</v>
      </c>
      <c r="N47" s="308">
        <f>IF(OR(Umse!$B$11="3.3.",Umse!$B$11="3.4.",Umse!$B$11="3.7.",Umse!$B$11="3.8.",Umse!$B$11="3.11.",Umse!$B$11="3.12."),'VKr-AT Ist'!N37,0)</f>
        <v>0</v>
      </c>
      <c r="O47" s="308">
        <f>IF(OR(Umse!$B$11="3.3.",Umse!$B$11="3.4.",Umse!$B$11="3.7.",Umse!$B$11="3.8.",Umse!$B$11="3.11.",Umse!$B$11="3.12."),'VKr-AT Ist'!O37,0)</f>
        <v>0</v>
      </c>
      <c r="P47" s="308">
        <f>IF(OR(Umse!$B$11="3.3.",Umse!$B$11="3.4.",Umse!$B$11="3.7.",Umse!$B$11="3.8.",Umse!$B$11="3.11.",Umse!$B$11="3.12."),'VKr-AT Ist'!P37,0)</f>
        <v>0</v>
      </c>
      <c r="Q47" s="308">
        <f>IF(OR(Umse!$B$11="3.3.",Umse!$B$11="3.4.",Umse!$B$11="3.7.",Umse!$B$11="3.8.",Umse!$B$11="3.11.",Umse!$B$11="3.12."),'VKr-AT Ist'!Q37,0)</f>
        <v>0</v>
      </c>
      <c r="R47" s="308">
        <f>IF(OR(Umse!$B$11="3.3.",Umse!$B$11="3.4.",Umse!$B$11="3.7.",Umse!$B$11="3.8.",Umse!$B$11="3.11.",Umse!$B$11="3.12."),'VKr-AT Ist'!R37,0)</f>
        <v>0</v>
      </c>
    </row>
    <row r="48" spans="2:29" ht="11.25" customHeight="1">
      <c r="B48" s="306" t="str">
        <f t="shared" ref="B48:B63" si="4">K13</f>
        <v/>
      </c>
      <c r="C48" s="322" t="str">
        <f t="shared" ref="C48:C63" si="5">L13</f>
        <v/>
      </c>
      <c r="D48" s="308">
        <f>IF(OR(Umse!$B$11="3.3.",Umse!$B$11="3.4.",Umse!$B$11="3.7.",Umse!$B$11="3.8.",Umse!$B$11="3.11.",Umse!$B$11="3.12."),'VKr-AT Ist'!D38,0)</f>
        <v>0</v>
      </c>
      <c r="E48" s="308">
        <f>IF(OR(Umse!$B$11="3.3.",Umse!$B$11="3.4.",Umse!$B$11="3.7.",Umse!$B$11="3.8.",Umse!$B$11="3.11.",Umse!$B$11="3.12."),'VKr-AT Ist'!E38,0)</f>
        <v>0</v>
      </c>
      <c r="F48" s="308">
        <f>IF(OR(Umse!$B$11="3.3.",Umse!$B$11="3.4.",Umse!$B$11="3.7.",Umse!$B$11="3.8.",Umse!$B$11="3.11.",Umse!$B$11="3.12."),'VKr-AT Ist'!F38,0)</f>
        <v>0</v>
      </c>
      <c r="G48" s="308">
        <f>IF(OR(Umse!$B$11="3.3.",Umse!$B$11="3.4.",Umse!$B$11="3.7.",Umse!$B$11="3.8.",Umse!$B$11="3.11.",Umse!$B$11="3.12."),'VKr-AT Ist'!G38,0)</f>
        <v>0</v>
      </c>
      <c r="H48" s="308">
        <f>IF(OR(Umse!$B$11="3.3.",Umse!$B$11="3.4.",Umse!$B$11="3.7.",Umse!$B$11="3.8.",Umse!$B$11="3.11.",Umse!$B$11="3.12."),'VKr-AT Ist'!H38,0)</f>
        <v>0</v>
      </c>
      <c r="I48" s="308">
        <f>IF(OR(Umse!$B$11="3.3.",Umse!$B$11="3.4.",Umse!$B$11="3.7.",Umse!$B$11="3.8.",Umse!$B$11="3.11.",Umse!$B$11="3.12."),'VKr-AT Ist'!I38,0)</f>
        <v>0</v>
      </c>
      <c r="J48" s="307"/>
      <c r="K48" s="306" t="str">
        <f t="shared" si="3"/>
        <v/>
      </c>
      <c r="L48" s="322" t="str">
        <f t="shared" ref="L48:L65" si="6">L13</f>
        <v/>
      </c>
      <c r="M48" s="308">
        <f>IF(OR(Umse!$B$11="3.3.",Umse!$B$11="3.4.",Umse!$B$11="3.7.",Umse!$B$11="3.8.",Umse!$B$11="3.11.",Umse!$B$11="3.12."),'VKr-AT Ist'!M38,0)</f>
        <v>0</v>
      </c>
      <c r="N48" s="308">
        <f>IF(OR(Umse!$B$11="3.3.",Umse!$B$11="3.4.",Umse!$B$11="3.7.",Umse!$B$11="3.8.",Umse!$B$11="3.11.",Umse!$B$11="3.12."),'VKr-AT Ist'!N38,0)</f>
        <v>0</v>
      </c>
      <c r="O48" s="308">
        <f>IF(OR(Umse!$B$11="3.3.",Umse!$B$11="3.4.",Umse!$B$11="3.7.",Umse!$B$11="3.8.",Umse!$B$11="3.11.",Umse!$B$11="3.12."),'VKr-AT Ist'!O38,0)</f>
        <v>0</v>
      </c>
      <c r="P48" s="308">
        <f>IF(OR(Umse!$B$11="3.3.",Umse!$B$11="3.4.",Umse!$B$11="3.7.",Umse!$B$11="3.8.",Umse!$B$11="3.11.",Umse!$B$11="3.12."),'VKr-AT Ist'!P38,0)</f>
        <v>0</v>
      </c>
      <c r="Q48" s="308">
        <f>IF(OR(Umse!$B$11="3.3.",Umse!$B$11="3.4.",Umse!$B$11="3.7.",Umse!$B$11="3.8.",Umse!$B$11="3.11.",Umse!$B$11="3.12."),'VKr-AT Ist'!Q38,0)</f>
        <v>0</v>
      </c>
      <c r="R48" s="308">
        <f>IF(OR(Umse!$B$11="3.3.",Umse!$B$11="3.4.",Umse!$B$11="3.7.",Umse!$B$11="3.8.",Umse!$B$11="3.11.",Umse!$B$11="3.12."),'VKr-AT Ist'!R38,0)</f>
        <v>0</v>
      </c>
    </row>
    <row r="49" spans="2:18" ht="11.25" customHeight="1">
      <c r="B49" s="306" t="str">
        <f t="shared" si="4"/>
        <v/>
      </c>
      <c r="C49" s="322" t="str">
        <f t="shared" si="5"/>
        <v/>
      </c>
      <c r="D49" s="308">
        <f>IF(OR(Umse!$B$11="3.3.",Umse!$B$11="3.4.",Umse!$B$11="3.7.",Umse!$B$11="3.8.",Umse!$B$11="3.11.",Umse!$B$11="3.12."),'VKr-AT Ist'!D39,0)</f>
        <v>0</v>
      </c>
      <c r="E49" s="308">
        <f>IF(OR(Umse!$B$11="3.3.",Umse!$B$11="3.4.",Umse!$B$11="3.7.",Umse!$B$11="3.8.",Umse!$B$11="3.11.",Umse!$B$11="3.12."),'VKr-AT Ist'!E39,0)</f>
        <v>0</v>
      </c>
      <c r="F49" s="308">
        <f>IF(OR(Umse!$B$11="3.3.",Umse!$B$11="3.4.",Umse!$B$11="3.7.",Umse!$B$11="3.8.",Umse!$B$11="3.11.",Umse!$B$11="3.12."),'VKr-AT Ist'!F39,0)</f>
        <v>0</v>
      </c>
      <c r="G49" s="308">
        <f>IF(OR(Umse!$B$11="3.3.",Umse!$B$11="3.4.",Umse!$B$11="3.7.",Umse!$B$11="3.8.",Umse!$B$11="3.11.",Umse!$B$11="3.12."),'VKr-AT Ist'!G39,0)</f>
        <v>0</v>
      </c>
      <c r="H49" s="308">
        <f>IF(OR(Umse!$B$11="3.3.",Umse!$B$11="3.4.",Umse!$B$11="3.7.",Umse!$B$11="3.8.",Umse!$B$11="3.11.",Umse!$B$11="3.12."),'VKr-AT Ist'!H39,0)</f>
        <v>0</v>
      </c>
      <c r="I49" s="308">
        <f>IF(OR(Umse!$B$11="3.3.",Umse!$B$11="3.4.",Umse!$B$11="3.7.",Umse!$B$11="3.8.",Umse!$B$11="3.11.",Umse!$B$11="3.12."),'VKr-AT Ist'!I39,0)</f>
        <v>0</v>
      </c>
      <c r="J49" s="307"/>
      <c r="K49" s="306" t="str">
        <f t="shared" si="3"/>
        <v/>
      </c>
      <c r="L49" s="322" t="str">
        <f t="shared" si="6"/>
        <v/>
      </c>
      <c r="M49" s="308">
        <f>IF(OR(Umse!$B$11="3.3.",Umse!$B$11="3.4.",Umse!$B$11="3.7.",Umse!$B$11="3.8.",Umse!$B$11="3.11.",Umse!$B$11="3.12."),'VKr-AT Ist'!M39,0)</f>
        <v>0</v>
      </c>
      <c r="N49" s="308">
        <f>IF(OR(Umse!$B$11="3.3.",Umse!$B$11="3.4.",Umse!$B$11="3.7.",Umse!$B$11="3.8.",Umse!$B$11="3.11.",Umse!$B$11="3.12."),'VKr-AT Ist'!N39,0)</f>
        <v>0</v>
      </c>
      <c r="O49" s="308">
        <f>IF(OR(Umse!$B$11="3.3.",Umse!$B$11="3.4.",Umse!$B$11="3.7.",Umse!$B$11="3.8.",Umse!$B$11="3.11.",Umse!$B$11="3.12."),'VKr-AT Ist'!O39,0)</f>
        <v>0</v>
      </c>
      <c r="P49" s="308">
        <f>IF(OR(Umse!$B$11="3.3.",Umse!$B$11="3.4.",Umse!$B$11="3.7.",Umse!$B$11="3.8.",Umse!$B$11="3.11.",Umse!$B$11="3.12."),'VKr-AT Ist'!P39,0)</f>
        <v>0</v>
      </c>
      <c r="Q49" s="308">
        <f>IF(OR(Umse!$B$11="3.3.",Umse!$B$11="3.4.",Umse!$B$11="3.7.",Umse!$B$11="3.8.",Umse!$B$11="3.11.",Umse!$B$11="3.12."),'VKr-AT Ist'!Q39,0)</f>
        <v>0</v>
      </c>
      <c r="R49" s="308">
        <f>IF(OR(Umse!$B$11="3.3.",Umse!$B$11="3.4.",Umse!$B$11="3.7.",Umse!$B$11="3.8.",Umse!$B$11="3.11.",Umse!$B$11="3.12."),'VKr-AT Ist'!R39,0)</f>
        <v>0</v>
      </c>
    </row>
    <row r="50" spans="2:18" ht="11.25" customHeight="1">
      <c r="B50" s="306" t="str">
        <f t="shared" si="4"/>
        <v/>
      </c>
      <c r="C50" s="322" t="str">
        <f t="shared" si="5"/>
        <v/>
      </c>
      <c r="D50" s="308">
        <f>IF(OR(Umse!$B$11="3.3.",Umse!$B$11="3.4.",Umse!$B$11="3.7.",Umse!$B$11="3.8.",Umse!$B$11="3.11.",Umse!$B$11="3.12."),'VKr-AT Ist'!D40,0)</f>
        <v>0</v>
      </c>
      <c r="E50" s="308">
        <f>IF(OR(Umse!$B$11="3.3.",Umse!$B$11="3.4.",Umse!$B$11="3.7.",Umse!$B$11="3.8.",Umse!$B$11="3.11.",Umse!$B$11="3.12."),'VKr-AT Ist'!E40,0)</f>
        <v>0</v>
      </c>
      <c r="F50" s="308">
        <f>IF(OR(Umse!$B$11="3.3.",Umse!$B$11="3.4.",Umse!$B$11="3.7.",Umse!$B$11="3.8.",Umse!$B$11="3.11.",Umse!$B$11="3.12."),'VKr-AT Ist'!F40,0)</f>
        <v>0</v>
      </c>
      <c r="G50" s="308">
        <f>IF(OR(Umse!$B$11="3.3.",Umse!$B$11="3.4.",Umse!$B$11="3.7.",Umse!$B$11="3.8.",Umse!$B$11="3.11.",Umse!$B$11="3.12."),'VKr-AT Ist'!G40,0)</f>
        <v>0</v>
      </c>
      <c r="H50" s="308">
        <f>IF(OR(Umse!$B$11="3.3.",Umse!$B$11="3.4.",Umse!$B$11="3.7.",Umse!$B$11="3.8.",Umse!$B$11="3.11.",Umse!$B$11="3.12."),'VKr-AT Ist'!H40,0)</f>
        <v>0</v>
      </c>
      <c r="I50" s="308">
        <f>IF(OR(Umse!$B$11="3.3.",Umse!$B$11="3.4.",Umse!$B$11="3.7.",Umse!$B$11="3.8.",Umse!$B$11="3.11.",Umse!$B$11="3.12."),'VKr-AT Ist'!I40,0)</f>
        <v>0</v>
      </c>
      <c r="J50" s="307"/>
      <c r="K50" s="306" t="str">
        <f t="shared" si="3"/>
        <v/>
      </c>
      <c r="L50" s="322" t="str">
        <f t="shared" si="6"/>
        <v/>
      </c>
      <c r="M50" s="308">
        <f>IF(OR(Umse!$B$11="3.3.",Umse!$B$11="3.4.",Umse!$B$11="3.7.",Umse!$B$11="3.8.",Umse!$B$11="3.11.",Umse!$B$11="3.12."),'VKr-AT Ist'!M40,0)</f>
        <v>0</v>
      </c>
      <c r="N50" s="308">
        <f>IF(OR(Umse!$B$11="3.3.",Umse!$B$11="3.4.",Umse!$B$11="3.7.",Umse!$B$11="3.8.",Umse!$B$11="3.11.",Umse!$B$11="3.12."),'VKr-AT Ist'!N40,0)</f>
        <v>0</v>
      </c>
      <c r="O50" s="308">
        <f>IF(OR(Umse!$B$11="3.3.",Umse!$B$11="3.4.",Umse!$B$11="3.7.",Umse!$B$11="3.8.",Umse!$B$11="3.11.",Umse!$B$11="3.12."),'VKr-AT Ist'!O40,0)</f>
        <v>0</v>
      </c>
      <c r="P50" s="308">
        <f>IF(OR(Umse!$B$11="3.3.",Umse!$B$11="3.4.",Umse!$B$11="3.7.",Umse!$B$11="3.8.",Umse!$B$11="3.11.",Umse!$B$11="3.12."),'VKr-AT Ist'!P40,0)</f>
        <v>0</v>
      </c>
      <c r="Q50" s="308">
        <f>IF(OR(Umse!$B$11="3.3.",Umse!$B$11="3.4.",Umse!$B$11="3.7.",Umse!$B$11="3.8.",Umse!$B$11="3.11.",Umse!$B$11="3.12."),'VKr-AT Ist'!Q40,0)</f>
        <v>0</v>
      </c>
      <c r="R50" s="308">
        <f>IF(OR(Umse!$B$11="3.3.",Umse!$B$11="3.4.",Umse!$B$11="3.7.",Umse!$B$11="3.8.",Umse!$B$11="3.11.",Umse!$B$11="3.12."),'VKr-AT Ist'!R40,0)</f>
        <v>0</v>
      </c>
    </row>
    <row r="51" spans="2:18" ht="11.25" customHeight="1">
      <c r="B51" s="306" t="str">
        <f t="shared" si="4"/>
        <v/>
      </c>
      <c r="C51" s="322" t="str">
        <f t="shared" si="5"/>
        <v/>
      </c>
      <c r="D51" s="308">
        <f>IF(OR(Umse!$B$11="3.3.",Umse!$B$11="3.4.",Umse!$B$11="3.7.",Umse!$B$11="3.8.",Umse!$B$11="3.11.",Umse!$B$11="3.12."),'VKr-AT Ist'!D41,0)</f>
        <v>0</v>
      </c>
      <c r="E51" s="308">
        <f>IF(OR(Umse!$B$11="3.3.",Umse!$B$11="3.4.",Umse!$B$11="3.7.",Umse!$B$11="3.8.",Umse!$B$11="3.11.",Umse!$B$11="3.12."),'VKr-AT Ist'!E41,0)</f>
        <v>0</v>
      </c>
      <c r="F51" s="308">
        <f>IF(OR(Umse!$B$11="3.3.",Umse!$B$11="3.4.",Umse!$B$11="3.7.",Umse!$B$11="3.8.",Umse!$B$11="3.11.",Umse!$B$11="3.12."),'VKr-AT Ist'!F41,0)</f>
        <v>0</v>
      </c>
      <c r="G51" s="308">
        <f>IF(OR(Umse!$B$11="3.3.",Umse!$B$11="3.4.",Umse!$B$11="3.7.",Umse!$B$11="3.8.",Umse!$B$11="3.11.",Umse!$B$11="3.12."),'VKr-AT Ist'!G41,0)</f>
        <v>0</v>
      </c>
      <c r="H51" s="308">
        <f>IF(OR(Umse!$B$11="3.3.",Umse!$B$11="3.4.",Umse!$B$11="3.7.",Umse!$B$11="3.8.",Umse!$B$11="3.11.",Umse!$B$11="3.12."),'VKr-AT Ist'!H41,0)</f>
        <v>0</v>
      </c>
      <c r="I51" s="308">
        <f>IF(OR(Umse!$B$11="3.3.",Umse!$B$11="3.4.",Umse!$B$11="3.7.",Umse!$B$11="3.8.",Umse!$B$11="3.11.",Umse!$B$11="3.12."),'VKr-AT Ist'!I41,0)</f>
        <v>0</v>
      </c>
      <c r="J51" s="307"/>
      <c r="K51" s="306" t="str">
        <f t="shared" si="3"/>
        <v/>
      </c>
      <c r="L51" s="322" t="str">
        <f t="shared" si="6"/>
        <v/>
      </c>
      <c r="M51" s="308">
        <f>IF(OR(Umse!$B$11="3.3.",Umse!$B$11="3.4.",Umse!$B$11="3.7.",Umse!$B$11="3.8.",Umse!$B$11="3.11.",Umse!$B$11="3.12."),'VKr-AT Ist'!M41,0)</f>
        <v>0</v>
      </c>
      <c r="N51" s="308">
        <f>IF(OR(Umse!$B$11="3.3.",Umse!$B$11="3.4.",Umse!$B$11="3.7.",Umse!$B$11="3.8.",Umse!$B$11="3.11.",Umse!$B$11="3.12."),'VKr-AT Ist'!N41,0)</f>
        <v>0</v>
      </c>
      <c r="O51" s="308">
        <f>IF(OR(Umse!$B$11="3.3.",Umse!$B$11="3.4.",Umse!$B$11="3.7.",Umse!$B$11="3.8.",Umse!$B$11="3.11.",Umse!$B$11="3.12."),'VKr-AT Ist'!O41,0)</f>
        <v>0</v>
      </c>
      <c r="P51" s="308">
        <f>IF(OR(Umse!$B$11="3.3.",Umse!$B$11="3.4.",Umse!$B$11="3.7.",Umse!$B$11="3.8.",Umse!$B$11="3.11.",Umse!$B$11="3.12."),'VKr-AT Ist'!P41,0)</f>
        <v>0</v>
      </c>
      <c r="Q51" s="308">
        <f>IF(OR(Umse!$B$11="3.3.",Umse!$B$11="3.4.",Umse!$B$11="3.7.",Umse!$B$11="3.8.",Umse!$B$11="3.11.",Umse!$B$11="3.12."),'VKr-AT Ist'!Q41,0)</f>
        <v>0</v>
      </c>
      <c r="R51" s="308">
        <f>IF(OR(Umse!$B$11="3.3.",Umse!$B$11="3.4.",Umse!$B$11="3.7.",Umse!$B$11="3.8.",Umse!$B$11="3.11.",Umse!$B$11="3.12."),'VKr-AT Ist'!R41,0)</f>
        <v>0</v>
      </c>
    </row>
    <row r="52" spans="2:18" ht="11.25" customHeight="1">
      <c r="B52" s="306" t="str">
        <f t="shared" si="4"/>
        <v/>
      </c>
      <c r="C52" s="322" t="str">
        <f t="shared" si="5"/>
        <v/>
      </c>
      <c r="D52" s="308">
        <f>IF(OR(Umse!$B$11="3.3.",Umse!$B$11="3.4.",Umse!$B$11="3.7.",Umse!$B$11="3.8.",Umse!$B$11="3.11.",Umse!$B$11="3.12."),'VKr-AT Ist'!D42,0)</f>
        <v>0</v>
      </c>
      <c r="E52" s="308">
        <f>IF(OR(Umse!$B$11="3.3.",Umse!$B$11="3.4.",Umse!$B$11="3.7.",Umse!$B$11="3.8.",Umse!$B$11="3.11.",Umse!$B$11="3.12."),'VKr-AT Ist'!E42,0)</f>
        <v>0</v>
      </c>
      <c r="F52" s="308">
        <f>IF(OR(Umse!$B$11="3.3.",Umse!$B$11="3.4.",Umse!$B$11="3.7.",Umse!$B$11="3.8.",Umse!$B$11="3.11.",Umse!$B$11="3.12."),'VKr-AT Ist'!F42,0)</f>
        <v>0</v>
      </c>
      <c r="G52" s="308">
        <f>IF(OR(Umse!$B$11="3.3.",Umse!$B$11="3.4.",Umse!$B$11="3.7.",Umse!$B$11="3.8.",Umse!$B$11="3.11.",Umse!$B$11="3.12."),'VKr-AT Ist'!G42,0)</f>
        <v>0</v>
      </c>
      <c r="H52" s="308">
        <f>IF(OR(Umse!$B$11="3.3.",Umse!$B$11="3.4.",Umse!$B$11="3.7.",Umse!$B$11="3.8.",Umse!$B$11="3.11.",Umse!$B$11="3.12."),'VKr-AT Ist'!H42,0)</f>
        <v>0</v>
      </c>
      <c r="I52" s="308">
        <f>IF(OR(Umse!$B$11="3.3.",Umse!$B$11="3.4.",Umse!$B$11="3.7.",Umse!$B$11="3.8.",Umse!$B$11="3.11.",Umse!$B$11="3.12."),'VKr-AT Ist'!I42,0)</f>
        <v>0</v>
      </c>
      <c r="J52" s="307"/>
      <c r="K52" s="306" t="str">
        <f t="shared" si="3"/>
        <v/>
      </c>
      <c r="L52" s="322" t="str">
        <f t="shared" si="6"/>
        <v/>
      </c>
      <c r="M52" s="308">
        <f>IF(OR(Umse!$B$11="3.3.",Umse!$B$11="3.4.",Umse!$B$11="3.7.",Umse!$B$11="3.8.",Umse!$B$11="3.11.",Umse!$B$11="3.12."),'VKr-AT Ist'!M42,0)</f>
        <v>0</v>
      </c>
      <c r="N52" s="308">
        <f>IF(OR(Umse!$B$11="3.3.",Umse!$B$11="3.4.",Umse!$B$11="3.7.",Umse!$B$11="3.8.",Umse!$B$11="3.11.",Umse!$B$11="3.12."),'VKr-AT Ist'!N42,0)</f>
        <v>0</v>
      </c>
      <c r="O52" s="308">
        <f>IF(OR(Umse!$B$11="3.3.",Umse!$B$11="3.4.",Umse!$B$11="3.7.",Umse!$B$11="3.8.",Umse!$B$11="3.11.",Umse!$B$11="3.12."),'VKr-AT Ist'!O42,0)</f>
        <v>0</v>
      </c>
      <c r="P52" s="308">
        <f>IF(OR(Umse!$B$11="3.3.",Umse!$B$11="3.4.",Umse!$B$11="3.7.",Umse!$B$11="3.8.",Umse!$B$11="3.11.",Umse!$B$11="3.12."),'VKr-AT Ist'!P42,0)</f>
        <v>0</v>
      </c>
      <c r="Q52" s="308">
        <f>IF(OR(Umse!$B$11="3.3.",Umse!$B$11="3.4.",Umse!$B$11="3.7.",Umse!$B$11="3.8.",Umse!$B$11="3.11.",Umse!$B$11="3.12."),'VKr-AT Ist'!Q42,0)</f>
        <v>0</v>
      </c>
      <c r="R52" s="308">
        <f>IF(OR(Umse!$B$11="3.3.",Umse!$B$11="3.4.",Umse!$B$11="3.7.",Umse!$B$11="3.8.",Umse!$B$11="3.11.",Umse!$B$11="3.12."),'VKr-AT Ist'!R42,0)</f>
        <v>0</v>
      </c>
    </row>
    <row r="53" spans="2:18" ht="11.25" customHeight="1">
      <c r="B53" s="306" t="str">
        <f t="shared" si="4"/>
        <v/>
      </c>
      <c r="C53" s="322" t="str">
        <f t="shared" si="5"/>
        <v/>
      </c>
      <c r="D53" s="308">
        <f>IF(OR(Umse!$B$11="3.3.",Umse!$B$11="3.4.",Umse!$B$11="3.7.",Umse!$B$11="3.8.",Umse!$B$11="3.11.",Umse!$B$11="3.12."),'VKr-AT Ist'!D43,0)</f>
        <v>0</v>
      </c>
      <c r="E53" s="308">
        <f>IF(OR(Umse!$B$11="3.3.",Umse!$B$11="3.4.",Umse!$B$11="3.7.",Umse!$B$11="3.8.",Umse!$B$11="3.11.",Umse!$B$11="3.12."),'VKr-AT Ist'!E43,0)</f>
        <v>0</v>
      </c>
      <c r="F53" s="308">
        <f>IF(OR(Umse!$B$11="3.3.",Umse!$B$11="3.4.",Umse!$B$11="3.7.",Umse!$B$11="3.8.",Umse!$B$11="3.11.",Umse!$B$11="3.12."),'VKr-AT Ist'!F43,0)</f>
        <v>0</v>
      </c>
      <c r="G53" s="308">
        <f>IF(OR(Umse!$B$11="3.3.",Umse!$B$11="3.4.",Umse!$B$11="3.7.",Umse!$B$11="3.8.",Umse!$B$11="3.11.",Umse!$B$11="3.12."),'VKr-AT Ist'!G43,0)</f>
        <v>0</v>
      </c>
      <c r="H53" s="308">
        <f>IF(OR(Umse!$B$11="3.3.",Umse!$B$11="3.4.",Umse!$B$11="3.7.",Umse!$B$11="3.8.",Umse!$B$11="3.11.",Umse!$B$11="3.12."),'VKr-AT Ist'!H43,0)</f>
        <v>0</v>
      </c>
      <c r="I53" s="308">
        <f>IF(OR(Umse!$B$11="3.3.",Umse!$B$11="3.4.",Umse!$B$11="3.7.",Umse!$B$11="3.8.",Umse!$B$11="3.11.",Umse!$B$11="3.12."),'VKr-AT Ist'!I43,0)</f>
        <v>0</v>
      </c>
      <c r="J53" s="307"/>
      <c r="K53" s="306" t="str">
        <f t="shared" si="3"/>
        <v/>
      </c>
      <c r="L53" s="322" t="str">
        <f t="shared" si="6"/>
        <v/>
      </c>
      <c r="M53" s="308">
        <f>IF(OR(Umse!$B$11="3.3.",Umse!$B$11="3.4.",Umse!$B$11="3.7.",Umse!$B$11="3.8.",Umse!$B$11="3.11.",Umse!$B$11="3.12."),'VKr-AT Ist'!M43,0)</f>
        <v>0</v>
      </c>
      <c r="N53" s="308">
        <f>IF(OR(Umse!$B$11="3.3.",Umse!$B$11="3.4.",Umse!$B$11="3.7.",Umse!$B$11="3.8.",Umse!$B$11="3.11.",Umse!$B$11="3.12."),'VKr-AT Ist'!N43,0)</f>
        <v>0</v>
      </c>
      <c r="O53" s="308">
        <f>IF(OR(Umse!$B$11="3.3.",Umse!$B$11="3.4.",Umse!$B$11="3.7.",Umse!$B$11="3.8.",Umse!$B$11="3.11.",Umse!$B$11="3.12."),'VKr-AT Ist'!O43,0)</f>
        <v>0</v>
      </c>
      <c r="P53" s="308">
        <f>IF(OR(Umse!$B$11="3.3.",Umse!$B$11="3.4.",Umse!$B$11="3.7.",Umse!$B$11="3.8.",Umse!$B$11="3.11.",Umse!$B$11="3.12."),'VKr-AT Ist'!P43,0)</f>
        <v>0</v>
      </c>
      <c r="Q53" s="308">
        <f>IF(OR(Umse!$B$11="3.3.",Umse!$B$11="3.4.",Umse!$B$11="3.7.",Umse!$B$11="3.8.",Umse!$B$11="3.11.",Umse!$B$11="3.12."),'VKr-AT Ist'!Q43,0)</f>
        <v>0</v>
      </c>
      <c r="R53" s="308">
        <f>IF(OR(Umse!$B$11="3.3.",Umse!$B$11="3.4.",Umse!$B$11="3.7.",Umse!$B$11="3.8.",Umse!$B$11="3.11.",Umse!$B$11="3.12."),'VKr-AT Ist'!R43,0)</f>
        <v>0</v>
      </c>
    </row>
    <row r="54" spans="2:18" ht="11.25" customHeight="1">
      <c r="B54" s="306" t="str">
        <f t="shared" si="4"/>
        <v/>
      </c>
      <c r="C54" s="322" t="str">
        <f t="shared" si="5"/>
        <v/>
      </c>
      <c r="D54" s="308">
        <f>IF(OR(Umse!$B$11="3.3.",Umse!$B$11="3.4.",Umse!$B$11="3.7.",Umse!$B$11="3.8.",Umse!$B$11="3.11.",Umse!$B$11="3.12."),'VKr-AT Ist'!D44,0)</f>
        <v>0</v>
      </c>
      <c r="E54" s="308">
        <f>IF(OR(Umse!$B$11="3.3.",Umse!$B$11="3.4.",Umse!$B$11="3.7.",Umse!$B$11="3.8.",Umse!$B$11="3.11.",Umse!$B$11="3.12."),'VKr-AT Ist'!E44,0)</f>
        <v>0</v>
      </c>
      <c r="F54" s="308">
        <f>IF(OR(Umse!$B$11="3.3.",Umse!$B$11="3.4.",Umse!$B$11="3.7.",Umse!$B$11="3.8.",Umse!$B$11="3.11.",Umse!$B$11="3.12."),'VKr-AT Ist'!F44,0)</f>
        <v>0</v>
      </c>
      <c r="G54" s="308">
        <f>IF(OR(Umse!$B$11="3.3.",Umse!$B$11="3.4.",Umse!$B$11="3.7.",Umse!$B$11="3.8.",Umse!$B$11="3.11.",Umse!$B$11="3.12."),'VKr-AT Ist'!G44,0)</f>
        <v>0</v>
      </c>
      <c r="H54" s="308">
        <f>IF(OR(Umse!$B$11="3.3.",Umse!$B$11="3.4.",Umse!$B$11="3.7.",Umse!$B$11="3.8.",Umse!$B$11="3.11.",Umse!$B$11="3.12."),'VKr-AT Ist'!H44,0)</f>
        <v>0</v>
      </c>
      <c r="I54" s="308">
        <f>IF(OR(Umse!$B$11="3.3.",Umse!$B$11="3.4.",Umse!$B$11="3.7.",Umse!$B$11="3.8.",Umse!$B$11="3.11.",Umse!$B$11="3.12."),'VKr-AT Ist'!I44,0)</f>
        <v>0</v>
      </c>
      <c r="J54" s="307"/>
      <c r="K54" s="306" t="str">
        <f t="shared" si="3"/>
        <v/>
      </c>
      <c r="L54" s="322" t="str">
        <f t="shared" si="6"/>
        <v/>
      </c>
      <c r="M54" s="308">
        <f>IF(OR(Umse!$B$11="3.3.",Umse!$B$11="3.4.",Umse!$B$11="3.7.",Umse!$B$11="3.8.",Umse!$B$11="3.11.",Umse!$B$11="3.12."),'VKr-AT Ist'!M44,0)</f>
        <v>0</v>
      </c>
      <c r="N54" s="308">
        <f>IF(OR(Umse!$B$11="3.3.",Umse!$B$11="3.4.",Umse!$B$11="3.7.",Umse!$B$11="3.8.",Umse!$B$11="3.11.",Umse!$B$11="3.12."),'VKr-AT Ist'!N44,0)</f>
        <v>0</v>
      </c>
      <c r="O54" s="308">
        <f>IF(OR(Umse!$B$11="3.3.",Umse!$B$11="3.4.",Umse!$B$11="3.7.",Umse!$B$11="3.8.",Umse!$B$11="3.11.",Umse!$B$11="3.12."),'VKr-AT Ist'!O44,0)</f>
        <v>0</v>
      </c>
      <c r="P54" s="308">
        <f>IF(OR(Umse!$B$11="3.3.",Umse!$B$11="3.4.",Umse!$B$11="3.7.",Umse!$B$11="3.8.",Umse!$B$11="3.11.",Umse!$B$11="3.12."),'VKr-AT Ist'!P44,0)</f>
        <v>0</v>
      </c>
      <c r="Q54" s="308">
        <f>IF(OR(Umse!$B$11="3.3.",Umse!$B$11="3.4.",Umse!$B$11="3.7.",Umse!$B$11="3.8.",Umse!$B$11="3.11.",Umse!$B$11="3.12."),'VKr-AT Ist'!Q44,0)</f>
        <v>0</v>
      </c>
      <c r="R54" s="308">
        <f>IF(OR(Umse!$B$11="3.3.",Umse!$B$11="3.4.",Umse!$B$11="3.7.",Umse!$B$11="3.8.",Umse!$B$11="3.11.",Umse!$B$11="3.12."),'VKr-AT Ist'!R44,0)</f>
        <v>0</v>
      </c>
    </row>
    <row r="55" spans="2:18" ht="11.25" customHeight="1">
      <c r="B55" s="306" t="str">
        <f t="shared" si="4"/>
        <v/>
      </c>
      <c r="C55" s="322" t="str">
        <f t="shared" si="5"/>
        <v/>
      </c>
      <c r="D55" s="308">
        <f>IF(OR(Umse!$B$11="3.3.",Umse!$B$11="3.4.",Umse!$B$11="3.7.",Umse!$B$11="3.8.",Umse!$B$11="3.11.",Umse!$B$11="3.12."),'VKr-AT Ist'!D45,0)</f>
        <v>0</v>
      </c>
      <c r="E55" s="308">
        <f>IF(OR(Umse!$B$11="3.3.",Umse!$B$11="3.4.",Umse!$B$11="3.7.",Umse!$B$11="3.8.",Umse!$B$11="3.11.",Umse!$B$11="3.12."),'VKr-AT Ist'!E45,0)</f>
        <v>0</v>
      </c>
      <c r="F55" s="308">
        <f>IF(OR(Umse!$B$11="3.3.",Umse!$B$11="3.4.",Umse!$B$11="3.7.",Umse!$B$11="3.8.",Umse!$B$11="3.11.",Umse!$B$11="3.12."),'VKr-AT Ist'!F45,0)</f>
        <v>0</v>
      </c>
      <c r="G55" s="308">
        <f>IF(OR(Umse!$B$11="3.3.",Umse!$B$11="3.4.",Umse!$B$11="3.7.",Umse!$B$11="3.8.",Umse!$B$11="3.11.",Umse!$B$11="3.12."),'VKr-AT Ist'!G45,0)</f>
        <v>0</v>
      </c>
      <c r="H55" s="308">
        <f>IF(OR(Umse!$B$11="3.3.",Umse!$B$11="3.4.",Umse!$B$11="3.7.",Umse!$B$11="3.8.",Umse!$B$11="3.11.",Umse!$B$11="3.12."),'VKr-AT Ist'!H45,0)</f>
        <v>0</v>
      </c>
      <c r="I55" s="308">
        <f>IF(OR(Umse!$B$11="3.3.",Umse!$B$11="3.4.",Umse!$B$11="3.7.",Umse!$B$11="3.8.",Umse!$B$11="3.11.",Umse!$B$11="3.12."),'VKr-AT Ist'!I45,0)</f>
        <v>0</v>
      </c>
      <c r="J55" s="307"/>
      <c r="K55" s="306" t="str">
        <f t="shared" si="3"/>
        <v/>
      </c>
      <c r="L55" s="322" t="str">
        <f t="shared" si="6"/>
        <v/>
      </c>
      <c r="M55" s="308">
        <f>IF(OR(Umse!$B$11="3.3.",Umse!$B$11="3.4.",Umse!$B$11="3.7.",Umse!$B$11="3.8.",Umse!$B$11="3.11.",Umse!$B$11="3.12."),'VKr-AT Ist'!M45,0)</f>
        <v>0</v>
      </c>
      <c r="N55" s="308">
        <f>IF(OR(Umse!$B$11="3.3.",Umse!$B$11="3.4.",Umse!$B$11="3.7.",Umse!$B$11="3.8.",Umse!$B$11="3.11.",Umse!$B$11="3.12."),'VKr-AT Ist'!N45,0)</f>
        <v>0</v>
      </c>
      <c r="O55" s="308">
        <f>IF(OR(Umse!$B$11="3.3.",Umse!$B$11="3.4.",Umse!$B$11="3.7.",Umse!$B$11="3.8.",Umse!$B$11="3.11.",Umse!$B$11="3.12."),'VKr-AT Ist'!O45,0)</f>
        <v>0</v>
      </c>
      <c r="P55" s="308">
        <f>IF(OR(Umse!$B$11="3.3.",Umse!$B$11="3.4.",Umse!$B$11="3.7.",Umse!$B$11="3.8.",Umse!$B$11="3.11.",Umse!$B$11="3.12."),'VKr-AT Ist'!P45,0)</f>
        <v>0</v>
      </c>
      <c r="Q55" s="308">
        <f>IF(OR(Umse!$B$11="3.3.",Umse!$B$11="3.4.",Umse!$B$11="3.7.",Umse!$B$11="3.8.",Umse!$B$11="3.11.",Umse!$B$11="3.12."),'VKr-AT Ist'!Q45,0)</f>
        <v>0</v>
      </c>
      <c r="R55" s="308">
        <f>IF(OR(Umse!$B$11="3.3.",Umse!$B$11="3.4.",Umse!$B$11="3.7.",Umse!$B$11="3.8.",Umse!$B$11="3.11.",Umse!$B$11="3.12."),'VKr-AT Ist'!R45,0)</f>
        <v>0</v>
      </c>
    </row>
    <row r="56" spans="2:18" ht="11.25" customHeight="1">
      <c r="B56" s="306" t="str">
        <f t="shared" si="4"/>
        <v/>
      </c>
      <c r="C56" s="322" t="str">
        <f t="shared" si="5"/>
        <v/>
      </c>
      <c r="D56" s="308">
        <f>IF(OR(Umse!$B$11="3.3.",Umse!$B$11="3.4.",Umse!$B$11="3.7.",Umse!$B$11="3.8.",Umse!$B$11="3.11.",Umse!$B$11="3.12."),'VKr-AT Ist'!D46,0)</f>
        <v>0</v>
      </c>
      <c r="E56" s="308">
        <f>IF(OR(Umse!$B$11="3.3.",Umse!$B$11="3.4.",Umse!$B$11="3.7.",Umse!$B$11="3.8.",Umse!$B$11="3.11.",Umse!$B$11="3.12."),'VKr-AT Ist'!E46,0)</f>
        <v>0</v>
      </c>
      <c r="F56" s="308">
        <f>IF(OR(Umse!$B$11="3.3.",Umse!$B$11="3.4.",Umse!$B$11="3.7.",Umse!$B$11="3.8.",Umse!$B$11="3.11.",Umse!$B$11="3.12."),'VKr-AT Ist'!F46,0)</f>
        <v>0</v>
      </c>
      <c r="G56" s="308">
        <f>IF(OR(Umse!$B$11="3.3.",Umse!$B$11="3.4.",Umse!$B$11="3.7.",Umse!$B$11="3.8.",Umse!$B$11="3.11.",Umse!$B$11="3.12."),'VKr-AT Ist'!G46,0)</f>
        <v>0</v>
      </c>
      <c r="H56" s="308">
        <f>IF(OR(Umse!$B$11="3.3.",Umse!$B$11="3.4.",Umse!$B$11="3.7.",Umse!$B$11="3.8.",Umse!$B$11="3.11.",Umse!$B$11="3.12."),'VKr-AT Ist'!H46,0)</f>
        <v>0</v>
      </c>
      <c r="I56" s="308">
        <f>IF(OR(Umse!$B$11="3.3.",Umse!$B$11="3.4.",Umse!$B$11="3.7.",Umse!$B$11="3.8.",Umse!$B$11="3.11.",Umse!$B$11="3.12."),'VKr-AT Ist'!I46,0)</f>
        <v>0</v>
      </c>
      <c r="J56" s="307"/>
      <c r="K56" s="306" t="str">
        <f t="shared" si="3"/>
        <v/>
      </c>
      <c r="L56" s="322" t="str">
        <f t="shared" si="6"/>
        <v/>
      </c>
      <c r="M56" s="308">
        <f>IF(OR(Umse!$B$11="3.3.",Umse!$B$11="3.4.",Umse!$B$11="3.7.",Umse!$B$11="3.8.",Umse!$B$11="3.11.",Umse!$B$11="3.12."),'VKr-AT Ist'!M46,0)</f>
        <v>0</v>
      </c>
      <c r="N56" s="308">
        <f>IF(OR(Umse!$B$11="3.3.",Umse!$B$11="3.4.",Umse!$B$11="3.7.",Umse!$B$11="3.8.",Umse!$B$11="3.11.",Umse!$B$11="3.12."),'VKr-AT Ist'!N46,0)</f>
        <v>0</v>
      </c>
      <c r="O56" s="308">
        <f>IF(OR(Umse!$B$11="3.3.",Umse!$B$11="3.4.",Umse!$B$11="3.7.",Umse!$B$11="3.8.",Umse!$B$11="3.11.",Umse!$B$11="3.12."),'VKr-AT Ist'!O46,0)</f>
        <v>0</v>
      </c>
      <c r="P56" s="308">
        <f>IF(OR(Umse!$B$11="3.3.",Umse!$B$11="3.4.",Umse!$B$11="3.7.",Umse!$B$11="3.8.",Umse!$B$11="3.11.",Umse!$B$11="3.12."),'VKr-AT Ist'!P46,0)</f>
        <v>0</v>
      </c>
      <c r="Q56" s="308">
        <f>IF(OR(Umse!$B$11="3.3.",Umse!$B$11="3.4.",Umse!$B$11="3.7.",Umse!$B$11="3.8.",Umse!$B$11="3.11.",Umse!$B$11="3.12."),'VKr-AT Ist'!Q46,0)</f>
        <v>0</v>
      </c>
      <c r="R56" s="308">
        <f>IF(OR(Umse!$B$11="3.3.",Umse!$B$11="3.4.",Umse!$B$11="3.7.",Umse!$B$11="3.8.",Umse!$B$11="3.11.",Umse!$B$11="3.12."),'VKr-AT Ist'!R46,0)</f>
        <v>0</v>
      </c>
    </row>
    <row r="57" spans="2:18" ht="11.25" customHeight="1">
      <c r="B57" s="306" t="str">
        <f t="shared" si="4"/>
        <v/>
      </c>
      <c r="C57" s="322" t="str">
        <f t="shared" si="5"/>
        <v/>
      </c>
      <c r="D57" s="308">
        <f>IF(OR(Umse!$B$11="3.3.",Umse!$B$11="3.4.",Umse!$B$11="3.7.",Umse!$B$11="3.8.",Umse!$B$11="3.11.",Umse!$B$11="3.12."),'VKr-AT Ist'!D47,0)</f>
        <v>0</v>
      </c>
      <c r="E57" s="308">
        <f>IF(OR(Umse!$B$11="3.3.",Umse!$B$11="3.4.",Umse!$B$11="3.7.",Umse!$B$11="3.8.",Umse!$B$11="3.11.",Umse!$B$11="3.12."),'VKr-AT Ist'!E47,0)</f>
        <v>0</v>
      </c>
      <c r="F57" s="308">
        <f>IF(OR(Umse!$B$11="3.3.",Umse!$B$11="3.4.",Umse!$B$11="3.7.",Umse!$B$11="3.8.",Umse!$B$11="3.11.",Umse!$B$11="3.12."),'VKr-AT Ist'!F47,0)</f>
        <v>0</v>
      </c>
      <c r="G57" s="308">
        <f>IF(OR(Umse!$B$11="3.3.",Umse!$B$11="3.4.",Umse!$B$11="3.7.",Umse!$B$11="3.8.",Umse!$B$11="3.11.",Umse!$B$11="3.12."),'VKr-AT Ist'!G47,0)</f>
        <v>0</v>
      </c>
      <c r="H57" s="308">
        <f>IF(OR(Umse!$B$11="3.3.",Umse!$B$11="3.4.",Umse!$B$11="3.7.",Umse!$B$11="3.8.",Umse!$B$11="3.11.",Umse!$B$11="3.12."),'VKr-AT Ist'!H47,0)</f>
        <v>0</v>
      </c>
      <c r="I57" s="308">
        <f>IF(OR(Umse!$B$11="3.3.",Umse!$B$11="3.4.",Umse!$B$11="3.7.",Umse!$B$11="3.8.",Umse!$B$11="3.11.",Umse!$B$11="3.12."),'VKr-AT Ist'!I47,0)</f>
        <v>0</v>
      </c>
      <c r="J57" s="307"/>
      <c r="K57" s="306" t="str">
        <f t="shared" si="3"/>
        <v/>
      </c>
      <c r="L57" s="322" t="str">
        <f t="shared" si="6"/>
        <v/>
      </c>
      <c r="M57" s="308">
        <f>IF(OR(Umse!$B$11="3.3.",Umse!$B$11="3.4.",Umse!$B$11="3.7.",Umse!$B$11="3.8.",Umse!$B$11="3.11.",Umse!$B$11="3.12."),'VKr-AT Ist'!M47,0)</f>
        <v>0</v>
      </c>
      <c r="N57" s="308">
        <f>IF(OR(Umse!$B$11="3.3.",Umse!$B$11="3.4.",Umse!$B$11="3.7.",Umse!$B$11="3.8.",Umse!$B$11="3.11.",Umse!$B$11="3.12."),'VKr-AT Ist'!N47,0)</f>
        <v>0</v>
      </c>
      <c r="O57" s="308">
        <f>IF(OR(Umse!$B$11="3.3.",Umse!$B$11="3.4.",Umse!$B$11="3.7.",Umse!$B$11="3.8.",Umse!$B$11="3.11.",Umse!$B$11="3.12."),'VKr-AT Ist'!O47,0)</f>
        <v>0</v>
      </c>
      <c r="P57" s="308">
        <f>IF(OR(Umse!$B$11="3.3.",Umse!$B$11="3.4.",Umse!$B$11="3.7.",Umse!$B$11="3.8.",Umse!$B$11="3.11.",Umse!$B$11="3.12."),'VKr-AT Ist'!P47,0)</f>
        <v>0</v>
      </c>
      <c r="Q57" s="308">
        <f>IF(OR(Umse!$B$11="3.3.",Umse!$B$11="3.4.",Umse!$B$11="3.7.",Umse!$B$11="3.8.",Umse!$B$11="3.11.",Umse!$B$11="3.12."),'VKr-AT Ist'!Q47,0)</f>
        <v>0</v>
      </c>
      <c r="R57" s="308">
        <f>IF(OR(Umse!$B$11="3.3.",Umse!$B$11="3.4.",Umse!$B$11="3.7.",Umse!$B$11="3.8.",Umse!$B$11="3.11.",Umse!$B$11="3.12."),'VKr-AT Ist'!R47,0)</f>
        <v>0</v>
      </c>
    </row>
    <row r="58" spans="2:18" ht="11.25" customHeight="1">
      <c r="B58" s="306" t="str">
        <f t="shared" si="4"/>
        <v/>
      </c>
      <c r="C58" s="322" t="str">
        <f t="shared" si="5"/>
        <v/>
      </c>
      <c r="D58" s="308">
        <f>IF(OR(Umse!$B$11="3.3.",Umse!$B$11="3.4.",Umse!$B$11="3.7.",Umse!$B$11="3.8.",Umse!$B$11="3.11.",Umse!$B$11="3.12."),'VKr-AT Ist'!D48,0)</f>
        <v>0</v>
      </c>
      <c r="E58" s="308">
        <f>IF(OR(Umse!$B$11="3.3.",Umse!$B$11="3.4.",Umse!$B$11="3.7.",Umse!$B$11="3.8.",Umse!$B$11="3.11.",Umse!$B$11="3.12."),'VKr-AT Ist'!E48,0)</f>
        <v>0</v>
      </c>
      <c r="F58" s="308">
        <f>IF(OR(Umse!$B$11="3.3.",Umse!$B$11="3.4.",Umse!$B$11="3.7.",Umse!$B$11="3.8.",Umse!$B$11="3.11.",Umse!$B$11="3.12."),'VKr-AT Ist'!F48,0)</f>
        <v>0</v>
      </c>
      <c r="G58" s="308">
        <f>IF(OR(Umse!$B$11="3.3.",Umse!$B$11="3.4.",Umse!$B$11="3.7.",Umse!$B$11="3.8.",Umse!$B$11="3.11.",Umse!$B$11="3.12."),'VKr-AT Ist'!G48,0)</f>
        <v>0</v>
      </c>
      <c r="H58" s="308">
        <f>IF(OR(Umse!$B$11="3.3.",Umse!$B$11="3.4.",Umse!$B$11="3.7.",Umse!$B$11="3.8.",Umse!$B$11="3.11.",Umse!$B$11="3.12."),'VKr-AT Ist'!H48,0)</f>
        <v>0</v>
      </c>
      <c r="I58" s="308">
        <f>IF(OR(Umse!$B$11="3.3.",Umse!$B$11="3.4.",Umse!$B$11="3.7.",Umse!$B$11="3.8.",Umse!$B$11="3.11.",Umse!$B$11="3.12."),'VKr-AT Ist'!I48,0)</f>
        <v>0</v>
      </c>
      <c r="J58" s="307"/>
      <c r="K58" s="306" t="str">
        <f t="shared" si="3"/>
        <v/>
      </c>
      <c r="L58" s="322" t="str">
        <f t="shared" si="6"/>
        <v/>
      </c>
      <c r="M58" s="308">
        <f>IF(OR(Umse!$B$11="3.3.",Umse!$B$11="3.4.",Umse!$B$11="3.7.",Umse!$B$11="3.8.",Umse!$B$11="3.11.",Umse!$B$11="3.12."),'VKr-AT Ist'!M48,0)</f>
        <v>0</v>
      </c>
      <c r="N58" s="308">
        <f>IF(OR(Umse!$B$11="3.3.",Umse!$B$11="3.4.",Umse!$B$11="3.7.",Umse!$B$11="3.8.",Umse!$B$11="3.11.",Umse!$B$11="3.12."),'VKr-AT Ist'!N48,0)</f>
        <v>0</v>
      </c>
      <c r="O58" s="308">
        <f>IF(OR(Umse!$B$11="3.3.",Umse!$B$11="3.4.",Umse!$B$11="3.7.",Umse!$B$11="3.8.",Umse!$B$11="3.11.",Umse!$B$11="3.12."),'VKr-AT Ist'!O48,0)</f>
        <v>0</v>
      </c>
      <c r="P58" s="308">
        <f>IF(OR(Umse!$B$11="3.3.",Umse!$B$11="3.4.",Umse!$B$11="3.7.",Umse!$B$11="3.8.",Umse!$B$11="3.11.",Umse!$B$11="3.12."),'VKr-AT Ist'!P48,0)</f>
        <v>0</v>
      </c>
      <c r="Q58" s="308">
        <f>IF(OR(Umse!$B$11="3.3.",Umse!$B$11="3.4.",Umse!$B$11="3.7.",Umse!$B$11="3.8.",Umse!$B$11="3.11.",Umse!$B$11="3.12."),'VKr-AT Ist'!Q48,0)</f>
        <v>0</v>
      </c>
      <c r="R58" s="308">
        <f>IF(OR(Umse!$B$11="3.3.",Umse!$B$11="3.4.",Umse!$B$11="3.7.",Umse!$B$11="3.8.",Umse!$B$11="3.11.",Umse!$B$11="3.12."),'VKr-AT Ist'!R48,0)</f>
        <v>0</v>
      </c>
    </row>
    <row r="59" spans="2:18" ht="11.25" customHeight="1">
      <c r="B59" s="306" t="str">
        <f t="shared" si="4"/>
        <v/>
      </c>
      <c r="C59" s="322" t="str">
        <f t="shared" si="5"/>
        <v/>
      </c>
      <c r="D59" s="308">
        <f>IF(OR(Umse!$B$11="3.3.",Umse!$B$11="3.4.",Umse!$B$11="3.7.",Umse!$B$11="3.8.",Umse!$B$11="3.11.",Umse!$B$11="3.12."),'VKr-AT Ist'!D49,0)</f>
        <v>0</v>
      </c>
      <c r="E59" s="308">
        <f>IF(OR(Umse!$B$11="3.3.",Umse!$B$11="3.4.",Umse!$B$11="3.7.",Umse!$B$11="3.8.",Umse!$B$11="3.11.",Umse!$B$11="3.12."),'VKr-AT Ist'!E49,0)</f>
        <v>0</v>
      </c>
      <c r="F59" s="308">
        <f>IF(OR(Umse!$B$11="3.3.",Umse!$B$11="3.4.",Umse!$B$11="3.7.",Umse!$B$11="3.8.",Umse!$B$11="3.11.",Umse!$B$11="3.12."),'VKr-AT Ist'!F49,0)</f>
        <v>0</v>
      </c>
      <c r="G59" s="308">
        <f>IF(OR(Umse!$B$11="3.3.",Umse!$B$11="3.4.",Umse!$B$11="3.7.",Umse!$B$11="3.8.",Umse!$B$11="3.11.",Umse!$B$11="3.12."),'VKr-AT Ist'!G49,0)</f>
        <v>0</v>
      </c>
      <c r="H59" s="308">
        <f>IF(OR(Umse!$B$11="3.3.",Umse!$B$11="3.4.",Umse!$B$11="3.7.",Umse!$B$11="3.8.",Umse!$B$11="3.11.",Umse!$B$11="3.12."),'VKr-AT Ist'!H49,0)</f>
        <v>0</v>
      </c>
      <c r="I59" s="308">
        <f>IF(OR(Umse!$B$11="3.3.",Umse!$B$11="3.4.",Umse!$B$11="3.7.",Umse!$B$11="3.8.",Umse!$B$11="3.11.",Umse!$B$11="3.12."),'VKr-AT Ist'!I49,0)</f>
        <v>0</v>
      </c>
      <c r="J59" s="307"/>
      <c r="K59" s="306" t="str">
        <f t="shared" si="3"/>
        <v/>
      </c>
      <c r="L59" s="322" t="str">
        <f t="shared" si="6"/>
        <v/>
      </c>
      <c r="M59" s="308">
        <f>IF(OR(Umse!$B$11="3.3.",Umse!$B$11="3.4.",Umse!$B$11="3.7.",Umse!$B$11="3.8.",Umse!$B$11="3.11.",Umse!$B$11="3.12."),'VKr-AT Ist'!M49,0)</f>
        <v>0</v>
      </c>
      <c r="N59" s="308">
        <f>IF(OR(Umse!$B$11="3.3.",Umse!$B$11="3.4.",Umse!$B$11="3.7.",Umse!$B$11="3.8.",Umse!$B$11="3.11.",Umse!$B$11="3.12."),'VKr-AT Ist'!N49,0)</f>
        <v>0</v>
      </c>
      <c r="O59" s="308">
        <f>IF(OR(Umse!$B$11="3.3.",Umse!$B$11="3.4.",Umse!$B$11="3.7.",Umse!$B$11="3.8.",Umse!$B$11="3.11.",Umse!$B$11="3.12."),'VKr-AT Ist'!O49,0)</f>
        <v>0</v>
      </c>
      <c r="P59" s="308">
        <f>IF(OR(Umse!$B$11="3.3.",Umse!$B$11="3.4.",Umse!$B$11="3.7.",Umse!$B$11="3.8.",Umse!$B$11="3.11.",Umse!$B$11="3.12."),'VKr-AT Ist'!P49,0)</f>
        <v>0</v>
      </c>
      <c r="Q59" s="308">
        <f>IF(OR(Umse!$B$11="3.3.",Umse!$B$11="3.4.",Umse!$B$11="3.7.",Umse!$B$11="3.8.",Umse!$B$11="3.11.",Umse!$B$11="3.12."),'VKr-AT Ist'!Q49,0)</f>
        <v>0</v>
      </c>
      <c r="R59" s="308">
        <f>IF(OR(Umse!$B$11="3.3.",Umse!$B$11="3.4.",Umse!$B$11="3.7.",Umse!$B$11="3.8.",Umse!$B$11="3.11.",Umse!$B$11="3.12."),'VKr-AT Ist'!R49,0)</f>
        <v>0</v>
      </c>
    </row>
    <row r="60" spans="2:18" ht="11.25" customHeight="1">
      <c r="B60" s="306" t="str">
        <f t="shared" si="4"/>
        <v/>
      </c>
      <c r="C60" s="322" t="str">
        <f t="shared" si="5"/>
        <v/>
      </c>
      <c r="D60" s="308">
        <f>IF(OR(Umse!$B$11="3.3.",Umse!$B$11="3.4.",Umse!$B$11="3.7.",Umse!$B$11="3.8.",Umse!$B$11="3.11.",Umse!$B$11="3.12."),'VKr-AT Ist'!D50,0)</f>
        <v>0</v>
      </c>
      <c r="E60" s="308">
        <f>IF(OR(Umse!$B$11="3.3.",Umse!$B$11="3.4.",Umse!$B$11="3.7.",Umse!$B$11="3.8.",Umse!$B$11="3.11.",Umse!$B$11="3.12."),'VKr-AT Ist'!E50,0)</f>
        <v>0</v>
      </c>
      <c r="F60" s="308">
        <f>IF(OR(Umse!$B$11="3.3.",Umse!$B$11="3.4.",Umse!$B$11="3.7.",Umse!$B$11="3.8.",Umse!$B$11="3.11.",Umse!$B$11="3.12."),'VKr-AT Ist'!F50,0)</f>
        <v>0</v>
      </c>
      <c r="G60" s="308">
        <f>IF(OR(Umse!$B$11="3.3.",Umse!$B$11="3.4.",Umse!$B$11="3.7.",Umse!$B$11="3.8.",Umse!$B$11="3.11.",Umse!$B$11="3.12."),'VKr-AT Ist'!G50,0)</f>
        <v>0</v>
      </c>
      <c r="H60" s="308">
        <f>IF(OR(Umse!$B$11="3.3.",Umse!$B$11="3.4.",Umse!$B$11="3.7.",Umse!$B$11="3.8.",Umse!$B$11="3.11.",Umse!$B$11="3.12."),'VKr-AT Ist'!H50,0)</f>
        <v>0</v>
      </c>
      <c r="I60" s="308">
        <f>IF(OR(Umse!$B$11="3.3.",Umse!$B$11="3.4.",Umse!$B$11="3.7.",Umse!$B$11="3.8.",Umse!$B$11="3.11.",Umse!$B$11="3.12."),'VKr-AT Ist'!I50,0)</f>
        <v>0</v>
      </c>
      <c r="J60" s="307"/>
      <c r="K60" s="306" t="str">
        <f t="shared" si="3"/>
        <v/>
      </c>
      <c r="L60" s="322" t="str">
        <f t="shared" si="6"/>
        <v/>
      </c>
      <c r="M60" s="308">
        <f>IF(OR(Umse!$B$11="3.3.",Umse!$B$11="3.4.",Umse!$B$11="3.7.",Umse!$B$11="3.8.",Umse!$B$11="3.11.",Umse!$B$11="3.12."),'VKr-AT Ist'!M50,0)</f>
        <v>0</v>
      </c>
      <c r="N60" s="308">
        <f>IF(OR(Umse!$B$11="3.3.",Umse!$B$11="3.4.",Umse!$B$11="3.7.",Umse!$B$11="3.8.",Umse!$B$11="3.11.",Umse!$B$11="3.12."),'VKr-AT Ist'!N50,0)</f>
        <v>0</v>
      </c>
      <c r="O60" s="308">
        <f>IF(OR(Umse!$B$11="3.3.",Umse!$B$11="3.4.",Umse!$B$11="3.7.",Umse!$B$11="3.8.",Umse!$B$11="3.11.",Umse!$B$11="3.12."),'VKr-AT Ist'!O50,0)</f>
        <v>0</v>
      </c>
      <c r="P60" s="308">
        <f>IF(OR(Umse!$B$11="3.3.",Umse!$B$11="3.4.",Umse!$B$11="3.7.",Umse!$B$11="3.8.",Umse!$B$11="3.11.",Umse!$B$11="3.12."),'VKr-AT Ist'!P50,0)</f>
        <v>0</v>
      </c>
      <c r="Q60" s="308">
        <f>IF(OR(Umse!$B$11="3.3.",Umse!$B$11="3.4.",Umse!$B$11="3.7.",Umse!$B$11="3.8.",Umse!$B$11="3.11.",Umse!$B$11="3.12."),'VKr-AT Ist'!Q50,0)</f>
        <v>0</v>
      </c>
      <c r="R60" s="308">
        <f>IF(OR(Umse!$B$11="3.3.",Umse!$B$11="3.4.",Umse!$B$11="3.7.",Umse!$B$11="3.8.",Umse!$B$11="3.11.",Umse!$B$11="3.12."),'VKr-AT Ist'!R50,0)</f>
        <v>0</v>
      </c>
    </row>
    <row r="61" spans="2:18" ht="11.25" customHeight="1">
      <c r="B61" s="306" t="str">
        <f t="shared" si="4"/>
        <v/>
      </c>
      <c r="C61" s="322" t="str">
        <f t="shared" si="5"/>
        <v/>
      </c>
      <c r="D61" s="308">
        <f>IF(OR(Umse!$B$11="3.3.",Umse!$B$11="3.4.",Umse!$B$11="3.7.",Umse!$B$11="3.8.",Umse!$B$11="3.11.",Umse!$B$11="3.12."),'VKr-AT Ist'!D51,0)</f>
        <v>0</v>
      </c>
      <c r="E61" s="308">
        <f>IF(OR(Umse!$B$11="3.3.",Umse!$B$11="3.4.",Umse!$B$11="3.7.",Umse!$B$11="3.8.",Umse!$B$11="3.11.",Umse!$B$11="3.12."),'VKr-AT Ist'!E51,0)</f>
        <v>0</v>
      </c>
      <c r="F61" s="308">
        <f>IF(OR(Umse!$B$11="3.3.",Umse!$B$11="3.4.",Umse!$B$11="3.7.",Umse!$B$11="3.8.",Umse!$B$11="3.11.",Umse!$B$11="3.12."),'VKr-AT Ist'!F51,0)</f>
        <v>0</v>
      </c>
      <c r="G61" s="308">
        <f>IF(OR(Umse!$B$11="3.3.",Umse!$B$11="3.4.",Umse!$B$11="3.7.",Umse!$B$11="3.8.",Umse!$B$11="3.11.",Umse!$B$11="3.12."),'VKr-AT Ist'!G51,0)</f>
        <v>0</v>
      </c>
      <c r="H61" s="308">
        <f>IF(OR(Umse!$B$11="3.3.",Umse!$B$11="3.4.",Umse!$B$11="3.7.",Umse!$B$11="3.8.",Umse!$B$11="3.11.",Umse!$B$11="3.12."),'VKr-AT Ist'!H51,0)</f>
        <v>0</v>
      </c>
      <c r="I61" s="308">
        <f>IF(OR(Umse!$B$11="3.3.",Umse!$B$11="3.4.",Umse!$B$11="3.7.",Umse!$B$11="3.8.",Umse!$B$11="3.11.",Umse!$B$11="3.12."),'VKr-AT Ist'!I51,0)</f>
        <v>0</v>
      </c>
      <c r="J61" s="307"/>
      <c r="K61" s="306" t="str">
        <f t="shared" si="3"/>
        <v/>
      </c>
      <c r="L61" s="322" t="str">
        <f t="shared" si="6"/>
        <v/>
      </c>
      <c r="M61" s="308">
        <f>IF(OR(Umse!$B$11="3.3.",Umse!$B$11="3.4.",Umse!$B$11="3.7.",Umse!$B$11="3.8.",Umse!$B$11="3.11.",Umse!$B$11="3.12."),'VKr-AT Ist'!M51,0)</f>
        <v>0</v>
      </c>
      <c r="N61" s="308">
        <f>IF(OR(Umse!$B$11="3.3.",Umse!$B$11="3.4.",Umse!$B$11="3.7.",Umse!$B$11="3.8.",Umse!$B$11="3.11.",Umse!$B$11="3.12."),'VKr-AT Ist'!N51,0)</f>
        <v>0</v>
      </c>
      <c r="O61" s="308">
        <f>IF(OR(Umse!$B$11="3.3.",Umse!$B$11="3.4.",Umse!$B$11="3.7.",Umse!$B$11="3.8.",Umse!$B$11="3.11.",Umse!$B$11="3.12."),'VKr-AT Ist'!O51,0)</f>
        <v>0</v>
      </c>
      <c r="P61" s="308">
        <f>IF(OR(Umse!$B$11="3.3.",Umse!$B$11="3.4.",Umse!$B$11="3.7.",Umse!$B$11="3.8.",Umse!$B$11="3.11.",Umse!$B$11="3.12."),'VKr-AT Ist'!P51,0)</f>
        <v>0</v>
      </c>
      <c r="Q61" s="308">
        <f>IF(OR(Umse!$B$11="3.3.",Umse!$B$11="3.4.",Umse!$B$11="3.7.",Umse!$B$11="3.8.",Umse!$B$11="3.11.",Umse!$B$11="3.12."),'VKr-AT Ist'!Q51,0)</f>
        <v>0</v>
      </c>
      <c r="R61" s="308">
        <f>IF(OR(Umse!$B$11="3.3.",Umse!$B$11="3.4.",Umse!$B$11="3.7.",Umse!$B$11="3.8.",Umse!$B$11="3.11.",Umse!$B$11="3.12."),'VKr-AT Ist'!R51,0)</f>
        <v>0</v>
      </c>
    </row>
    <row r="62" spans="2:18" ht="11.25" customHeight="1">
      <c r="B62" s="306" t="str">
        <f t="shared" si="4"/>
        <v/>
      </c>
      <c r="C62" s="322" t="str">
        <f t="shared" si="5"/>
        <v/>
      </c>
      <c r="D62" s="308">
        <f>IF(OR(Umse!$B$11="3.3.",Umse!$B$11="3.4.",Umse!$B$11="3.7.",Umse!$B$11="3.8.",Umse!$B$11="3.11.",Umse!$B$11="3.12."),'VKr-AT Ist'!D52,0)</f>
        <v>0</v>
      </c>
      <c r="E62" s="308">
        <f>IF(OR(Umse!$B$11="3.3.",Umse!$B$11="3.4.",Umse!$B$11="3.7.",Umse!$B$11="3.8.",Umse!$B$11="3.11.",Umse!$B$11="3.12."),'VKr-AT Ist'!E52,0)</f>
        <v>0</v>
      </c>
      <c r="F62" s="308">
        <f>IF(OR(Umse!$B$11="3.3.",Umse!$B$11="3.4.",Umse!$B$11="3.7.",Umse!$B$11="3.8.",Umse!$B$11="3.11.",Umse!$B$11="3.12."),'VKr-AT Ist'!F52,0)</f>
        <v>0</v>
      </c>
      <c r="G62" s="308">
        <f>IF(OR(Umse!$B$11="3.3.",Umse!$B$11="3.4.",Umse!$B$11="3.7.",Umse!$B$11="3.8.",Umse!$B$11="3.11.",Umse!$B$11="3.12."),'VKr-AT Ist'!G52,0)</f>
        <v>0</v>
      </c>
      <c r="H62" s="308">
        <f>IF(OR(Umse!$B$11="3.3.",Umse!$B$11="3.4.",Umse!$B$11="3.7.",Umse!$B$11="3.8.",Umse!$B$11="3.11.",Umse!$B$11="3.12."),'VKr-AT Ist'!H52,0)</f>
        <v>0</v>
      </c>
      <c r="I62" s="308">
        <f>IF(OR(Umse!$B$11="3.3.",Umse!$B$11="3.4.",Umse!$B$11="3.7.",Umse!$B$11="3.8.",Umse!$B$11="3.11.",Umse!$B$11="3.12."),'VKr-AT Ist'!I52,0)</f>
        <v>0</v>
      </c>
      <c r="J62" s="307"/>
      <c r="K62" s="306" t="str">
        <f t="shared" si="3"/>
        <v/>
      </c>
      <c r="L62" s="322" t="str">
        <f t="shared" si="6"/>
        <v/>
      </c>
      <c r="M62" s="308">
        <f>IF(OR(Umse!$B$11="3.3.",Umse!$B$11="3.4.",Umse!$B$11="3.7.",Umse!$B$11="3.8.",Umse!$B$11="3.11.",Umse!$B$11="3.12."),'VKr-AT Ist'!M52,0)</f>
        <v>0</v>
      </c>
      <c r="N62" s="308">
        <f>IF(OR(Umse!$B$11="3.3.",Umse!$B$11="3.4.",Umse!$B$11="3.7.",Umse!$B$11="3.8.",Umse!$B$11="3.11.",Umse!$B$11="3.12."),'VKr-AT Ist'!N52,0)</f>
        <v>0</v>
      </c>
      <c r="O62" s="308">
        <f>IF(OR(Umse!$B$11="3.3.",Umse!$B$11="3.4.",Umse!$B$11="3.7.",Umse!$B$11="3.8.",Umse!$B$11="3.11.",Umse!$B$11="3.12."),'VKr-AT Ist'!O52,0)</f>
        <v>0</v>
      </c>
      <c r="P62" s="308">
        <f>IF(OR(Umse!$B$11="3.3.",Umse!$B$11="3.4.",Umse!$B$11="3.7.",Umse!$B$11="3.8.",Umse!$B$11="3.11.",Umse!$B$11="3.12."),'VKr-AT Ist'!P52,0)</f>
        <v>0</v>
      </c>
      <c r="Q62" s="308">
        <f>IF(OR(Umse!$B$11="3.3.",Umse!$B$11="3.4.",Umse!$B$11="3.7.",Umse!$B$11="3.8.",Umse!$B$11="3.11.",Umse!$B$11="3.12."),'VKr-AT Ist'!Q52,0)</f>
        <v>0</v>
      </c>
      <c r="R62" s="308">
        <f>IF(OR(Umse!$B$11="3.3.",Umse!$B$11="3.4.",Umse!$B$11="3.7.",Umse!$B$11="3.8.",Umse!$B$11="3.11.",Umse!$B$11="3.12."),'VKr-AT Ist'!R52,0)</f>
        <v>0</v>
      </c>
    </row>
    <row r="63" spans="2:18" ht="11.25" customHeight="1">
      <c r="B63" s="306" t="str">
        <f t="shared" si="4"/>
        <v/>
      </c>
      <c r="C63" s="322" t="str">
        <f t="shared" si="5"/>
        <v/>
      </c>
      <c r="D63" s="308">
        <f>IF(OR(Umse!$B$11="3.3.",Umse!$B$11="3.4.",Umse!$B$11="3.7.",Umse!$B$11="3.8.",Umse!$B$11="3.11.",Umse!$B$11="3.12."),'VKr-AT Ist'!D53,0)</f>
        <v>0</v>
      </c>
      <c r="E63" s="308">
        <f>IF(OR(Umse!$B$11="3.3.",Umse!$B$11="3.4.",Umse!$B$11="3.7.",Umse!$B$11="3.8.",Umse!$B$11="3.11.",Umse!$B$11="3.12."),'VKr-AT Ist'!E53,0)</f>
        <v>0</v>
      </c>
      <c r="F63" s="308">
        <f>IF(OR(Umse!$B$11="3.3.",Umse!$B$11="3.4.",Umse!$B$11="3.7.",Umse!$B$11="3.8.",Umse!$B$11="3.11.",Umse!$B$11="3.12."),'VKr-AT Ist'!F53,0)</f>
        <v>0</v>
      </c>
      <c r="G63" s="308">
        <f>IF(OR(Umse!$B$11="3.3.",Umse!$B$11="3.4.",Umse!$B$11="3.7.",Umse!$B$11="3.8.",Umse!$B$11="3.11.",Umse!$B$11="3.12."),'VKr-AT Ist'!G53,0)</f>
        <v>0</v>
      </c>
      <c r="H63" s="308">
        <f>IF(OR(Umse!$B$11="3.3.",Umse!$B$11="3.4.",Umse!$B$11="3.7.",Umse!$B$11="3.8.",Umse!$B$11="3.11.",Umse!$B$11="3.12."),'VKr-AT Ist'!H53,0)</f>
        <v>0</v>
      </c>
      <c r="I63" s="308">
        <f>IF(OR(Umse!$B$11="3.3.",Umse!$B$11="3.4.",Umse!$B$11="3.7.",Umse!$B$11="3.8.",Umse!$B$11="3.11.",Umse!$B$11="3.12."),'VKr-AT Ist'!I53,0)</f>
        <v>0</v>
      </c>
      <c r="J63" s="307"/>
      <c r="K63" s="306" t="str">
        <f t="shared" si="3"/>
        <v/>
      </c>
      <c r="L63" s="322" t="str">
        <f t="shared" si="6"/>
        <v/>
      </c>
      <c r="M63" s="308">
        <f>IF(OR(Umse!$B$11="3.3.",Umse!$B$11="3.4.",Umse!$B$11="3.7.",Umse!$B$11="3.8.",Umse!$B$11="3.11.",Umse!$B$11="3.12."),'VKr-AT Ist'!M53,0)</f>
        <v>0</v>
      </c>
      <c r="N63" s="308">
        <f>IF(OR(Umse!$B$11="3.3.",Umse!$B$11="3.4.",Umse!$B$11="3.7.",Umse!$B$11="3.8.",Umse!$B$11="3.11.",Umse!$B$11="3.12."),'VKr-AT Ist'!N53,0)</f>
        <v>0</v>
      </c>
      <c r="O63" s="308">
        <f>IF(OR(Umse!$B$11="3.3.",Umse!$B$11="3.4.",Umse!$B$11="3.7.",Umse!$B$11="3.8.",Umse!$B$11="3.11.",Umse!$B$11="3.12."),'VKr-AT Ist'!O53,0)</f>
        <v>0</v>
      </c>
      <c r="P63" s="308">
        <f>IF(OR(Umse!$B$11="3.3.",Umse!$B$11="3.4.",Umse!$B$11="3.7.",Umse!$B$11="3.8.",Umse!$B$11="3.11.",Umse!$B$11="3.12."),'VKr-AT Ist'!P53,0)</f>
        <v>0</v>
      </c>
      <c r="Q63" s="308">
        <f>IF(OR(Umse!$B$11="3.3.",Umse!$B$11="3.4.",Umse!$B$11="3.7.",Umse!$B$11="3.8.",Umse!$B$11="3.11.",Umse!$B$11="3.12."),'VKr-AT Ist'!Q53,0)</f>
        <v>0</v>
      </c>
      <c r="R63" s="308">
        <f>IF(OR(Umse!$B$11="3.3.",Umse!$B$11="3.4.",Umse!$B$11="3.7.",Umse!$B$11="3.8.",Umse!$B$11="3.11.",Umse!$B$11="3.12."),'VKr-AT Ist'!R53,0)</f>
        <v>0</v>
      </c>
    </row>
    <row r="64" spans="2:18" ht="11.25" customHeight="1">
      <c r="B64" s="306" t="str">
        <f>K29</f>
        <v/>
      </c>
      <c r="C64" s="322" t="str">
        <f>L29</f>
        <v/>
      </c>
      <c r="D64" s="308">
        <f>IF(OR(Umse!$B$11="3.3.",Umse!$B$11="3.4.",Umse!$B$11="3.7.",Umse!$B$11="3.8.",Umse!$B$11="3.11.",Umse!$B$11="3.12."),'VKr-AT Ist'!D54,0)</f>
        <v>0</v>
      </c>
      <c r="E64" s="308">
        <f>IF(OR(Umse!$B$11="3.3.",Umse!$B$11="3.4.",Umse!$B$11="3.7.",Umse!$B$11="3.8.",Umse!$B$11="3.11.",Umse!$B$11="3.12."),'VKr-AT Ist'!E54,0)</f>
        <v>0</v>
      </c>
      <c r="F64" s="308">
        <f>IF(OR(Umse!$B$11="3.3.",Umse!$B$11="3.4.",Umse!$B$11="3.7.",Umse!$B$11="3.8.",Umse!$B$11="3.11.",Umse!$B$11="3.12."),'VKr-AT Ist'!F54,0)</f>
        <v>0</v>
      </c>
      <c r="G64" s="308">
        <f>IF(OR(Umse!$B$11="3.3.",Umse!$B$11="3.4.",Umse!$B$11="3.7.",Umse!$B$11="3.8.",Umse!$B$11="3.11.",Umse!$B$11="3.12."),'VKr-AT Ist'!G54,0)</f>
        <v>0</v>
      </c>
      <c r="H64" s="308">
        <f>IF(OR(Umse!$B$11="3.3.",Umse!$B$11="3.4.",Umse!$B$11="3.7.",Umse!$B$11="3.8.",Umse!$B$11="3.11.",Umse!$B$11="3.12."),'VKr-AT Ist'!H54,0)</f>
        <v>0</v>
      </c>
      <c r="I64" s="308">
        <f>IF(OR(Umse!$B$11="3.3.",Umse!$B$11="3.4.",Umse!$B$11="3.7.",Umse!$B$11="3.8.",Umse!$B$11="3.11.",Umse!$B$11="3.12."),'VKr-AT Ist'!I54,0)</f>
        <v>0</v>
      </c>
      <c r="J64" s="307"/>
      <c r="K64" s="306" t="str">
        <f>K29</f>
        <v/>
      </c>
      <c r="L64" s="322" t="str">
        <f t="shared" si="6"/>
        <v/>
      </c>
      <c r="M64" s="308">
        <f>IF(OR(Umse!$B$11="3.3.",Umse!$B$11="3.4.",Umse!$B$11="3.7.",Umse!$B$11="3.8.",Umse!$B$11="3.11.",Umse!$B$11="3.12."),'VKr-AT Ist'!M54,0)</f>
        <v>0</v>
      </c>
      <c r="N64" s="308">
        <f>IF(OR(Umse!$B$11="3.3.",Umse!$B$11="3.4.",Umse!$B$11="3.7.",Umse!$B$11="3.8.",Umse!$B$11="3.11.",Umse!$B$11="3.12."),'VKr-AT Ist'!N54,0)</f>
        <v>0</v>
      </c>
      <c r="O64" s="308">
        <f>IF(OR(Umse!$B$11="3.3.",Umse!$B$11="3.4.",Umse!$B$11="3.7.",Umse!$B$11="3.8.",Umse!$B$11="3.11.",Umse!$B$11="3.12."),'VKr-AT Ist'!O54,0)</f>
        <v>0</v>
      </c>
      <c r="P64" s="308">
        <f>IF(OR(Umse!$B$11="3.3.",Umse!$B$11="3.4.",Umse!$B$11="3.7.",Umse!$B$11="3.8.",Umse!$B$11="3.11.",Umse!$B$11="3.12."),'VKr-AT Ist'!P54,0)</f>
        <v>0</v>
      </c>
      <c r="Q64" s="308">
        <f>IF(OR(Umse!$B$11="3.3.",Umse!$B$11="3.4.",Umse!$B$11="3.7.",Umse!$B$11="3.8.",Umse!$B$11="3.11.",Umse!$B$11="3.12."),'VKr-AT Ist'!Q54,0)</f>
        <v>0</v>
      </c>
      <c r="R64" s="308">
        <f>IF(OR(Umse!$B$11="3.3.",Umse!$B$11="3.4.",Umse!$B$11="3.7.",Umse!$B$11="3.8.",Umse!$B$11="3.11.",Umse!$B$11="3.12."),'VKr-AT Ist'!R54,0)</f>
        <v>0</v>
      </c>
    </row>
    <row r="65" spans="2:18" ht="11.25" customHeight="1">
      <c r="B65" s="306" t="str">
        <f>K30</f>
        <v/>
      </c>
      <c r="C65" s="322" t="str">
        <f>L30</f>
        <v/>
      </c>
      <c r="D65" s="308">
        <f>IF(OR(Umse!$B$11="3.3.",Umse!$B$11="3.4.",Umse!$B$11="3.7.",Umse!$B$11="3.8.",Umse!$B$11="3.11.",Umse!$B$11="3.12."),'VKr-AT Ist'!D55,0)</f>
        <v>0</v>
      </c>
      <c r="E65" s="308">
        <f>IF(OR(Umse!$B$11="3.3.",Umse!$B$11="3.4.",Umse!$B$11="3.7.",Umse!$B$11="3.8.",Umse!$B$11="3.11.",Umse!$B$11="3.12."),'VKr-AT Ist'!E55,0)</f>
        <v>0</v>
      </c>
      <c r="F65" s="308">
        <f>IF(OR(Umse!$B$11="3.3.",Umse!$B$11="3.4.",Umse!$B$11="3.7.",Umse!$B$11="3.8.",Umse!$B$11="3.11.",Umse!$B$11="3.12."),'VKr-AT Ist'!F55,0)</f>
        <v>0</v>
      </c>
      <c r="G65" s="308">
        <f>IF(OR(Umse!$B$11="3.3.",Umse!$B$11="3.4.",Umse!$B$11="3.7.",Umse!$B$11="3.8.",Umse!$B$11="3.11.",Umse!$B$11="3.12."),'VKr-AT Ist'!G55,0)</f>
        <v>0</v>
      </c>
      <c r="H65" s="308">
        <f>IF(OR(Umse!$B$11="3.3.",Umse!$B$11="3.4.",Umse!$B$11="3.7.",Umse!$B$11="3.8.",Umse!$B$11="3.11.",Umse!$B$11="3.12."),'VKr-AT Ist'!H55,0)</f>
        <v>0</v>
      </c>
      <c r="I65" s="308">
        <f>IF(OR(Umse!$B$11="3.3.",Umse!$B$11="3.4.",Umse!$B$11="3.7.",Umse!$B$11="3.8.",Umse!$B$11="3.11.",Umse!$B$11="3.12."),'VKr-AT Ist'!I55,0)</f>
        <v>0</v>
      </c>
      <c r="J65" s="307"/>
      <c r="K65" s="306" t="str">
        <f>K30</f>
        <v/>
      </c>
      <c r="L65" s="322" t="str">
        <f t="shared" si="6"/>
        <v/>
      </c>
      <c r="M65" s="308">
        <f>IF(OR(Umse!$B$11="3.3.",Umse!$B$11="3.4.",Umse!$B$11="3.7.",Umse!$B$11="3.8.",Umse!$B$11="3.11.",Umse!$B$11="3.12."),'VKr-AT Ist'!M55,0)</f>
        <v>0</v>
      </c>
      <c r="N65" s="308">
        <f>IF(OR(Umse!$B$11="3.3.",Umse!$B$11="3.4.",Umse!$B$11="3.7.",Umse!$B$11="3.8.",Umse!$B$11="3.11.",Umse!$B$11="3.12."),'VKr-AT Ist'!N55,0)</f>
        <v>0</v>
      </c>
      <c r="O65" s="308">
        <f>IF(OR(Umse!$B$11="3.3.",Umse!$B$11="3.4.",Umse!$B$11="3.7.",Umse!$B$11="3.8.",Umse!$B$11="3.11.",Umse!$B$11="3.12."),'VKr-AT Ist'!O55,0)</f>
        <v>0</v>
      </c>
      <c r="P65" s="308">
        <f>IF(OR(Umse!$B$11="3.3.",Umse!$B$11="3.4.",Umse!$B$11="3.7.",Umse!$B$11="3.8.",Umse!$B$11="3.11.",Umse!$B$11="3.12."),'VKr-AT Ist'!P55,0)</f>
        <v>0</v>
      </c>
      <c r="Q65" s="308">
        <f>IF(OR(Umse!$B$11="3.3.",Umse!$B$11="3.4.",Umse!$B$11="3.7.",Umse!$B$11="3.8.",Umse!$B$11="3.11.",Umse!$B$11="3.12."),'VKr-AT Ist'!Q55,0)</f>
        <v>0</v>
      </c>
      <c r="R65" s="308">
        <f>IF(OR(Umse!$B$11="3.3.",Umse!$B$11="3.4.",Umse!$B$11="3.7.",Umse!$B$11="3.8.",Umse!$B$11="3.11.",Umse!$B$11="3.12."),'VKr-AT Ist'!R55,0)</f>
        <v>0</v>
      </c>
    </row>
    <row r="66" spans="2:18" ht="11.25" customHeight="1">
      <c r="B66" s="307"/>
      <c r="C66" s="307"/>
      <c r="D66" s="316"/>
      <c r="E66" s="316"/>
      <c r="F66" s="316"/>
      <c r="G66" s="316"/>
      <c r="H66" s="316"/>
      <c r="I66" s="316"/>
      <c r="K66" s="307"/>
      <c r="L66" s="307"/>
      <c r="M66" s="317"/>
      <c r="N66" s="317"/>
      <c r="O66" s="317"/>
      <c r="P66" s="317"/>
      <c r="Q66" s="317"/>
      <c r="R66" s="317"/>
    </row>
    <row r="89" spans="1:18" ht="11.25" customHeight="1">
      <c r="A89" s="307"/>
      <c r="B89" s="307"/>
      <c r="C89" s="307"/>
      <c r="D89" s="307"/>
      <c r="E89" s="318"/>
      <c r="F89" s="307"/>
      <c r="G89" s="307"/>
      <c r="H89" s="307"/>
      <c r="I89" s="319"/>
      <c r="J89" s="307"/>
      <c r="K89" s="319"/>
      <c r="L89" s="319"/>
      <c r="M89" s="307"/>
      <c r="N89" s="307"/>
      <c r="O89" s="307"/>
      <c r="P89" s="307"/>
      <c r="Q89" s="307"/>
      <c r="R89" s="307"/>
    </row>
    <row r="90" spans="1:18" ht="11.25" customHeight="1">
      <c r="A90" s="307"/>
      <c r="B90" s="307"/>
      <c r="C90" s="307"/>
      <c r="D90" s="307"/>
      <c r="E90" s="318"/>
      <c r="F90" s="307"/>
      <c r="G90" s="307"/>
      <c r="H90" s="307"/>
      <c r="I90" s="319"/>
      <c r="J90" s="307"/>
      <c r="K90" s="319"/>
      <c r="L90" s="319"/>
      <c r="M90" s="307"/>
      <c r="N90" s="307"/>
      <c r="O90" s="307"/>
      <c r="P90" s="307"/>
      <c r="Q90" s="307"/>
      <c r="R90" s="307"/>
    </row>
    <row r="91" spans="1:18" ht="11.25" customHeight="1">
      <c r="A91" s="307"/>
      <c r="B91" s="307"/>
      <c r="C91" s="307"/>
      <c r="D91" s="307"/>
      <c r="E91" s="318"/>
      <c r="F91" s="307"/>
      <c r="G91" s="307"/>
      <c r="H91" s="307"/>
      <c r="I91" s="307"/>
      <c r="J91" s="307"/>
      <c r="K91" s="319"/>
      <c r="L91" s="319"/>
      <c r="M91" s="307"/>
      <c r="N91" s="307"/>
      <c r="O91" s="307"/>
      <c r="P91" s="307"/>
      <c r="Q91" s="307"/>
      <c r="R91" s="307"/>
    </row>
    <row r="92" spans="1:18" ht="11.25" customHeight="1">
      <c r="A92" s="320"/>
      <c r="B92" s="299"/>
      <c r="C92" s="299"/>
      <c r="D92" s="320"/>
      <c r="E92" s="321"/>
      <c r="F92" s="299"/>
      <c r="G92" s="299"/>
      <c r="H92" s="299"/>
      <c r="I92" s="299"/>
      <c r="J92" s="299"/>
      <c r="K92" s="309"/>
      <c r="L92" s="309"/>
      <c r="M92" s="299"/>
      <c r="N92" s="299"/>
      <c r="O92" s="299"/>
      <c r="P92" s="299"/>
      <c r="Q92" s="299"/>
      <c r="R92" s="299"/>
    </row>
    <row r="93" spans="1:18" ht="11.25" customHeight="1">
      <c r="A93" s="320"/>
      <c r="B93" s="299"/>
      <c r="C93" s="299"/>
      <c r="D93" s="320"/>
      <c r="E93" s="321"/>
      <c r="F93" s="299"/>
      <c r="G93" s="299"/>
      <c r="H93" s="299"/>
      <c r="I93" s="299"/>
      <c r="J93" s="299"/>
      <c r="K93" s="309"/>
      <c r="L93" s="309"/>
      <c r="M93" s="299"/>
      <c r="N93" s="299"/>
      <c r="O93" s="299"/>
      <c r="P93" s="299"/>
      <c r="Q93" s="299"/>
      <c r="R93" s="299"/>
    </row>
    <row r="394" spans="10:15" ht="11.25" customHeight="1">
      <c r="J394" s="411" t="e">
        <f t="shared" ref="J394:O397" si="7">((C393-C394)/C393)</f>
        <v>#DIV/0!</v>
      </c>
      <c r="K394" s="411" t="e">
        <f t="shared" si="7"/>
        <v>#DIV/0!</v>
      </c>
      <c r="L394" s="411" t="e">
        <f t="shared" si="7"/>
        <v>#DIV/0!</v>
      </c>
      <c r="M394" s="411" t="e">
        <f t="shared" si="7"/>
        <v>#DIV/0!</v>
      </c>
      <c r="N394" s="411" t="e">
        <f t="shared" si="7"/>
        <v>#DIV/0!</v>
      </c>
      <c r="O394" s="411" t="e">
        <f t="shared" si="7"/>
        <v>#DIV/0!</v>
      </c>
    </row>
    <row r="395" spans="10:15" ht="11.25" customHeight="1">
      <c r="J395" s="411" t="e">
        <f t="shared" si="7"/>
        <v>#DIV/0!</v>
      </c>
      <c r="K395" s="411" t="e">
        <f t="shared" si="7"/>
        <v>#DIV/0!</v>
      </c>
      <c r="L395" s="411" t="e">
        <f t="shared" si="7"/>
        <v>#DIV/0!</v>
      </c>
      <c r="M395" s="411" t="e">
        <f t="shared" si="7"/>
        <v>#DIV/0!</v>
      </c>
      <c r="N395" s="411" t="e">
        <f t="shared" si="7"/>
        <v>#DIV/0!</v>
      </c>
      <c r="O395" s="411" t="e">
        <f t="shared" si="7"/>
        <v>#DIV/0!</v>
      </c>
    </row>
    <row r="396" spans="10:15" ht="11.25" customHeight="1">
      <c r="J396" s="411" t="e">
        <f t="shared" si="7"/>
        <v>#DIV/0!</v>
      </c>
      <c r="K396" s="411" t="e">
        <f t="shared" si="7"/>
        <v>#DIV/0!</v>
      </c>
      <c r="L396" s="411" t="e">
        <f t="shared" si="7"/>
        <v>#DIV/0!</v>
      </c>
      <c r="M396" s="411" t="e">
        <f t="shared" si="7"/>
        <v>#DIV/0!</v>
      </c>
      <c r="N396" s="411" t="e">
        <f t="shared" si="7"/>
        <v>#DIV/0!</v>
      </c>
      <c r="O396" s="411" t="e">
        <f t="shared" si="7"/>
        <v>#DIV/0!</v>
      </c>
    </row>
    <row r="397" spans="10:15" ht="11.25" customHeight="1">
      <c r="J397" s="411" t="e">
        <f t="shared" si="7"/>
        <v>#DIV/0!</v>
      </c>
      <c r="K397" s="411" t="e">
        <f t="shared" si="7"/>
        <v>#DIV/0!</v>
      </c>
      <c r="L397" s="411" t="e">
        <f t="shared" si="7"/>
        <v>#DIV/0!</v>
      </c>
      <c r="M397" s="411" t="e">
        <f t="shared" si="7"/>
        <v>#DIV/0!</v>
      </c>
      <c r="N397" s="411" t="e">
        <f t="shared" si="7"/>
        <v>#DIV/0!</v>
      </c>
      <c r="O397" s="411" t="e">
        <f t="shared" si="7"/>
        <v>#DIV/0!</v>
      </c>
    </row>
    <row r="419" spans="21:26" ht="11.25" customHeight="1">
      <c r="U419" s="287">
        <v>2715.3</v>
      </c>
      <c r="V419" s="287">
        <v>3049.78</v>
      </c>
      <c r="W419" s="287">
        <v>3195.64</v>
      </c>
      <c r="X419" s="287">
        <v>3563.13</v>
      </c>
      <c r="Y419" s="287">
        <v>3850.24</v>
      </c>
      <c r="Z419" s="287">
        <v>4092.5</v>
      </c>
    </row>
  </sheetData>
  <mergeCells count="24">
    <mergeCell ref="B35:D35"/>
    <mergeCell ref="E35:G35"/>
    <mergeCell ref="H35:I35"/>
    <mergeCell ref="I36:I45"/>
    <mergeCell ref="B2:D2"/>
    <mergeCell ref="E2:P2"/>
    <mergeCell ref="K4:P6"/>
    <mergeCell ref="F5:G5"/>
    <mergeCell ref="K36:R42"/>
    <mergeCell ref="K45:M45"/>
    <mergeCell ref="B10:D10"/>
    <mergeCell ref="E10:G10"/>
    <mergeCell ref="H10:I10"/>
    <mergeCell ref="K10:M10"/>
    <mergeCell ref="N10:P10"/>
    <mergeCell ref="Q10:R10"/>
    <mergeCell ref="B36:C45"/>
    <mergeCell ref="N45:P45"/>
    <mergeCell ref="Q45:R45"/>
    <mergeCell ref="D36:D45"/>
    <mergeCell ref="E36:E45"/>
    <mergeCell ref="F36:F45"/>
    <mergeCell ref="G36:G45"/>
    <mergeCell ref="H36:H45"/>
  </mergeCells>
  <conditionalFormatting sqref="B12:R28 B47:R63 K29:R30 B29:I30 B64:I65 K64:R65">
    <cfRule type="cellIs" dxfId="17" priority="1" stopIfTrue="1" operator="equal">
      <formula>0</formula>
    </cfRule>
    <cfRule type="cellIs" dxfId="16" priority="2" stopIfTrue="1" operator="equal">
      <formula>""</formula>
    </cfRule>
  </conditionalFormatting>
  <printOptions horizontalCentered="1" verticalCentered="1"/>
  <pageMargins left="0.39370078740157483" right="0.39370078740157483" top="0.19685039370078741" bottom="0.19685039370078741" header="0.51181102362204722" footer="0.51181102362204722"/>
  <pageSetup paperSize="9" scale="84" orientation="landscape" r:id="rId1"/>
  <headerFooter alignWithMargins="0">
    <oddFooter>&amp;L&amp;"Arial,Standard"&amp;4dbb
tarifunion
Entgelte
Version 1.1.
10.10.2007
&amp;D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6"/>
  </sheetPr>
  <dimension ref="A1:AA57"/>
  <sheetViews>
    <sheetView workbookViewId="0">
      <selection activeCell="E26" sqref="E26:E35"/>
    </sheetView>
  </sheetViews>
  <sheetFormatPr baseColWidth="10" defaultColWidth="8.5703125" defaultRowHeight="11.25" customHeight="1"/>
  <cols>
    <col min="1" max="1" width="23.140625" style="329" customWidth="1"/>
    <col min="2" max="3" width="6.42578125" style="329" customWidth="1"/>
    <col min="4" max="9" width="8.5703125" style="329" customWidth="1"/>
    <col min="10" max="10" width="17.85546875" style="328" customWidth="1"/>
    <col min="11" max="12" width="6.42578125" style="329" customWidth="1"/>
    <col min="13" max="19" width="8.5703125" style="329"/>
    <col min="20" max="23" width="5.7109375" style="329" customWidth="1"/>
    <col min="24" max="16384" width="8.5703125" style="329"/>
  </cols>
  <sheetData>
    <row r="1" spans="1:23" ht="11.25" customHeight="1">
      <c r="A1" s="323" t="str">
        <f>Umse!B11</f>
        <v>1.2.</v>
      </c>
      <c r="B1" s="324"/>
      <c r="C1" s="325"/>
      <c r="D1" s="326" t="str">
        <f>IF(A1=0,"","Stundenentgelt  ( Vollzeit )")</f>
        <v>Stundenentgelt  ( Vollzeit )</v>
      </c>
      <c r="E1" s="325"/>
      <c r="F1" s="325"/>
      <c r="G1" s="325"/>
      <c r="H1" s="325"/>
      <c r="I1" s="327"/>
      <c r="K1" s="324"/>
      <c r="L1" s="325"/>
      <c r="M1" s="525" t="str">
        <f>IF(A1=0,"",IF(OR($A$1="3.3.",$A$1="3.4."),"Anlage A VKA",IF(OR($A$1="3.7.",$A$1="3.8."),"Anlage A VKA",IF(OR($A$1="3.11.",$A$1="3.12."),"Anlage A VKA",""))))</f>
        <v/>
      </c>
      <c r="N1" s="325"/>
      <c r="O1" s="325"/>
      <c r="P1" s="325"/>
      <c r="Q1" s="525" t="str">
        <f>IF(OR(Umse!$C$24=0,Kalk!B4=1,Kalk!B4=2,Kalk!B4=4,Kalk!B4=5,Kalk!B4=6,Kalk!B4=7,Kalk!B4=8,Kalk!B4=9,Kalk!B4=10),"",IF(OR(A1="3.3.",A1="3.4."),Para!C96,IF(OR(A1="3.7.",A1="3.8."),Para!C97,IF(OR(A1="3.11.",A1="3.12."),Para!C98,""))))</f>
        <v/>
      </c>
      <c r="R1" s="327"/>
    </row>
    <row r="2" spans="1:23" ht="21" customHeight="1">
      <c r="A2" s="330" t="str">
        <f>VLOOKUP(Kalk!B5,Kalk!A20:B29,2)</f>
        <v>TVöD ( Bund )</v>
      </c>
      <c r="B2" s="367" t="str">
        <f>K2</f>
        <v/>
      </c>
      <c r="C2" s="331"/>
      <c r="D2" s="332" t="s">
        <v>7</v>
      </c>
      <c r="E2" s="332" t="s">
        <v>8</v>
      </c>
      <c r="F2" s="332" t="s">
        <v>9</v>
      </c>
      <c r="G2" s="332" t="s">
        <v>10</v>
      </c>
      <c r="H2" s="332" t="s">
        <v>11</v>
      </c>
      <c r="I2" s="332" t="s">
        <v>12</v>
      </c>
      <c r="J2" s="333" t="str">
        <f>IF(OR(Umse!$C$24=0,$A$1=0),"",IF(Umse!B11="3.4.","",""))</f>
        <v/>
      </c>
      <c r="K2" s="367" t="str">
        <f>IF(Umse!$C$24=0,"",IF(OR($A$1="3.3.",$A$1="3.4.",$A$1="3.7.",$A$1="3.8.",$A$1="3.11.",$A$1="3.12."),V2,""))</f>
        <v/>
      </c>
      <c r="L2" s="331"/>
      <c r="M2" s="332" t="s">
        <v>7</v>
      </c>
      <c r="N2" s="332" t="s">
        <v>8</v>
      </c>
      <c r="O2" s="332" t="s">
        <v>9</v>
      </c>
      <c r="P2" s="332" t="s">
        <v>10</v>
      </c>
      <c r="Q2" s="332" t="s">
        <v>11</v>
      </c>
      <c r="R2" s="332" t="s">
        <v>12</v>
      </c>
      <c r="T2" s="355"/>
      <c r="V2" s="355" t="s">
        <v>278</v>
      </c>
    </row>
    <row r="3" spans="1:23" ht="11.25" customHeight="1">
      <c r="A3" s="323" t="str">
        <f>Umse!B23</f>
        <v>West und Ost ( ab 1.04.2021 )</v>
      </c>
      <c r="B3" s="332" t="str">
        <f>K3</f>
        <v/>
      </c>
      <c r="C3" s="367" t="str">
        <f>L3</f>
        <v/>
      </c>
      <c r="D3" s="361" t="str">
        <f t="shared" ref="D3:D19" si="0">IF(M3="-","-",IF(M3="","",FIXED(ROUND(M3/$A$5,2),2)))</f>
        <v/>
      </c>
      <c r="E3" s="361" t="str">
        <f t="shared" ref="E3:I18" si="1">IF(N3="-","-",IF(N3="","",FIXED(ROUND(N3/$A$5,2),2)))</f>
        <v/>
      </c>
      <c r="F3" s="361" t="str">
        <f t="shared" si="1"/>
        <v/>
      </c>
      <c r="G3" s="361" t="str">
        <f t="shared" si="1"/>
        <v/>
      </c>
      <c r="H3" s="361" t="str">
        <f t="shared" si="1"/>
        <v/>
      </c>
      <c r="I3" s="361" t="str">
        <f t="shared" si="1"/>
        <v/>
      </c>
      <c r="J3" s="333" t="str">
        <f>""</f>
        <v/>
      </c>
      <c r="K3" s="331" t="str">
        <f>IF(Umse!$C$24=0,"",IF(OR($A$1="3.3.",$A$1="3.4.",$A$1="3.7.",$A$1="3.8.",$A$1="3.11.",$A$1="3.12."),V3,""))</f>
        <v/>
      </c>
      <c r="L3" s="363" t="str">
        <f>IF(Umse!$C$24=0,"",IF(OR($A$1="3.3.",$A$1="3.4.",$A$1="3.7.",$A$1="3.8.",$A$1="3.11.",$A$1="3.12."),W3,""))</f>
        <v/>
      </c>
      <c r="M3" s="335" t="str">
        <f>IF(Umse!$C$24=0,"",IF(OR($A$1="3.3.",$A$1="3.4."),'V Tab'!C530,IF(OR($A$1="3.7.",$A$1="3.8."),'V Tab'!C554,IF(OR($A$1="3.11.",$A$1="3.12."),'V Tab'!C578,""))))</f>
        <v/>
      </c>
      <c r="N3" s="335" t="str">
        <f>IF(Umse!$C$24=0,"",IF(OR($A$1="3.3.",$A$1="3.4."),'V Tab'!D530,IF(OR($A$1="3.7.",$A$1="3.8."),'V Tab'!D554,IF(OR($A$1="3.11.",$A$1="3.12."),'V Tab'!D578,""))))</f>
        <v/>
      </c>
      <c r="O3" s="335" t="str">
        <f>IF(Umse!$C$24=0,"",IF(OR($A$1="3.3.",$A$1="3.4."),'V Tab'!E530,IF(OR($A$1="3.7.",$A$1="3.8."),'V Tab'!E554,IF(OR($A$1="3.11.",$A$1="3.12."),'V Tab'!E578,""))))</f>
        <v/>
      </c>
      <c r="P3" s="335" t="str">
        <f>IF(Umse!$C$24=0,"",IF(OR($A$1="3.3.",$A$1="3.4."),'V Tab'!F530,IF(OR($A$1="3.7.",$A$1="3.8."),'V Tab'!F554,IF(OR($A$1="3.11.",$A$1="3.12."),'V Tab'!F578,""))))</f>
        <v/>
      </c>
      <c r="Q3" s="335" t="str">
        <f>IF(Umse!$C$24=0,"",IF(OR($A$1="3.3.",$A$1="3.4."),'V Tab'!G530,IF(OR($A$1="3.7.",$A$1="3.8."),'V Tab'!G554,IF(OR($A$1="3.11.",$A$1="3.12."),'V Tab'!G578,""))))</f>
        <v/>
      </c>
      <c r="R3" s="335" t="str">
        <f>IF(Umse!$C$24=0,"",IF(OR($A$1="3.3.",$A$1="3.4."),'V Tab'!H530,IF(OR($A$1="3.7.",$A$1="3.8."),'V Tab'!H554,IF(OR($A$1="3.11.",$A$1="3.12."),'V Tab'!H578,""))))</f>
        <v/>
      </c>
      <c r="T3" s="323"/>
      <c r="U3" s="367"/>
      <c r="V3" s="332" t="s">
        <v>6</v>
      </c>
      <c r="W3" s="363" t="s">
        <v>13</v>
      </c>
    </row>
    <row r="4" spans="1:23" ht="11.25" customHeight="1">
      <c r="A4" s="336">
        <f>Umse!B24</f>
        <v>39</v>
      </c>
      <c r="B4" s="332" t="str">
        <f t="shared" ref="B4:B19" si="2">K4</f>
        <v/>
      </c>
      <c r="C4" s="367" t="str">
        <f t="shared" ref="C4:C19" si="3">L4</f>
        <v/>
      </c>
      <c r="D4" s="361" t="str">
        <f t="shared" si="0"/>
        <v/>
      </c>
      <c r="E4" s="361" t="str">
        <f t="shared" si="1"/>
        <v/>
      </c>
      <c r="F4" s="361" t="str">
        <f t="shared" si="1"/>
        <v/>
      </c>
      <c r="G4" s="361" t="str">
        <f t="shared" si="1"/>
        <v/>
      </c>
      <c r="H4" s="361" t="str">
        <f t="shared" si="1"/>
        <v/>
      </c>
      <c r="I4" s="361" t="str">
        <f t="shared" si="1"/>
        <v/>
      </c>
      <c r="J4" s="333" t="str">
        <f>""</f>
        <v/>
      </c>
      <c r="K4" s="331" t="str">
        <f>IF(Umse!$C$24=0,"",IF(OR($A$1="3.3.",$A$1="3.4.",$A$1="3.7.",$A$1="3.8.",$A$1="3.11.",$A$1="3.12."),V4,""))</f>
        <v/>
      </c>
      <c r="L4" s="363" t="str">
        <f>IF(Umse!$C$24=0,"",IF(OR($A$1="3.3.",$A$1="3.4.",$A$1="3.7.",$A$1="3.8.",$A$1="3.11.",$A$1="3.12."),W4,""))</f>
        <v/>
      </c>
      <c r="M4" s="335" t="str">
        <f>IF(Umse!$C$24=0,"",IF(OR($A$1="3.3.",$A$1="3.4."),'V Tab'!C531,IF(OR($A$1="3.7.",$A$1="3.8."),'V Tab'!C555,IF(OR($A$1="3.11.",$A$1="3.12."),'V Tab'!C579,""))))</f>
        <v/>
      </c>
      <c r="N4" s="335" t="str">
        <f>IF(Umse!$C$24=0,"",IF(OR($A$1="3.3.",$A$1="3.4."),'V Tab'!D531,IF(OR($A$1="3.7.",$A$1="3.8."),'V Tab'!D555,IF(OR($A$1="3.11.",$A$1="3.12."),'V Tab'!D579,""))))</f>
        <v/>
      </c>
      <c r="O4" s="335" t="str">
        <f>IF(Umse!$C$24=0,"",IF(OR($A$1="3.3.",$A$1="3.4."),'V Tab'!E531,IF(OR($A$1="3.7.",$A$1="3.8."),'V Tab'!E555,IF(OR($A$1="3.11.",$A$1="3.12."),'V Tab'!E579,""))))</f>
        <v/>
      </c>
      <c r="P4" s="335" t="str">
        <f>IF(Umse!$C$24=0,"",IF(OR($A$1="3.3.",$A$1="3.4."),'V Tab'!F531,IF(OR($A$1="3.7.",$A$1="3.8."),'V Tab'!F555,IF(OR($A$1="3.11.",$A$1="3.12."),'V Tab'!F579,""))))</f>
        <v/>
      </c>
      <c r="Q4" s="335" t="str">
        <f>IF(Umse!$C$24=0,"",IF(OR($A$1="3.3.",$A$1="3.4."),'V Tab'!G531,IF(OR($A$1="3.7.",$A$1="3.8."),'V Tab'!G555,IF(OR($A$1="3.11.",$A$1="3.12."),'V Tab'!G579,""))))</f>
        <v/>
      </c>
      <c r="R4" s="335" t="str">
        <f>IF(Umse!$C$24=0,"",IF(OR($A$1="3.3.",$A$1="3.4."),'V Tab'!H531,IF(OR($A$1="3.7.",$A$1="3.8."),'V Tab'!H555,IF(OR($A$1="3.11.",$A$1="3.12."),'V Tab'!H579,""))))</f>
        <v/>
      </c>
      <c r="T4" s="323"/>
      <c r="U4" s="367"/>
      <c r="V4" s="332" t="s">
        <v>6</v>
      </c>
      <c r="W4" s="363">
        <v>15</v>
      </c>
    </row>
    <row r="5" spans="1:23" ht="11.25" customHeight="1">
      <c r="A5" s="337">
        <f>Umse!C24</f>
        <v>169.57</v>
      </c>
      <c r="B5" s="332" t="str">
        <f t="shared" si="2"/>
        <v/>
      </c>
      <c r="C5" s="367" t="str">
        <f t="shared" si="3"/>
        <v/>
      </c>
      <c r="D5" s="361" t="str">
        <f t="shared" si="0"/>
        <v/>
      </c>
      <c r="E5" s="361" t="str">
        <f t="shared" si="1"/>
        <v/>
      </c>
      <c r="F5" s="361" t="str">
        <f t="shared" si="1"/>
        <v/>
      </c>
      <c r="G5" s="361" t="str">
        <f t="shared" si="1"/>
        <v/>
      </c>
      <c r="H5" s="361" t="str">
        <f t="shared" si="1"/>
        <v/>
      </c>
      <c r="I5" s="361" t="str">
        <f t="shared" si="1"/>
        <v/>
      </c>
      <c r="J5" s="333" t="str">
        <f>""</f>
        <v/>
      </c>
      <c r="K5" s="331" t="str">
        <f>IF(Umse!$C$24=0,"",IF(OR($A$1="3.3.",$A$1="3.4.",$A$1="3.7.",$A$1="3.8.",$A$1="3.11.",$A$1="3.12."),V5,""))</f>
        <v/>
      </c>
      <c r="L5" s="363" t="str">
        <f>IF(Umse!$C$24=0,"",IF(OR($A$1="3.3.",$A$1="3.4.",$A$1="3.7.",$A$1="3.8.",$A$1="3.11.",$A$1="3.12."),W5,""))</f>
        <v/>
      </c>
      <c r="M5" s="335" t="str">
        <f>IF(Umse!$C$24=0,"",IF(OR($A$1="3.3.",$A$1="3.4."),'V Tab'!C532,IF(OR($A$1="3.7.",$A$1="3.8."),'V Tab'!C556,IF(OR($A$1="3.11.",$A$1="3.12."),'V Tab'!C580,""))))</f>
        <v/>
      </c>
      <c r="N5" s="335" t="str">
        <f>IF(Umse!$C$24=0,"",IF(OR($A$1="3.3.",$A$1="3.4."),'V Tab'!D532,IF(OR($A$1="3.7.",$A$1="3.8."),'V Tab'!D556,IF(OR($A$1="3.11.",$A$1="3.12."),'V Tab'!D580,""))))</f>
        <v/>
      </c>
      <c r="O5" s="335" t="str">
        <f>IF(Umse!$C$24=0,"",IF(OR($A$1="3.3.",$A$1="3.4."),'V Tab'!E532,IF(OR($A$1="3.7.",$A$1="3.8."),'V Tab'!E556,IF(OR($A$1="3.11.",$A$1="3.12."),'V Tab'!E580,""))))</f>
        <v/>
      </c>
      <c r="P5" s="335" t="str">
        <f>IF(Umse!$C$24=0,"",IF(OR($A$1="3.3.",$A$1="3.4."),'V Tab'!F532,IF(OR($A$1="3.7.",$A$1="3.8."),'V Tab'!F556,IF(OR($A$1="3.11.",$A$1="3.12."),'V Tab'!F580,""))))</f>
        <v/>
      </c>
      <c r="Q5" s="335" t="str">
        <f>IF(Umse!$C$24=0,"",IF(OR($A$1="3.3.",$A$1="3.4."),'V Tab'!G532,IF(OR($A$1="3.7.",$A$1="3.8."),'V Tab'!G556,IF(OR($A$1="3.11.",$A$1="3.12."),'V Tab'!G580,""))))</f>
        <v/>
      </c>
      <c r="R5" s="335" t="str">
        <f>IF(Umse!$C$24=0,"",IF(OR($A$1="3.3.",$A$1="3.4."),'V Tab'!H532,IF(OR($A$1="3.7.",$A$1="3.8."),'V Tab'!H556,IF(OR($A$1="3.11.",$A$1="3.12."),'V Tab'!H580,""))))</f>
        <v/>
      </c>
      <c r="T5" s="323"/>
      <c r="U5" s="367"/>
      <c r="V5" s="332" t="s">
        <v>6</v>
      </c>
      <c r="W5" s="363">
        <v>14</v>
      </c>
    </row>
    <row r="6" spans="1:23" ht="11.25" customHeight="1">
      <c r="A6" s="374"/>
      <c r="B6" s="332" t="str">
        <f t="shared" si="2"/>
        <v/>
      </c>
      <c r="C6" s="367" t="str">
        <f t="shared" si="3"/>
        <v/>
      </c>
      <c r="D6" s="361" t="str">
        <f t="shared" si="0"/>
        <v/>
      </c>
      <c r="E6" s="361" t="str">
        <f t="shared" si="1"/>
        <v/>
      </c>
      <c r="F6" s="361" t="str">
        <f t="shared" si="1"/>
        <v/>
      </c>
      <c r="G6" s="361" t="str">
        <f t="shared" si="1"/>
        <v/>
      </c>
      <c r="H6" s="361" t="str">
        <f t="shared" si="1"/>
        <v/>
      </c>
      <c r="I6" s="361" t="str">
        <f t="shared" si="1"/>
        <v/>
      </c>
      <c r="J6" s="333" t="str">
        <f>""</f>
        <v/>
      </c>
      <c r="K6" s="331" t="str">
        <f>IF(Umse!$C$24=0,"",IF(OR($A$1="3.3.",$A$1="3.4.",$A$1="3.7.",$A$1="3.8.",$A$1="3.11.",$A$1="3.12."),V6,""))</f>
        <v/>
      </c>
      <c r="L6" s="363" t="str">
        <f>IF(Umse!$C$24=0,"",IF(OR($A$1="3.3.",$A$1="3.4.",$A$1="3.7.",$A$1="3.8.",$A$1="3.11.",$A$1="3.12."),W6,""))</f>
        <v/>
      </c>
      <c r="M6" s="335" t="str">
        <f>IF(Umse!$C$24=0,"",IF(OR($A$1="3.3.",$A$1="3.4."),'V Tab'!C533,IF(OR($A$1="3.7.",$A$1="3.8."),'V Tab'!C557,IF(OR($A$1="3.11.",$A$1="3.12."),'V Tab'!C581,""))))</f>
        <v/>
      </c>
      <c r="N6" s="335" t="str">
        <f>IF(Umse!$C$24=0,"",IF(OR($A$1="3.3.",$A$1="3.4."),'V Tab'!D533,IF(OR($A$1="3.7.",$A$1="3.8."),'V Tab'!D557,IF(OR($A$1="3.11.",$A$1="3.12."),'V Tab'!D581,""))))</f>
        <v/>
      </c>
      <c r="O6" s="335" t="str">
        <f>IF(Umse!$C$24=0,"",IF(OR($A$1="3.3.",$A$1="3.4."),'V Tab'!E533,IF(OR($A$1="3.7.",$A$1="3.8."),'V Tab'!E557,IF(OR($A$1="3.11.",$A$1="3.12."),'V Tab'!E581,""))))</f>
        <v/>
      </c>
      <c r="P6" s="335" t="str">
        <f>IF(Umse!$C$24=0,"",IF(OR($A$1="3.3.",$A$1="3.4."),'V Tab'!F533,IF(OR($A$1="3.7.",$A$1="3.8."),'V Tab'!F557,IF(OR($A$1="3.11.",$A$1="3.12."),'V Tab'!F581,""))))</f>
        <v/>
      </c>
      <c r="Q6" s="335" t="str">
        <f>IF(Umse!$C$24=0,"",IF(OR($A$1="3.3.",$A$1="3.4."),'V Tab'!G533,IF(OR($A$1="3.7.",$A$1="3.8."),'V Tab'!G557,IF(OR($A$1="3.11.",$A$1="3.12."),'V Tab'!G581,""))))</f>
        <v/>
      </c>
      <c r="R6" s="335" t="str">
        <f>IF(Umse!$C$24=0,"",IF(OR($A$1="3.3.",$A$1="3.4."),'V Tab'!H533,IF(OR($A$1="3.7.",$A$1="3.8."),'V Tab'!H557,IF(OR($A$1="3.11.",$A$1="3.12."),'V Tab'!H581,""))))</f>
        <v/>
      </c>
      <c r="T6" s="323"/>
      <c r="U6" s="367"/>
      <c r="V6" s="332" t="s">
        <v>6</v>
      </c>
      <c r="W6" s="363">
        <v>13</v>
      </c>
    </row>
    <row r="7" spans="1:23" ht="11.25" customHeight="1">
      <c r="A7" s="338"/>
      <c r="B7" s="332" t="str">
        <f t="shared" si="2"/>
        <v/>
      </c>
      <c r="C7" s="367" t="str">
        <f t="shared" si="3"/>
        <v/>
      </c>
      <c r="D7" s="361" t="str">
        <f t="shared" si="0"/>
        <v/>
      </c>
      <c r="E7" s="361" t="str">
        <f t="shared" si="1"/>
        <v/>
      </c>
      <c r="F7" s="361" t="str">
        <f t="shared" si="1"/>
        <v/>
      </c>
      <c r="G7" s="361" t="str">
        <f t="shared" si="1"/>
        <v/>
      </c>
      <c r="H7" s="361" t="str">
        <f t="shared" si="1"/>
        <v/>
      </c>
      <c r="I7" s="361" t="str">
        <f t="shared" si="1"/>
        <v/>
      </c>
      <c r="J7" s="333" t="str">
        <f>""</f>
        <v/>
      </c>
      <c r="K7" s="331" t="str">
        <f>IF(Umse!$C$24=0,"",IF(OR($A$1="3.3.",$A$1="3.4.",$A$1="3.7.",$A$1="3.8.",$A$1="3.11.",$A$1="3.12."),V7,""))</f>
        <v/>
      </c>
      <c r="L7" s="363" t="str">
        <f>IF(Umse!$C$24=0,"",IF(OR($A$1="3.3.",$A$1="3.4.",$A$1="3.7.",$A$1="3.8.",$A$1="3.11.",$A$1="3.12."),W7,""))</f>
        <v/>
      </c>
      <c r="M7" s="335" t="str">
        <f>IF(Umse!$C$24=0,"",IF(OR($A$1="3.3.",$A$1="3.4."),'V Tab'!C534,IF(OR($A$1="3.7.",$A$1="3.8."),'V Tab'!C558,IF(OR($A$1="3.11.",$A$1="3.12."),'V Tab'!C582,""))))</f>
        <v/>
      </c>
      <c r="N7" s="335" t="str">
        <f>IF(Umse!$C$24=0,"",IF(OR($A$1="3.3.",$A$1="3.4."),'V Tab'!D534,IF(OR($A$1="3.7.",$A$1="3.8."),'V Tab'!D558,IF(OR($A$1="3.11.",$A$1="3.12."),'V Tab'!D582,""))))</f>
        <v/>
      </c>
      <c r="O7" s="335" t="str">
        <f>IF(Umse!$C$24=0,"",IF(OR($A$1="3.3.",$A$1="3.4."),'V Tab'!E534,IF(OR($A$1="3.7.",$A$1="3.8."),'V Tab'!E558,IF(OR($A$1="3.11.",$A$1="3.12."),'V Tab'!E582,""))))</f>
        <v/>
      </c>
      <c r="P7" s="335" t="str">
        <f>IF(Umse!$C$24=0,"",IF(OR($A$1="3.3.",$A$1="3.4."),'V Tab'!F534,IF(OR($A$1="3.7.",$A$1="3.8."),'V Tab'!F558,IF(OR($A$1="3.11.",$A$1="3.12."),'V Tab'!F582,""))))</f>
        <v/>
      </c>
      <c r="Q7" s="335" t="str">
        <f>IF(Umse!$C$24=0,"",IF(OR($A$1="3.3.",$A$1="3.4."),'V Tab'!G534,IF(OR($A$1="3.7.",$A$1="3.8."),'V Tab'!G558,IF(OR($A$1="3.11.",$A$1="3.12."),'V Tab'!G582,""))))</f>
        <v/>
      </c>
      <c r="R7" s="335" t="str">
        <f>IF(Umse!$C$24=0,"",IF(OR($A$1="3.3.",$A$1="3.4."),'V Tab'!H534,IF(OR($A$1="3.7.",$A$1="3.8."),'V Tab'!H558,IF(OR($A$1="3.11.",$A$1="3.12."),'V Tab'!H582,""))))</f>
        <v/>
      </c>
      <c r="T7" s="323"/>
      <c r="U7" s="367"/>
      <c r="V7" s="332" t="s">
        <v>6</v>
      </c>
      <c r="W7" s="363">
        <v>12</v>
      </c>
    </row>
    <row r="8" spans="1:23" ht="11.25" customHeight="1">
      <c r="A8" s="338"/>
      <c r="B8" s="332" t="str">
        <f t="shared" si="2"/>
        <v/>
      </c>
      <c r="C8" s="367" t="str">
        <f t="shared" si="3"/>
        <v/>
      </c>
      <c r="D8" s="361" t="str">
        <f t="shared" si="0"/>
        <v/>
      </c>
      <c r="E8" s="361" t="str">
        <f t="shared" si="1"/>
        <v/>
      </c>
      <c r="F8" s="361" t="str">
        <f t="shared" si="1"/>
        <v/>
      </c>
      <c r="G8" s="361" t="str">
        <f t="shared" si="1"/>
        <v/>
      </c>
      <c r="H8" s="361" t="str">
        <f t="shared" si="1"/>
        <v/>
      </c>
      <c r="I8" s="361" t="str">
        <f t="shared" si="1"/>
        <v/>
      </c>
      <c r="J8" s="333" t="str">
        <f>""</f>
        <v/>
      </c>
      <c r="K8" s="331" t="str">
        <f>IF(Umse!$C$24=0,"",IF(OR($A$1="3.3.",$A$1="3.4.",$A$1="3.7.",$A$1="3.8.",$A$1="3.11.",$A$1="3.12."),V8,""))</f>
        <v/>
      </c>
      <c r="L8" s="363" t="str">
        <f>IF(Umse!$C$24=0,"",IF(OR($A$1="3.3.",$A$1="3.4.",$A$1="3.7.",$A$1="3.8.",$A$1="3.11.",$A$1="3.12."),W8,""))</f>
        <v/>
      </c>
      <c r="M8" s="335" t="str">
        <f>IF(Umse!$C$24=0,"",IF(OR($A$1="3.3.",$A$1="3.4."),'V Tab'!C535,IF(OR($A$1="3.7.",$A$1="3.8."),'V Tab'!C559,IF(OR($A$1="3.11.",$A$1="3.12."),'V Tab'!C583,""))))</f>
        <v/>
      </c>
      <c r="N8" s="335" t="str">
        <f>IF(Umse!$C$24=0,"",IF(OR($A$1="3.3.",$A$1="3.4."),'V Tab'!D535,IF(OR($A$1="3.7.",$A$1="3.8."),'V Tab'!D559,IF(OR($A$1="3.11.",$A$1="3.12."),'V Tab'!D583,""))))</f>
        <v/>
      </c>
      <c r="O8" s="335" t="str">
        <f>IF(Umse!$C$24=0,"",IF(OR($A$1="3.3.",$A$1="3.4."),'V Tab'!E535,IF(OR($A$1="3.7.",$A$1="3.8."),'V Tab'!E559,IF(OR($A$1="3.11.",$A$1="3.12."),'V Tab'!E583,""))))</f>
        <v/>
      </c>
      <c r="P8" s="335" t="str">
        <f>IF(Umse!$C$24=0,"",IF(OR($A$1="3.3.",$A$1="3.4."),'V Tab'!F535,IF(OR($A$1="3.7.",$A$1="3.8."),'V Tab'!F559,IF(OR($A$1="3.11.",$A$1="3.12."),'V Tab'!F583,""))))</f>
        <v/>
      </c>
      <c r="Q8" s="335" t="str">
        <f>IF(Umse!$C$24=0,"",IF(OR($A$1="3.3.",$A$1="3.4."),'V Tab'!G535,IF(OR($A$1="3.7.",$A$1="3.8."),'V Tab'!G559,IF(OR($A$1="3.11.",$A$1="3.12."),'V Tab'!G583,""))))</f>
        <v/>
      </c>
      <c r="R8" s="335" t="str">
        <f>IF(Umse!$C$24=0,"",IF(OR($A$1="3.3.",$A$1="3.4."),'V Tab'!H535,IF(OR($A$1="3.7.",$A$1="3.8."),'V Tab'!H559,IF(OR($A$1="3.11.",$A$1="3.12."),'V Tab'!H583,""))))</f>
        <v/>
      </c>
      <c r="S8" s="358"/>
      <c r="T8" s="323"/>
      <c r="U8" s="367"/>
      <c r="V8" s="332" t="s">
        <v>6</v>
      </c>
      <c r="W8" s="363">
        <v>11</v>
      </c>
    </row>
    <row r="9" spans="1:23" ht="11.25" customHeight="1">
      <c r="B9" s="332" t="str">
        <f t="shared" si="2"/>
        <v/>
      </c>
      <c r="C9" s="367" t="str">
        <f t="shared" si="3"/>
        <v/>
      </c>
      <c r="D9" s="361" t="str">
        <f t="shared" si="0"/>
        <v/>
      </c>
      <c r="E9" s="361" t="str">
        <f t="shared" si="1"/>
        <v/>
      </c>
      <c r="F9" s="361" t="str">
        <f t="shared" si="1"/>
        <v/>
      </c>
      <c r="G9" s="361" t="str">
        <f t="shared" si="1"/>
        <v/>
      </c>
      <c r="H9" s="361" t="str">
        <f t="shared" si="1"/>
        <v/>
      </c>
      <c r="I9" s="361" t="str">
        <f t="shared" si="1"/>
        <v/>
      </c>
      <c r="J9" s="333" t="str">
        <f>""</f>
        <v/>
      </c>
      <c r="K9" s="331" t="str">
        <f>IF(Umse!$C$24=0,"",IF(OR($A$1="3.3.",$A$1="3.4.",$A$1="3.7.",$A$1="3.8.",$A$1="3.11.",$A$1="3.12."),V9,""))</f>
        <v/>
      </c>
      <c r="L9" s="363" t="str">
        <f>IF(Umse!$C$24=0,"",IF(OR($A$1="3.3.",$A$1="3.4.",$A$1="3.7.",$A$1="3.8.",$A$1="3.11.",$A$1="3.12."),W9,""))</f>
        <v/>
      </c>
      <c r="M9" s="335" t="str">
        <f>IF(Umse!$C$24=0,"",IF(OR($A$1="3.3.",$A$1="3.4."),'V Tab'!C536,IF(OR($A$1="3.7.",$A$1="3.8."),'V Tab'!C560,IF(OR($A$1="3.11.",$A$1="3.12."),'V Tab'!C584,""))))</f>
        <v/>
      </c>
      <c r="N9" s="335" t="str">
        <f>IF(Umse!$C$24=0,"",IF(OR($A$1="3.3.",$A$1="3.4."),'V Tab'!D536,IF(OR($A$1="3.7.",$A$1="3.8."),'V Tab'!D560,IF(OR($A$1="3.11.",$A$1="3.12."),'V Tab'!D584,""))))</f>
        <v/>
      </c>
      <c r="O9" s="335" t="str">
        <f>IF(Umse!$C$24=0,"",IF(OR($A$1="3.3.",$A$1="3.4."),'V Tab'!E536,IF(OR($A$1="3.7.",$A$1="3.8."),'V Tab'!E560,IF(OR($A$1="3.11.",$A$1="3.12."),'V Tab'!E584,""))))</f>
        <v/>
      </c>
      <c r="P9" s="335" t="str">
        <f>IF(Umse!$C$24=0,"",IF(OR($A$1="3.3.",$A$1="3.4."),'V Tab'!F536,IF(OR($A$1="3.7.",$A$1="3.8."),'V Tab'!F560,IF(OR($A$1="3.11.",$A$1="3.12."),'V Tab'!F584,""))))</f>
        <v/>
      </c>
      <c r="Q9" s="335" t="str">
        <f>IF(Umse!$C$24=0,"",IF(OR($A$1="3.3.",$A$1="3.4."),'V Tab'!G536,IF(OR($A$1="3.7.",$A$1="3.8."),'V Tab'!G560,IF(OR($A$1="3.11.",$A$1="3.12."),'V Tab'!G584,""))))</f>
        <v/>
      </c>
      <c r="R9" s="335" t="str">
        <f>IF(Umse!$C$24=0,"",IF(OR($A$1="3.3.",$A$1="3.4."),'V Tab'!H536,IF(OR($A$1="3.7.",$A$1="3.8."),'V Tab'!H560,IF(OR($A$1="3.11.",$A$1="3.12."),'V Tab'!H584,""))))</f>
        <v/>
      </c>
      <c r="S9" s="358"/>
      <c r="T9" s="323"/>
      <c r="U9" s="367"/>
      <c r="V9" s="332" t="s">
        <v>6</v>
      </c>
      <c r="W9" s="363">
        <v>10</v>
      </c>
    </row>
    <row r="10" spans="1:23" ht="11.25" customHeight="1">
      <c r="B10" s="332" t="str">
        <f t="shared" si="2"/>
        <v/>
      </c>
      <c r="C10" s="367" t="str">
        <f t="shared" si="3"/>
        <v/>
      </c>
      <c r="D10" s="361" t="str">
        <f t="shared" si="0"/>
        <v/>
      </c>
      <c r="E10" s="361" t="str">
        <f t="shared" si="1"/>
        <v/>
      </c>
      <c r="F10" s="361" t="str">
        <f t="shared" si="1"/>
        <v/>
      </c>
      <c r="G10" s="361" t="str">
        <f t="shared" si="1"/>
        <v/>
      </c>
      <c r="H10" s="361" t="str">
        <f t="shared" si="1"/>
        <v/>
      </c>
      <c r="I10" s="361" t="str">
        <f t="shared" si="1"/>
        <v/>
      </c>
      <c r="J10" s="333" t="str">
        <f>IF(OR(Umse!$C$24=0,$A$1=0),"",IF(Umse!B11="3.4.","",""))</f>
        <v/>
      </c>
      <c r="K10" s="331" t="str">
        <f>IF(Umse!$C$24=0,"",IF(OR($A$1="3.3.",$A$1="3.4.",$A$1="3.7.",$A$1="3.8.",$A$1="3.11.",$A$1="3.12."),V10,""))</f>
        <v/>
      </c>
      <c r="L10" s="363" t="str">
        <f>IF(Umse!$C$24=0,"",IF(OR($A$1="3.3.",$A$1="3.4.",$A$1="3.7.",$A$1="3.8.",$A$1="3.11.",$A$1="3.12."),W10,""))</f>
        <v/>
      </c>
      <c r="M10" s="335" t="str">
        <f>IF(Umse!$C$24=0,"",IF(OR($A$1="3.3.",$A$1="3.4."),'V Tab'!C537,IF(OR($A$1="3.7.",$A$1="3.8."),'V Tab'!C561,IF(OR($A$1="3.11.",$A$1="3.12."),'V Tab'!C585,""))))</f>
        <v/>
      </c>
      <c r="N10" s="335" t="str">
        <f>IF(Umse!$C$24=0,"",IF(OR($A$1="3.3.",$A$1="3.4."),'V Tab'!D537,IF(OR($A$1="3.7.",$A$1="3.8."),'V Tab'!D561,IF(OR($A$1="3.11.",$A$1="3.12."),'V Tab'!D585,""))))</f>
        <v/>
      </c>
      <c r="O10" s="335" t="str">
        <f>IF(Umse!$C$24=0,"",IF(OR($A$1="3.3.",$A$1="3.4."),'V Tab'!E537,IF(OR($A$1="3.7.",$A$1="3.8."),'V Tab'!E561,IF(OR($A$1="3.11.",$A$1="3.12."),'V Tab'!E585,""))))</f>
        <v/>
      </c>
      <c r="P10" s="335" t="str">
        <f>IF(Umse!$C$24=0,"",IF(OR($A$1="3.3.",$A$1="3.4."),'V Tab'!F537,IF(OR($A$1="3.7.",$A$1="3.8."),'V Tab'!F561,IF(OR($A$1="3.11.",$A$1="3.12."),'V Tab'!F585,""))))</f>
        <v/>
      </c>
      <c r="Q10" s="335" t="str">
        <f>IF(Umse!$C$24=0,"",IF(OR($A$1="3.3.",$A$1="3.4."),'V Tab'!G537,IF(OR($A$1="3.7.",$A$1="3.8."),'V Tab'!G561,IF(OR($A$1="3.11.",$A$1="3.12."),'V Tab'!G585,""))))</f>
        <v/>
      </c>
      <c r="R10" s="335" t="str">
        <f>IF(Umse!$C$24=0,"",IF(OR($A$1="3.3.",$A$1="3.4."),'V Tab'!H537,IF(OR($A$1="3.7.",$A$1="3.8."),'V Tab'!H561,IF(OR($A$1="3.11.",$A$1="3.12."),'V Tab'!H585,""))))</f>
        <v/>
      </c>
      <c r="S10" s="346"/>
      <c r="T10" s="323"/>
      <c r="U10" s="367"/>
      <c r="V10" s="332" t="s">
        <v>6</v>
      </c>
      <c r="W10" s="363" t="s">
        <v>284</v>
      </c>
    </row>
    <row r="11" spans="1:23" ht="11.25" customHeight="1">
      <c r="B11" s="332" t="str">
        <f t="shared" si="2"/>
        <v/>
      </c>
      <c r="C11" s="367" t="str">
        <f t="shared" si="3"/>
        <v/>
      </c>
      <c r="D11" s="361" t="str">
        <f t="shared" si="0"/>
        <v/>
      </c>
      <c r="E11" s="361" t="str">
        <f t="shared" si="1"/>
        <v/>
      </c>
      <c r="F11" s="361" t="str">
        <f t="shared" si="1"/>
        <v/>
      </c>
      <c r="G11" s="361" t="str">
        <f t="shared" si="1"/>
        <v/>
      </c>
      <c r="H11" s="361" t="str">
        <f t="shared" si="1"/>
        <v/>
      </c>
      <c r="I11" s="361" t="str">
        <f t="shared" si="1"/>
        <v/>
      </c>
      <c r="J11" s="333" t="str">
        <f>IF(OR(Umse!$C$24=0,$A$1=0),"",IF(Umse!B11="3.4.","",""))</f>
        <v/>
      </c>
      <c r="K11" s="331" t="str">
        <f>IF(Umse!$C$24=0,"",IF(OR($A$1="3.3.",$A$1="3.4.",$A$1="3.7.",$A$1="3.8.",$A$1="3.11.",$A$1="3.12."),V11,""))</f>
        <v/>
      </c>
      <c r="L11" s="363" t="str">
        <f>IF(Umse!$C$24=0,"",IF(OR($A$1="3.3.",$A$1="3.4.",$A$1="3.7.",$A$1="3.8.",$A$1="3.11.",$A$1="3.12."),W11,""))</f>
        <v/>
      </c>
      <c r="M11" s="335" t="str">
        <f>IF(Umse!$C$24=0,"",IF(OR($A$1="3.3.",$A$1="3.4."),'V Tab'!C538,IF(OR($A$1="3.7.",$A$1="3.8."),'V Tab'!C562,IF(OR($A$1="3.11.",$A$1="3.12."),'V Tab'!C586,""))))</f>
        <v/>
      </c>
      <c r="N11" s="335" t="str">
        <f>IF(Umse!$C$24=0,"",IF(OR($A$1="3.3.",$A$1="3.4."),'V Tab'!D538,IF(OR($A$1="3.7.",$A$1="3.8."),'V Tab'!D562,IF(OR($A$1="3.11.",$A$1="3.12."),'V Tab'!D586,""))))</f>
        <v/>
      </c>
      <c r="O11" s="335" t="str">
        <f>IF(Umse!$C$24=0,"",IF(OR($A$1="3.3.",$A$1="3.4."),'V Tab'!E538,IF(OR($A$1="3.7.",$A$1="3.8."),'V Tab'!E562,IF(OR($A$1="3.11.",$A$1="3.12."),'V Tab'!E586,""))))</f>
        <v/>
      </c>
      <c r="P11" s="335" t="str">
        <f>IF(Umse!$C$24=0,"",IF(OR($A$1="3.3.",$A$1="3.4."),'V Tab'!F538,IF(OR($A$1="3.7.",$A$1="3.8."),'V Tab'!F562,IF(OR($A$1="3.11.",$A$1="3.12."),'V Tab'!F586,""))))</f>
        <v/>
      </c>
      <c r="Q11" s="335" t="str">
        <f>IF(Umse!$C$24=0,"",IF(OR($A$1="3.3.",$A$1="3.4."),'V Tab'!G538,IF(OR($A$1="3.7.",$A$1="3.8."),'V Tab'!G562,IF(OR($A$1="3.11.",$A$1="3.12."),'V Tab'!G586,""))))</f>
        <v/>
      </c>
      <c r="R11" s="335" t="str">
        <f>IF(Umse!$C$24=0,"",IF(OR($A$1="3.3.",$A$1="3.4."),'V Tab'!H538,IF(OR($A$1="3.7.",$A$1="3.8."),'V Tab'!H562,IF(OR($A$1="3.11.",$A$1="3.12."),'V Tab'!H586,""))))</f>
        <v/>
      </c>
      <c r="S11" s="359"/>
      <c r="T11" s="323"/>
      <c r="U11" s="367"/>
      <c r="V11" s="332" t="s">
        <v>6</v>
      </c>
      <c r="W11" s="363" t="s">
        <v>251</v>
      </c>
    </row>
    <row r="12" spans="1:23" ht="11.25" customHeight="1">
      <c r="B12" s="332" t="str">
        <f t="shared" si="2"/>
        <v/>
      </c>
      <c r="C12" s="367" t="str">
        <f t="shared" si="3"/>
        <v/>
      </c>
      <c r="D12" s="361" t="str">
        <f t="shared" si="0"/>
        <v/>
      </c>
      <c r="E12" s="361" t="str">
        <f t="shared" si="1"/>
        <v/>
      </c>
      <c r="F12" s="361" t="str">
        <f t="shared" si="1"/>
        <v/>
      </c>
      <c r="G12" s="361" t="str">
        <f t="shared" si="1"/>
        <v/>
      </c>
      <c r="H12" s="361" t="str">
        <f t="shared" si="1"/>
        <v/>
      </c>
      <c r="I12" s="361" t="str">
        <f t="shared" si="1"/>
        <v/>
      </c>
      <c r="J12" s="333" t="str">
        <f>IF(OR(Umse!$C$24=0,$A$1=0),"",IF(Umse!B11="3.4.","",""))</f>
        <v/>
      </c>
      <c r="K12" s="331" t="str">
        <f>IF(Umse!$C$24=0,"",IF(OR($A$1="3.3.",$A$1="3.4.",$A$1="3.7.",$A$1="3.8.",$A$1="3.11.",$A$1="3.12."),V12,""))</f>
        <v/>
      </c>
      <c r="L12" s="363" t="str">
        <f>IF(Umse!$C$24=0,"",IF(OR($A$1="3.3.",$A$1="3.4.",$A$1="3.7.",$A$1="3.8.",$A$1="3.11.",$A$1="3.12."),W12,""))</f>
        <v/>
      </c>
      <c r="M12" s="335" t="str">
        <f>IF(Umse!$C$24=0,"",IF(OR($A$1="3.3.",$A$1="3.4."),'V Tab'!C539,IF(OR($A$1="3.7.",$A$1="3.8."),'V Tab'!C563,IF(OR($A$1="3.11.",$A$1="3.12."),'V Tab'!C587,""))))</f>
        <v/>
      </c>
      <c r="N12" s="335" t="str">
        <f>IF(Umse!$C$24=0,"",IF(OR($A$1="3.3.",$A$1="3.4."),'V Tab'!D539,IF(OR($A$1="3.7.",$A$1="3.8."),'V Tab'!D563,IF(OR($A$1="3.11.",$A$1="3.12."),'V Tab'!D587,""))))</f>
        <v/>
      </c>
      <c r="O12" s="335" t="str">
        <f>IF(Umse!$C$24=0,"",IF(OR($A$1="3.3.",$A$1="3.4."),'V Tab'!E539,IF(OR($A$1="3.7.",$A$1="3.8."),'V Tab'!E563,IF(OR($A$1="3.11.",$A$1="3.12."),'V Tab'!E587,""))))</f>
        <v/>
      </c>
      <c r="P12" s="335" t="str">
        <f>IF(Umse!$C$24=0,"",IF(OR($A$1="3.3.",$A$1="3.4."),'V Tab'!F539,IF(OR($A$1="3.7.",$A$1="3.8."),'V Tab'!F563,IF(OR($A$1="3.11.",$A$1="3.12."),'V Tab'!F587,""))))</f>
        <v/>
      </c>
      <c r="Q12" s="335" t="str">
        <f>IF(Umse!$C$24=0,"",IF(OR($A$1="3.3.",$A$1="3.4."),'V Tab'!G539,IF(OR($A$1="3.7.",$A$1="3.8."),'V Tab'!G563,IF(OR($A$1="3.11.",$A$1="3.12."),'V Tab'!G587,""))))</f>
        <v/>
      </c>
      <c r="R12" s="335" t="str">
        <f>IF(Umse!$C$24=0,"",IF(OR($A$1="3.3.",$A$1="3.4."),'V Tab'!H539,IF(OR($A$1="3.7.",$A$1="3.8."),'V Tab'!H563,IF(OR($A$1="3.11.",$A$1="3.12."),'V Tab'!H587,""))))</f>
        <v/>
      </c>
      <c r="S12" s="359"/>
      <c r="T12" s="323"/>
      <c r="U12" s="367"/>
      <c r="V12" s="332" t="s">
        <v>6</v>
      </c>
      <c r="W12" s="363" t="s">
        <v>252</v>
      </c>
    </row>
    <row r="13" spans="1:23" ht="11.25" customHeight="1">
      <c r="B13" s="332" t="str">
        <f t="shared" si="2"/>
        <v/>
      </c>
      <c r="C13" s="367" t="str">
        <f t="shared" si="3"/>
        <v/>
      </c>
      <c r="D13" s="361" t="str">
        <f t="shared" si="0"/>
        <v/>
      </c>
      <c r="E13" s="361" t="str">
        <f t="shared" si="1"/>
        <v/>
      </c>
      <c r="F13" s="361" t="str">
        <f t="shared" si="1"/>
        <v/>
      </c>
      <c r="G13" s="361" t="str">
        <f t="shared" si="1"/>
        <v/>
      </c>
      <c r="H13" s="361" t="str">
        <f t="shared" si="1"/>
        <v/>
      </c>
      <c r="I13" s="361" t="str">
        <f t="shared" si="1"/>
        <v/>
      </c>
      <c r="J13" s="333" t="str">
        <f>IF(OR(Umse!$C$24=0,$A$1=0),"",IF(Umse!B11="3.4.","",""))</f>
        <v/>
      </c>
      <c r="K13" s="331" t="str">
        <f>IF(Umse!$C$24=0,"",IF(OR($A$1="3.3.",$A$1="3.4.",$A$1="3.7.",$A$1="3.8.",$A$1="3.11.",$A$1="3.12."),V13,""))</f>
        <v/>
      </c>
      <c r="L13" s="363" t="str">
        <f>IF(Umse!$C$24=0,"",IF(OR($A$1="3.3.",$A$1="3.4.",$A$1="3.7.",$A$1="3.8.",$A$1="3.11.",$A$1="3.12."),W13,""))</f>
        <v/>
      </c>
      <c r="M13" s="335" t="str">
        <f>IF(Umse!$C$24=0,"",IF(OR($A$1="3.3.",$A$1="3.4."),'V Tab'!C540,IF(OR($A$1="3.7.",$A$1="3.8."),'V Tab'!C564,IF(OR($A$1="3.11.",$A$1="3.12."),'V Tab'!C588,""))))</f>
        <v/>
      </c>
      <c r="N13" s="335" t="str">
        <f>IF(Umse!$C$24=0,"",IF(OR($A$1="3.3.",$A$1="3.4."),'V Tab'!D540,IF(OR($A$1="3.7.",$A$1="3.8."),'V Tab'!D564,IF(OR($A$1="3.11.",$A$1="3.12."),'V Tab'!D588,""))))</f>
        <v/>
      </c>
      <c r="O13" s="335" t="str">
        <f>IF(Umse!$C$24=0,"",IF(OR($A$1="3.3.",$A$1="3.4."),'V Tab'!E540,IF(OR($A$1="3.7.",$A$1="3.8."),'V Tab'!E564,IF(OR($A$1="3.11.",$A$1="3.12."),'V Tab'!E588,""))))</f>
        <v/>
      </c>
      <c r="P13" s="335" t="str">
        <f>IF(Umse!$C$24=0,"",IF(OR($A$1="3.3.",$A$1="3.4."),'V Tab'!F540,IF(OR($A$1="3.7.",$A$1="3.8."),'V Tab'!F564,IF(OR($A$1="3.11.",$A$1="3.12."),'V Tab'!F588,""))))</f>
        <v/>
      </c>
      <c r="Q13" s="335" t="str">
        <f>IF(Umse!$C$24=0,"",IF(OR($A$1="3.3.",$A$1="3.4."),'V Tab'!G540,IF(OR($A$1="3.7.",$A$1="3.8."),'V Tab'!G564,IF(OR($A$1="3.11.",$A$1="3.12."),'V Tab'!G588,""))))</f>
        <v/>
      </c>
      <c r="R13" s="335" t="str">
        <f>IF(Umse!$C$24=0,"",IF(OR($A$1="3.3.",$A$1="3.4."),'V Tab'!H540,IF(OR($A$1="3.7.",$A$1="3.8."),'V Tab'!H564,IF(OR($A$1="3.11.",$A$1="3.12."),'V Tab'!H588,""))))</f>
        <v/>
      </c>
      <c r="S13" s="359"/>
      <c r="T13" s="323"/>
      <c r="U13" s="367"/>
      <c r="V13" s="332" t="s">
        <v>6</v>
      </c>
      <c r="W13" s="363">
        <v>8</v>
      </c>
    </row>
    <row r="14" spans="1:23" ht="11.25" customHeight="1">
      <c r="B14" s="332" t="str">
        <f t="shared" si="2"/>
        <v/>
      </c>
      <c r="C14" s="367" t="str">
        <f t="shared" si="3"/>
        <v/>
      </c>
      <c r="D14" s="361" t="str">
        <f t="shared" si="0"/>
        <v/>
      </c>
      <c r="E14" s="361" t="str">
        <f t="shared" si="1"/>
        <v/>
      </c>
      <c r="F14" s="361" t="str">
        <f t="shared" si="1"/>
        <v/>
      </c>
      <c r="G14" s="361" t="str">
        <f t="shared" si="1"/>
        <v/>
      </c>
      <c r="H14" s="361" t="str">
        <f t="shared" si="1"/>
        <v/>
      </c>
      <c r="I14" s="361" t="str">
        <f t="shared" si="1"/>
        <v/>
      </c>
      <c r="J14" s="333" t="str">
        <f>IF(OR(Umse!$C$24=0,$A$1=0),"",IF(Umse!B11="3.4.","",""))</f>
        <v/>
      </c>
      <c r="K14" s="331" t="str">
        <f>IF(Umse!$C$24=0,"",IF(OR($A$1="3.3.",$A$1="3.4.",$A$1="3.7.",$A$1="3.8.",$A$1="3.11.",$A$1="3.12."),V14,""))</f>
        <v/>
      </c>
      <c r="L14" s="363" t="str">
        <f>IF(Umse!$C$24=0,"",IF(OR($A$1="3.3.",$A$1="3.4.",$A$1="3.7.",$A$1="3.8.",$A$1="3.11.",$A$1="3.12."),W14,""))</f>
        <v/>
      </c>
      <c r="M14" s="335" t="str">
        <f>IF(Umse!$C$24=0,"",IF(OR($A$1="3.3.",$A$1="3.4."),'V Tab'!C541,IF(OR($A$1="3.7.",$A$1="3.8."),'V Tab'!C565,IF(OR($A$1="3.11.",$A$1="3.12."),'V Tab'!C589,""))))</f>
        <v/>
      </c>
      <c r="N14" s="335" t="str">
        <f>IF(Umse!$C$24=0,"",IF(OR($A$1="3.3.",$A$1="3.4."),'V Tab'!D541,IF(OR($A$1="3.7.",$A$1="3.8."),'V Tab'!D565,IF(OR($A$1="3.11.",$A$1="3.12."),'V Tab'!D589,""))))</f>
        <v/>
      </c>
      <c r="O14" s="335" t="str">
        <f>IF(Umse!$C$24=0,"",IF(OR($A$1="3.3.",$A$1="3.4."),'V Tab'!E541,IF(OR($A$1="3.7.",$A$1="3.8."),'V Tab'!E565,IF(OR($A$1="3.11.",$A$1="3.12."),'V Tab'!E589,""))))</f>
        <v/>
      </c>
      <c r="P14" s="335" t="str">
        <f>IF(Umse!$C$24=0,"",IF(OR($A$1="3.3.",$A$1="3.4."),'V Tab'!F541,IF(OR($A$1="3.7.",$A$1="3.8."),'V Tab'!F565,IF(OR($A$1="3.11.",$A$1="3.12."),'V Tab'!F589,""))))</f>
        <v/>
      </c>
      <c r="Q14" s="335" t="str">
        <f>IF(Umse!$C$24=0,"",IF(OR($A$1="3.3.",$A$1="3.4."),'V Tab'!G541,IF(OR($A$1="3.7.",$A$1="3.8."),'V Tab'!G565,IF(OR($A$1="3.11.",$A$1="3.12."),'V Tab'!G589,""))))</f>
        <v/>
      </c>
      <c r="R14" s="335" t="str">
        <f>IF(Umse!$C$24=0,"",IF(OR($A$1="3.3.",$A$1="3.4."),'V Tab'!H541,IF(OR($A$1="3.7.",$A$1="3.8."),'V Tab'!H565,IF(OR($A$1="3.11.",$A$1="3.12."),'V Tab'!H589,""))))</f>
        <v/>
      </c>
      <c r="S14" s="359"/>
      <c r="T14" s="323"/>
      <c r="U14" s="367"/>
      <c r="V14" s="332" t="s">
        <v>6</v>
      </c>
      <c r="W14" s="363">
        <v>7</v>
      </c>
    </row>
    <row r="15" spans="1:23" ht="11.25" customHeight="1">
      <c r="B15" s="332" t="str">
        <f t="shared" si="2"/>
        <v/>
      </c>
      <c r="C15" s="367" t="str">
        <f t="shared" si="3"/>
        <v/>
      </c>
      <c r="D15" s="361" t="str">
        <f t="shared" si="0"/>
        <v/>
      </c>
      <c r="E15" s="361" t="str">
        <f t="shared" si="1"/>
        <v/>
      </c>
      <c r="F15" s="361" t="str">
        <f t="shared" si="1"/>
        <v/>
      </c>
      <c r="G15" s="361" t="str">
        <f t="shared" si="1"/>
        <v/>
      </c>
      <c r="H15" s="361" t="str">
        <f t="shared" si="1"/>
        <v/>
      </c>
      <c r="I15" s="361" t="str">
        <f t="shared" si="1"/>
        <v/>
      </c>
      <c r="J15" s="333" t="str">
        <f>""</f>
        <v/>
      </c>
      <c r="K15" s="331" t="str">
        <f>IF(Umse!$C$24=0,"",IF(OR($A$1="3.3.",$A$1="3.4.",$A$1="3.7.",$A$1="3.8.",$A$1="3.11.",$A$1="3.12."),V15,""))</f>
        <v/>
      </c>
      <c r="L15" s="363" t="str">
        <f>IF(Umse!$C$24=0,"",IF(OR($A$1="3.3.",$A$1="3.4.",$A$1="3.7.",$A$1="3.8.",$A$1="3.11.",$A$1="3.12."),W15,""))</f>
        <v/>
      </c>
      <c r="M15" s="335" t="str">
        <f>IF(Umse!$C$24=0,"",IF(OR($A$1="3.3.",$A$1="3.4."),'V Tab'!C542,IF(OR($A$1="3.7.",$A$1="3.8."),'V Tab'!C566,IF(OR($A$1="3.11.",$A$1="3.12."),'V Tab'!C590,""))))</f>
        <v/>
      </c>
      <c r="N15" s="335" t="str">
        <f>IF(Umse!$C$24=0,"",IF(OR($A$1="3.3.",$A$1="3.4."),'V Tab'!D542,IF(OR($A$1="3.7.",$A$1="3.8."),'V Tab'!D566,IF(OR($A$1="3.11.",$A$1="3.12."),'V Tab'!D590,""))))</f>
        <v/>
      </c>
      <c r="O15" s="335" t="str">
        <f>IF(Umse!$C$24=0,"",IF(OR($A$1="3.3.",$A$1="3.4."),'V Tab'!E542,IF(OR($A$1="3.7.",$A$1="3.8."),'V Tab'!E566,IF(OR($A$1="3.11.",$A$1="3.12."),'V Tab'!E590,""))))</f>
        <v/>
      </c>
      <c r="P15" s="335" t="str">
        <f>IF(Umse!$C$24=0,"",IF(OR($A$1="3.3.",$A$1="3.4."),'V Tab'!F542,IF(OR($A$1="3.7.",$A$1="3.8."),'V Tab'!F566,IF(OR($A$1="3.11.",$A$1="3.12."),'V Tab'!F590,""))))</f>
        <v/>
      </c>
      <c r="Q15" s="335" t="str">
        <f>IF(Umse!$C$24=0,"",IF(OR($A$1="3.3.",$A$1="3.4."),'V Tab'!G542,IF(OR($A$1="3.7.",$A$1="3.8."),'V Tab'!G566,IF(OR($A$1="3.11.",$A$1="3.12."),'V Tab'!G590,""))))</f>
        <v/>
      </c>
      <c r="R15" s="335" t="str">
        <f>IF(Umse!$C$24=0,"",IF(OR($A$1="3.3.",$A$1="3.4."),'V Tab'!H542,IF(OR($A$1="3.7.",$A$1="3.8."),'V Tab'!H566,IF(OR($A$1="3.11.",$A$1="3.12."),'V Tab'!H590,""))))</f>
        <v/>
      </c>
      <c r="S15" s="359"/>
      <c r="T15" s="323"/>
      <c r="U15" s="367"/>
      <c r="V15" s="332" t="s">
        <v>6</v>
      </c>
      <c r="W15" s="363">
        <v>6</v>
      </c>
    </row>
    <row r="16" spans="1:23" ht="11.25" customHeight="1">
      <c r="B16" s="332" t="str">
        <f t="shared" si="2"/>
        <v/>
      </c>
      <c r="C16" s="367" t="str">
        <f t="shared" si="3"/>
        <v/>
      </c>
      <c r="D16" s="361" t="str">
        <f t="shared" si="0"/>
        <v/>
      </c>
      <c r="E16" s="361" t="str">
        <f t="shared" si="1"/>
        <v/>
      </c>
      <c r="F16" s="361" t="str">
        <f t="shared" si="1"/>
        <v/>
      </c>
      <c r="G16" s="361" t="str">
        <f t="shared" si="1"/>
        <v/>
      </c>
      <c r="H16" s="361" t="str">
        <f t="shared" si="1"/>
        <v/>
      </c>
      <c r="I16" s="361" t="str">
        <f t="shared" si="1"/>
        <v/>
      </c>
      <c r="J16" s="333" t="str">
        <f>""</f>
        <v/>
      </c>
      <c r="K16" s="331" t="str">
        <f>IF(Umse!$C$24=0,"",IF(OR($A$1="3.3.",$A$1="3.4.",$A$1="3.7.",$A$1="3.8.",$A$1="3.11.",$A$1="3.12."),V16,""))</f>
        <v/>
      </c>
      <c r="L16" s="363" t="str">
        <f>IF(Umse!$C$24=0,"",IF(OR($A$1="3.3.",$A$1="3.4.",$A$1="3.7.",$A$1="3.8.",$A$1="3.11.",$A$1="3.12."),W16,""))</f>
        <v/>
      </c>
      <c r="M16" s="335" t="str">
        <f>IF(Umse!$C$24=0,"",IF(OR($A$1="3.3.",$A$1="3.4."),'V Tab'!C543,IF(OR($A$1="3.7.",$A$1="3.8."),'V Tab'!C567,IF(OR($A$1="3.11.",$A$1="3.12."),'V Tab'!C591,""))))</f>
        <v/>
      </c>
      <c r="N16" s="335" t="str">
        <f>IF(Umse!$C$24=0,"",IF(OR($A$1="3.3.",$A$1="3.4."),'V Tab'!D543,IF(OR($A$1="3.7.",$A$1="3.8."),'V Tab'!D567,IF(OR($A$1="3.11.",$A$1="3.12."),'V Tab'!D591,""))))</f>
        <v/>
      </c>
      <c r="O16" s="335" t="str">
        <f>IF(Umse!$C$24=0,"",IF(OR($A$1="3.3.",$A$1="3.4."),'V Tab'!E543,IF(OR($A$1="3.7.",$A$1="3.8."),'V Tab'!E567,IF(OR($A$1="3.11.",$A$1="3.12."),'V Tab'!E591,""))))</f>
        <v/>
      </c>
      <c r="P16" s="335" t="str">
        <f>IF(Umse!$C$24=0,"",IF(OR($A$1="3.3.",$A$1="3.4."),'V Tab'!F543,IF(OR($A$1="3.7.",$A$1="3.8."),'V Tab'!F567,IF(OR($A$1="3.11.",$A$1="3.12."),'V Tab'!F591,""))))</f>
        <v/>
      </c>
      <c r="Q16" s="335" t="str">
        <f>IF(Umse!$C$24=0,"",IF(OR($A$1="3.3.",$A$1="3.4."),'V Tab'!G543,IF(OR($A$1="3.7.",$A$1="3.8."),'V Tab'!G567,IF(OR($A$1="3.11.",$A$1="3.12."),'V Tab'!G591,""))))</f>
        <v/>
      </c>
      <c r="R16" s="335" t="str">
        <f>IF(Umse!$C$24=0,"",IF(OR($A$1="3.3.",$A$1="3.4."),'V Tab'!H543,IF(OR($A$1="3.7.",$A$1="3.8."),'V Tab'!H567,IF(OR($A$1="3.11.",$A$1="3.12."),'V Tab'!H591,""))))</f>
        <v/>
      </c>
      <c r="S16" s="359"/>
      <c r="T16" s="323"/>
      <c r="U16" s="367"/>
      <c r="V16" s="332" t="s">
        <v>6</v>
      </c>
      <c r="W16" s="363">
        <v>5</v>
      </c>
    </row>
    <row r="17" spans="2:27" ht="11.25" customHeight="1">
      <c r="B17" s="332" t="str">
        <f t="shared" si="2"/>
        <v/>
      </c>
      <c r="C17" s="367" t="str">
        <f t="shared" si="3"/>
        <v/>
      </c>
      <c r="D17" s="361" t="str">
        <f t="shared" si="0"/>
        <v/>
      </c>
      <c r="E17" s="361" t="str">
        <f t="shared" si="1"/>
        <v/>
      </c>
      <c r="F17" s="361" t="str">
        <f t="shared" si="1"/>
        <v/>
      </c>
      <c r="G17" s="361" t="str">
        <f t="shared" si="1"/>
        <v/>
      </c>
      <c r="H17" s="361" t="str">
        <f t="shared" si="1"/>
        <v/>
      </c>
      <c r="I17" s="361" t="str">
        <f t="shared" si="1"/>
        <v/>
      </c>
      <c r="J17" s="333" t="str">
        <f>""</f>
        <v/>
      </c>
      <c r="K17" s="331" t="str">
        <f>IF(Umse!$C$24=0,"",IF(OR($A$1="3.3.",$A$1="3.4.",$A$1="3.7.",$A$1="3.8.",$A$1="3.11.",$A$1="3.12."),V17,""))</f>
        <v/>
      </c>
      <c r="L17" s="363" t="str">
        <f>IF(Umse!$C$24=0,"",IF(OR($A$1="3.3.",$A$1="3.4.",$A$1="3.7.",$A$1="3.8.",$A$1="3.11.",$A$1="3.12."),W17,""))</f>
        <v/>
      </c>
      <c r="M17" s="335" t="str">
        <f>IF(Umse!$C$24=0,"",IF(OR($A$1="3.3.",$A$1="3.4."),'V Tab'!C544,IF(OR($A$1="3.7.",$A$1="3.8."),'V Tab'!C568,IF(OR($A$1="3.11.",$A$1="3.12."),'V Tab'!C592,""))))</f>
        <v/>
      </c>
      <c r="N17" s="335" t="str">
        <f>IF(Umse!$C$24=0,"",IF(OR($A$1="3.3.",$A$1="3.4."),'V Tab'!D544,IF(OR($A$1="3.7.",$A$1="3.8."),'V Tab'!D568,IF(OR($A$1="3.11.",$A$1="3.12."),'V Tab'!D592,""))))</f>
        <v/>
      </c>
      <c r="O17" s="335" t="str">
        <f>IF(Umse!$C$24=0,"",IF(OR($A$1="3.3.",$A$1="3.4."),'V Tab'!E544,IF(OR($A$1="3.7.",$A$1="3.8."),'V Tab'!E568,IF(OR($A$1="3.11.",$A$1="3.12."),'V Tab'!E592,""))))</f>
        <v/>
      </c>
      <c r="P17" s="335" t="str">
        <f>IF(Umse!$C$24=0,"",IF(OR($A$1="3.3.",$A$1="3.4."),'V Tab'!F544,IF(OR($A$1="3.7.",$A$1="3.8."),'V Tab'!F568,IF(OR($A$1="3.11.",$A$1="3.12."),'V Tab'!F592,""))))</f>
        <v/>
      </c>
      <c r="Q17" s="335" t="str">
        <f>IF(Umse!$C$24=0,"",IF(OR($A$1="3.3.",$A$1="3.4."),'V Tab'!G544,IF(OR($A$1="3.7.",$A$1="3.8."),'V Tab'!G568,IF(OR($A$1="3.11.",$A$1="3.12."),'V Tab'!G592,""))))</f>
        <v/>
      </c>
      <c r="R17" s="335" t="str">
        <f>IF(Umse!$C$24=0,"",IF(OR($A$1="3.3.",$A$1="3.4."),'V Tab'!H544,IF(OR($A$1="3.7.",$A$1="3.8."),'V Tab'!H568,IF(OR($A$1="3.11.",$A$1="3.12."),'V Tab'!H592,""))))</f>
        <v/>
      </c>
      <c r="S17" s="359"/>
      <c r="T17" s="323"/>
      <c r="U17" s="367"/>
      <c r="V17" s="332" t="s">
        <v>6</v>
      </c>
      <c r="W17" s="363">
        <v>4</v>
      </c>
    </row>
    <row r="18" spans="2:27" ht="11.25" customHeight="1">
      <c r="B18" s="332" t="str">
        <f t="shared" si="2"/>
        <v/>
      </c>
      <c r="C18" s="367" t="str">
        <f t="shared" si="3"/>
        <v/>
      </c>
      <c r="D18" s="361" t="str">
        <f t="shared" si="0"/>
        <v/>
      </c>
      <c r="E18" s="361" t="str">
        <f t="shared" si="1"/>
        <v/>
      </c>
      <c r="F18" s="361" t="str">
        <f t="shared" si="1"/>
        <v/>
      </c>
      <c r="G18" s="361" t="str">
        <f t="shared" si="1"/>
        <v/>
      </c>
      <c r="H18" s="361" t="str">
        <f t="shared" si="1"/>
        <v/>
      </c>
      <c r="I18" s="361" t="str">
        <f t="shared" si="1"/>
        <v/>
      </c>
      <c r="J18" s="333" t="str">
        <f>""</f>
        <v/>
      </c>
      <c r="K18" s="331" t="str">
        <f>IF(Umse!$C$24=0,"",IF(OR($A$1="3.3.",$A$1="3.4.",$A$1="3.7.",$A$1="3.8.",$A$1="3.11.",$A$1="3.12."),V18,""))</f>
        <v/>
      </c>
      <c r="L18" s="363" t="str">
        <f>IF(Umse!$C$24=0,"",IF(OR($A$1="3.3.",$A$1="3.4.",$A$1="3.7.",$A$1="3.8.",$A$1="3.11.",$A$1="3.12."),W18,""))</f>
        <v/>
      </c>
      <c r="M18" s="335" t="str">
        <f>IF(Umse!$C$24=0,"",IF(OR($A$1="3.3.",$A$1="3.4."),'V Tab'!C545,IF(OR($A$1="3.7.",$A$1="3.8."),'V Tab'!C569,IF(OR($A$1="3.11.",$A$1="3.12."),'V Tab'!C593,""))))</f>
        <v/>
      </c>
      <c r="N18" s="335" t="str">
        <f>IF(Umse!$C$24=0,"",IF(OR($A$1="3.3.",$A$1="3.4."),'V Tab'!D545,IF(OR($A$1="3.7.",$A$1="3.8."),'V Tab'!D569,IF(OR($A$1="3.11.",$A$1="3.12."),'V Tab'!D593,""))))</f>
        <v/>
      </c>
      <c r="O18" s="335" t="str">
        <f>IF(Umse!$C$24=0,"",IF(OR($A$1="3.3.",$A$1="3.4."),'V Tab'!E545,IF(OR($A$1="3.7.",$A$1="3.8."),'V Tab'!E569,IF(OR($A$1="3.11.",$A$1="3.12."),'V Tab'!E593,""))))</f>
        <v/>
      </c>
      <c r="P18" s="335" t="str">
        <f>IF(Umse!$C$24=0,"",IF(OR($A$1="3.3.",$A$1="3.4."),'V Tab'!F545,IF(OR($A$1="3.7.",$A$1="3.8."),'V Tab'!F569,IF(OR($A$1="3.11.",$A$1="3.12."),'V Tab'!F593,""))))</f>
        <v/>
      </c>
      <c r="Q18" s="335" t="str">
        <f>IF(Umse!$C$24=0,"",IF(OR($A$1="3.3.",$A$1="3.4."),'V Tab'!G545,IF(OR($A$1="3.7.",$A$1="3.8."),'V Tab'!G569,IF(OR($A$1="3.11.",$A$1="3.12."),'V Tab'!G593,""))))</f>
        <v/>
      </c>
      <c r="R18" s="335" t="str">
        <f>IF(Umse!$C$24=0,"",IF(OR($A$1="3.3.",$A$1="3.4."),'V Tab'!H545,IF(OR($A$1="3.7.",$A$1="3.8."),'V Tab'!H569,IF(OR($A$1="3.11.",$A$1="3.12."),'V Tab'!H593,""))))</f>
        <v/>
      </c>
      <c r="S18" s="328"/>
      <c r="T18" s="323"/>
      <c r="U18" s="367"/>
      <c r="V18" s="332" t="s">
        <v>6</v>
      </c>
      <c r="W18" s="363">
        <v>3</v>
      </c>
    </row>
    <row r="19" spans="2:27" ht="11.25" customHeight="1">
      <c r="B19" s="332" t="str">
        <f t="shared" si="2"/>
        <v/>
      </c>
      <c r="C19" s="367" t="str">
        <f t="shared" si="3"/>
        <v/>
      </c>
      <c r="D19" s="361" t="str">
        <f t="shared" si="0"/>
        <v/>
      </c>
      <c r="E19" s="361" t="str">
        <f t="shared" ref="E19:I21" si="4">IF(N19="-","-",IF(N19="","",FIXED(ROUND(N19/$A$5,2),2)))</f>
        <v/>
      </c>
      <c r="F19" s="361" t="str">
        <f t="shared" si="4"/>
        <v/>
      </c>
      <c r="G19" s="361" t="str">
        <f t="shared" si="4"/>
        <v/>
      </c>
      <c r="H19" s="361" t="str">
        <f t="shared" si="4"/>
        <v/>
      </c>
      <c r="I19" s="361" t="str">
        <f t="shared" si="4"/>
        <v/>
      </c>
      <c r="J19" s="333" t="str">
        <f>""</f>
        <v/>
      </c>
      <c r="K19" s="331" t="str">
        <f>IF(Umse!$C$24=0,"",IF(OR($A$1="3.3.",$A$1="3.4.",$A$1="3.7.",$A$1="3.8.",$A$1="3.11.",$A$1="3.12."),V19,""))</f>
        <v/>
      </c>
      <c r="L19" s="363" t="str">
        <f>IF(Umse!$C$24=0,"",IF(OR($A$1="3.3.",$A$1="3.4.",$A$1="3.7.",$A$1="3.8.",$A$1="3.11.",$A$1="3.12."),W19,""))</f>
        <v/>
      </c>
      <c r="M19" s="335" t="str">
        <f>IF(Umse!$C$24=0,"",IF(OR($A$1="3.3.",$A$1="3.4."),'V Tab'!C546,IF(OR($A$1="3.7.",$A$1="3.8."),'V Tab'!C570,IF(OR($A$1="3.11.",$A$1="3.12."),'V Tab'!C594,""))))</f>
        <v/>
      </c>
      <c r="N19" s="335" t="str">
        <f>IF(Umse!$C$24=0,"",IF(OR($A$1="3.3.",$A$1="3.4."),'V Tab'!D546,IF(OR($A$1="3.7.",$A$1="3.8."),'V Tab'!D570,IF(OR($A$1="3.11.",$A$1="3.12."),'V Tab'!D594,""))))</f>
        <v/>
      </c>
      <c r="O19" s="335" t="str">
        <f>IF(Umse!$C$24=0,"",IF(OR($A$1="3.3.",$A$1="3.4."),'V Tab'!E546,IF(OR($A$1="3.7.",$A$1="3.8."),'V Tab'!E570,IF(OR($A$1="3.11.",$A$1="3.12."),'V Tab'!E594,""))))</f>
        <v/>
      </c>
      <c r="P19" s="335" t="str">
        <f>IF(Umse!$C$24=0,"",IF(OR($A$1="3.3.",$A$1="3.4."),'V Tab'!F546,IF(OR($A$1="3.7.",$A$1="3.8."),'V Tab'!F570,IF(OR($A$1="3.11.",$A$1="3.12."),'V Tab'!F594,""))))</f>
        <v/>
      </c>
      <c r="Q19" s="335" t="str">
        <f>IF(Umse!$C$24=0,"",IF(OR($A$1="3.3.",$A$1="3.4."),'V Tab'!G546,IF(OR($A$1="3.7.",$A$1="3.8."),'V Tab'!G570,IF(OR($A$1="3.11.",$A$1="3.12."),'V Tab'!G594,""))))</f>
        <v/>
      </c>
      <c r="R19" s="335" t="str">
        <f>IF(Umse!$C$24=0,"",IF(OR($A$1="3.3.",$A$1="3.4."),'V Tab'!H546,IF(OR($A$1="3.7.",$A$1="3.8."),'V Tab'!H570,IF(OR($A$1="3.11.",$A$1="3.12."),'V Tab'!H594,""))))</f>
        <v/>
      </c>
      <c r="T19" s="323"/>
      <c r="U19" s="367"/>
      <c r="V19" s="332" t="s">
        <v>6</v>
      </c>
      <c r="W19" s="363" t="s">
        <v>14</v>
      </c>
    </row>
    <row r="20" spans="2:27" ht="11.25" customHeight="1">
      <c r="B20" s="332" t="str">
        <f>K20</f>
        <v/>
      </c>
      <c r="C20" s="367" t="str">
        <f>L20</f>
        <v/>
      </c>
      <c r="D20" s="361" t="str">
        <f>IF(M20="-","-",IF(M20="","",FIXED(ROUND(M20/$A$5,2),2)))</f>
        <v/>
      </c>
      <c r="E20" s="361" t="str">
        <f t="shared" si="4"/>
        <v/>
      </c>
      <c r="F20" s="361" t="str">
        <f t="shared" si="4"/>
        <v/>
      </c>
      <c r="G20" s="361" t="str">
        <f t="shared" si="4"/>
        <v/>
      </c>
      <c r="H20" s="361" t="str">
        <f t="shared" si="4"/>
        <v/>
      </c>
      <c r="I20" s="361" t="str">
        <f t="shared" si="4"/>
        <v/>
      </c>
      <c r="J20" s="333" t="str">
        <f>""</f>
        <v/>
      </c>
      <c r="K20" s="331" t="str">
        <f>IF(Umse!$C$24=0,"",IF(OR($A$1="3.3.",$A$1="3.4.",$A$1="3.7.",$A$1="3.8.",$A$1="3.11.",$A$1="3.12."),V20,""))</f>
        <v/>
      </c>
      <c r="L20" s="363" t="str">
        <f>IF(Umse!$C$24=0,"",IF(OR($A$1="3.3.",$A$1="3.4.",$A$1="3.7.",$A$1="3.8.",$A$1="3.11.",$A$1="3.12."),W20,""))</f>
        <v/>
      </c>
      <c r="M20" s="335" t="str">
        <f>IF(Umse!$C$24=0,"",IF(OR($A$1="3.3.",$A$1="3.4."),'V Tab'!C547,IF(OR($A$1="3.7.",$A$1="3.8."),'V Tab'!C571,IF(OR($A$1="3.11.",$A$1="3.12."),'V Tab'!C595,""))))</f>
        <v/>
      </c>
      <c r="N20" s="335" t="str">
        <f>IF(Umse!$C$24=0,"",IF(OR($A$1="3.3.",$A$1="3.4."),'V Tab'!D547,IF(OR($A$1="3.7.",$A$1="3.8."),'V Tab'!D571,IF(OR($A$1="3.11.",$A$1="3.12."),'V Tab'!D595,""))))</f>
        <v/>
      </c>
      <c r="O20" s="335" t="str">
        <f>IF(Umse!$C$24=0,"",IF(OR($A$1="3.3.",$A$1="3.4."),'V Tab'!E547,IF(OR($A$1="3.7.",$A$1="3.8."),'V Tab'!E571,IF(OR($A$1="3.11.",$A$1="3.12."),'V Tab'!E595,""))))</f>
        <v/>
      </c>
      <c r="P20" s="335" t="str">
        <f>IF(Umse!$C$24=0,"",IF(OR($A$1="3.3.",$A$1="3.4."),'V Tab'!F547,IF(OR($A$1="3.7.",$A$1="3.8."),'V Tab'!F571,IF(OR($A$1="3.11.",$A$1="3.12."),'V Tab'!F595,""))))</f>
        <v/>
      </c>
      <c r="Q20" s="335" t="str">
        <f>IF(Umse!$C$24=0,"",IF(OR($A$1="3.3.",$A$1="3.4."),'V Tab'!G547,IF(OR($A$1="3.7.",$A$1="3.8."),'V Tab'!G571,IF(OR($A$1="3.11.",$A$1="3.12."),'V Tab'!G595,""))))</f>
        <v/>
      </c>
      <c r="R20" s="335" t="str">
        <f>IF(Umse!$C$24=0,"",IF(OR($A$1="3.3.",$A$1="3.4."),'V Tab'!H547,IF(OR($A$1="3.7.",$A$1="3.8."),'V Tab'!H571,IF(OR($A$1="3.11.",$A$1="3.12."),'V Tab'!H595,""))))</f>
        <v/>
      </c>
      <c r="T20" s="323"/>
      <c r="U20" s="323"/>
      <c r="V20" s="332" t="s">
        <v>6</v>
      </c>
      <c r="W20" s="363">
        <v>2</v>
      </c>
    </row>
    <row r="21" spans="2:27" ht="11.25" customHeight="1">
      <c r="B21" s="332" t="str">
        <f>K21</f>
        <v/>
      </c>
      <c r="C21" s="367" t="str">
        <f>L21</f>
        <v/>
      </c>
      <c r="D21" s="361" t="str">
        <f>IF(M21="-","-",IF(M21="","",FIXED(ROUND(M21/$A$5,2),2)))</f>
        <v/>
      </c>
      <c r="E21" s="361" t="str">
        <f t="shared" si="4"/>
        <v/>
      </c>
      <c r="F21" s="361" t="str">
        <f t="shared" si="4"/>
        <v/>
      </c>
      <c r="G21" s="361" t="str">
        <f t="shared" si="4"/>
        <v/>
      </c>
      <c r="H21" s="361" t="str">
        <f t="shared" si="4"/>
        <v/>
      </c>
      <c r="I21" s="361" t="str">
        <f t="shared" si="4"/>
        <v/>
      </c>
      <c r="J21" s="333"/>
      <c r="K21" s="331" t="str">
        <f>IF(Umse!$C$24=0,"",IF(OR($A$1="3.3.",$A$1="3.4.",$A$1="3.7.",$A$1="3.8.",$A$1="3.11.",$A$1="3.12."),V21,""))</f>
        <v/>
      </c>
      <c r="L21" s="363" t="str">
        <f>IF(Umse!$C$24=0,"",IF(OR($A$1="3.3.",$A$1="3.4.",$A$1="3.7.",$A$1="3.8.",$A$1="3.11.",$A$1="3.12."),W21,""))</f>
        <v/>
      </c>
      <c r="M21" s="335" t="str">
        <f>IF(Umse!$C$24=0,"",IF(OR($A$1="3.3.",$A$1="3.4."),'V Tab'!C548,IF(OR($A$1="3.7.",$A$1="3.8."),'V Tab'!C572,IF(OR($A$1="3.11.",$A$1="3.12."),'V Tab'!C596,""))))</f>
        <v/>
      </c>
      <c r="N21" s="335" t="str">
        <f>IF(Umse!$C$24=0,"",IF(OR($A$1="3.3.",$A$1="3.4."),'V Tab'!D548,IF(OR($A$1="3.7.",$A$1="3.8."),'V Tab'!D572,IF(OR($A$1="3.11.",$A$1="3.12."),'V Tab'!D596,""))))</f>
        <v/>
      </c>
      <c r="O21" s="335" t="str">
        <f>IF(Umse!$C$24=0,"",IF(OR($A$1="3.3.",$A$1="3.4."),'V Tab'!E548,IF(OR($A$1="3.7.",$A$1="3.8."),'V Tab'!E572,IF(OR($A$1="3.11.",$A$1="3.12."),'V Tab'!E596,""))))</f>
        <v/>
      </c>
      <c r="P21" s="335" t="str">
        <f>IF(Umse!$C$24=0,"",IF(OR($A$1="3.3.",$A$1="3.4."),'V Tab'!F548,IF(OR($A$1="3.7.",$A$1="3.8."),'V Tab'!F572,IF(OR($A$1="3.11.",$A$1="3.12."),'V Tab'!F596,""))))</f>
        <v/>
      </c>
      <c r="Q21" s="335" t="str">
        <f>IF(Umse!$C$24=0,"",IF(OR($A$1="3.3.",$A$1="3.4."),'V Tab'!G548,IF(OR($A$1="3.7.",$A$1="3.8."),'V Tab'!G572,IF(OR($A$1="3.11.",$A$1="3.12."),'V Tab'!G596,""))))</f>
        <v/>
      </c>
      <c r="R21" s="335" t="str">
        <f>IF(Umse!$C$24=0,"",IF(OR($A$1="3.3.",$A$1="3.4."),'V Tab'!H548,IF(OR($A$1="3.7.",$A$1="3.8."),'V Tab'!H572,IF(OR($A$1="3.11.",$A$1="3.12."),'V Tab'!H596,""))))</f>
        <v/>
      </c>
      <c r="T21" s="323"/>
      <c r="U21" s="323"/>
      <c r="V21" s="332" t="s">
        <v>6</v>
      </c>
      <c r="W21" s="363">
        <v>1</v>
      </c>
    </row>
    <row r="22" spans="2:27" ht="11.25" customHeight="1">
      <c r="B22" s="332"/>
      <c r="C22" s="367"/>
      <c r="D22" s="343"/>
      <c r="E22" s="343"/>
      <c r="F22" s="343"/>
      <c r="G22" s="343"/>
      <c r="H22" s="343"/>
      <c r="I22" s="343"/>
      <c r="J22" s="333"/>
      <c r="K22" s="331"/>
      <c r="L22" s="363"/>
      <c r="M22" s="335"/>
      <c r="N22" s="335"/>
      <c r="O22" s="335"/>
      <c r="P22" s="335"/>
      <c r="Q22" s="335"/>
      <c r="R22" s="335"/>
      <c r="T22" s="323"/>
      <c r="U22" s="323"/>
      <c r="V22" s="332"/>
      <c r="W22" s="363"/>
      <c r="X22" s="431"/>
      <c r="Y22" s="431"/>
      <c r="Z22" s="431"/>
      <c r="AA22" s="431"/>
    </row>
    <row r="23" spans="2:27" ht="11.25" customHeight="1">
      <c r="B23" s="332"/>
      <c r="C23" s="367"/>
      <c r="D23" s="343"/>
      <c r="E23" s="343"/>
      <c r="F23" s="343"/>
      <c r="G23" s="343"/>
      <c r="H23" s="343"/>
      <c r="I23" s="343"/>
      <c r="J23" s="333"/>
      <c r="K23" s="331"/>
      <c r="L23" s="363"/>
      <c r="M23" s="335"/>
      <c r="N23" s="335"/>
      <c r="O23" s="335"/>
      <c r="P23" s="335"/>
      <c r="Q23" s="335"/>
      <c r="R23" s="335"/>
      <c r="T23" s="323"/>
      <c r="U23" s="323"/>
      <c r="V23" s="332"/>
      <c r="W23" s="363"/>
      <c r="X23" s="431"/>
      <c r="Y23" s="431"/>
      <c r="Z23" s="431"/>
      <c r="AA23" s="431"/>
    </row>
    <row r="25" spans="2:27" ht="11.25" customHeight="1">
      <c r="B25" s="324"/>
      <c r="C25" s="325"/>
      <c r="D25" s="326" t="str">
        <f>IF(A1=0,"","Zeitzuschläge")</f>
        <v>Zeitzuschläge</v>
      </c>
      <c r="E25" s="325"/>
      <c r="F25" s="325"/>
      <c r="G25" s="325"/>
      <c r="H25" s="325"/>
      <c r="I25" s="327"/>
    </row>
    <row r="26" spans="2:27" ht="11.25" customHeight="1">
      <c r="B26" s="677" t="s">
        <v>192</v>
      </c>
      <c r="C26" s="685"/>
      <c r="D26" s="688" t="s">
        <v>498</v>
      </c>
      <c r="E26" s="690" t="str">
        <f>IF(OR(Umse!$B$11="3.3.",Umse!$B$11="3.4."),
"Nachtarbeit ( 21 - 06 Uhr )
Samstagsarbeit ( 13 - 21 Uhr ):
0,64 € Festbetrag bis Feb 2021","Nachtarbeit ( 21 - 06 Uhr )
Samstagsarbeit ( 13 - 21 Uhr )")</f>
        <v>Nachtarbeit ( 21 - 06 Uhr )
Samstagsarbeit ( 13 - 21 Uhr )</v>
      </c>
      <c r="F26" s="687" t="s">
        <v>21</v>
      </c>
      <c r="G26" s="683" t="s">
        <v>190</v>
      </c>
      <c r="H26" s="683" t="s">
        <v>191</v>
      </c>
      <c r="I26" s="687" t="s">
        <v>393</v>
      </c>
    </row>
    <row r="27" spans="2:27" ht="11.25" customHeight="1">
      <c r="B27" s="686"/>
      <c r="C27" s="686"/>
      <c r="D27" s="689"/>
      <c r="E27" s="691"/>
      <c r="F27" s="679"/>
      <c r="G27" s="679"/>
      <c r="H27" s="679"/>
      <c r="I27" s="687"/>
    </row>
    <row r="28" spans="2:27" ht="11.25" customHeight="1">
      <c r="B28" s="686"/>
      <c r="C28" s="686"/>
      <c r="D28" s="689"/>
      <c r="E28" s="691"/>
      <c r="F28" s="679"/>
      <c r="G28" s="679"/>
      <c r="H28" s="679"/>
      <c r="I28" s="687"/>
    </row>
    <row r="29" spans="2:27" ht="11.25" customHeight="1">
      <c r="B29" s="686"/>
      <c r="C29" s="686"/>
      <c r="D29" s="689"/>
      <c r="E29" s="691"/>
      <c r="F29" s="679"/>
      <c r="G29" s="679"/>
      <c r="H29" s="679"/>
      <c r="I29" s="687"/>
    </row>
    <row r="30" spans="2:27" ht="11.25" customHeight="1">
      <c r="B30" s="686"/>
      <c r="C30" s="686"/>
      <c r="D30" s="689"/>
      <c r="E30" s="691"/>
      <c r="F30" s="679"/>
      <c r="G30" s="679"/>
      <c r="H30" s="679"/>
      <c r="I30" s="687"/>
    </row>
    <row r="31" spans="2:27" ht="11.25" customHeight="1">
      <c r="B31" s="686"/>
      <c r="C31" s="686"/>
      <c r="D31" s="689"/>
      <c r="E31" s="691"/>
      <c r="F31" s="679"/>
      <c r="G31" s="679"/>
      <c r="H31" s="679"/>
      <c r="I31" s="687"/>
    </row>
    <row r="32" spans="2:27" ht="11.25" customHeight="1">
      <c r="B32" s="686"/>
      <c r="C32" s="686"/>
      <c r="D32" s="689"/>
      <c r="E32" s="691"/>
      <c r="F32" s="679"/>
      <c r="G32" s="679"/>
      <c r="H32" s="679"/>
      <c r="I32" s="687"/>
    </row>
    <row r="33" spans="1:18" ht="11.25" customHeight="1">
      <c r="B33" s="686"/>
      <c r="C33" s="686"/>
      <c r="D33" s="689"/>
      <c r="E33" s="691"/>
      <c r="F33" s="679"/>
      <c r="G33" s="679"/>
      <c r="H33" s="679"/>
      <c r="I33" s="687"/>
    </row>
    <row r="34" spans="1:18" ht="11.25" customHeight="1">
      <c r="B34" s="686"/>
      <c r="C34" s="686"/>
      <c r="D34" s="689"/>
      <c r="E34" s="691"/>
      <c r="F34" s="679"/>
      <c r="G34" s="679"/>
      <c r="H34" s="679"/>
      <c r="I34" s="687"/>
    </row>
    <row r="35" spans="1:18" ht="11.25" customHeight="1">
      <c r="B35" s="686"/>
      <c r="C35" s="686"/>
      <c r="D35" s="689"/>
      <c r="E35" s="691"/>
      <c r="F35" s="679"/>
      <c r="G35" s="679"/>
      <c r="H35" s="679"/>
      <c r="I35" s="687"/>
      <c r="K35" s="339"/>
      <c r="L35" s="340"/>
      <c r="M35" s="341" t="str">
        <f>IF(A1=0,"","Überstundenentgelt")</f>
        <v>Überstundenentgelt</v>
      </c>
      <c r="N35" s="340"/>
      <c r="O35" s="340"/>
      <c r="P35" s="340"/>
      <c r="Q35" s="340"/>
      <c r="R35" s="342"/>
    </row>
    <row r="36" spans="1:18" ht="21.75" customHeight="1">
      <c r="A36" s="328" t="s">
        <v>9</v>
      </c>
      <c r="B36" s="367" t="str">
        <f>K2</f>
        <v/>
      </c>
      <c r="C36" s="331"/>
      <c r="D36" s="349" t="s">
        <v>221</v>
      </c>
      <c r="E36" s="350">
        <v>0.2</v>
      </c>
      <c r="F36" s="350">
        <v>0.25</v>
      </c>
      <c r="G36" s="350">
        <v>0.35</v>
      </c>
      <c r="H36" s="350">
        <v>1.35</v>
      </c>
      <c r="I36" s="350">
        <v>0.35</v>
      </c>
      <c r="K36" s="367" t="str">
        <f>K2</f>
        <v/>
      </c>
      <c r="L36" s="331"/>
      <c r="M36" s="332" t="s">
        <v>7</v>
      </c>
      <c r="N36" s="332" t="s">
        <v>8</v>
      </c>
      <c r="O36" s="332" t="s">
        <v>9</v>
      </c>
      <c r="P36" s="332" t="s">
        <v>10</v>
      </c>
      <c r="Q36" s="332" t="s">
        <v>11</v>
      </c>
      <c r="R36" s="332" t="s">
        <v>12</v>
      </c>
    </row>
    <row r="37" spans="1:18" ht="11.25" customHeight="1">
      <c r="A37" s="328" t="str">
        <f>IF(O3="-","-",IF(O3="","",FIXED(ROUND(O3/$A$5,2),2)))</f>
        <v/>
      </c>
      <c r="B37" s="332" t="str">
        <f>K3</f>
        <v/>
      </c>
      <c r="C37" s="367" t="str">
        <f>L3</f>
        <v/>
      </c>
      <c r="D37" s="432" t="str">
        <f>IF(F3="","",ROUND(F3*0.15,2))</f>
        <v/>
      </c>
      <c r="E37" s="343" t="str">
        <f>IF(A37="","",IF(OR(Umse!$B$11="3.3.",Umse!$B$11="3.4."),FIXED(ROUND(A37*0.2,2))&amp;"    "&amp;"0,64",FIXED(ROUND(A37*0.2,2))))</f>
        <v/>
      </c>
      <c r="F37" s="343" t="str">
        <f>IF(F3="","",ROUND(F3*$F$36,2))</f>
        <v/>
      </c>
      <c r="G37" s="343" t="str">
        <f t="shared" ref="G37:G53" si="5">IF(F3="","",ROUND(F3*$G$36,2))</f>
        <v/>
      </c>
      <c r="H37" s="343" t="str">
        <f t="shared" ref="H37:H53" si="6">IF(F3="","",ROUND(F3*$H$36,2))</f>
        <v/>
      </c>
      <c r="I37" s="343" t="str">
        <f t="shared" ref="I37:I53" si="7">IF(F3="","",ROUND(F3*$I$36,2))</f>
        <v/>
      </c>
      <c r="K37" s="332" t="str">
        <f>K3</f>
        <v/>
      </c>
      <c r="L37" s="367" t="str">
        <f>L3</f>
        <v/>
      </c>
      <c r="M37" s="344" t="str">
        <f t="shared" ref="M37:M55" si="8">IF(M3="-","-",IF(M3="","",D3+D37))</f>
        <v/>
      </c>
      <c r="N37" s="344" t="str">
        <f t="shared" ref="N37:N55" si="9">IF(N3="-","-",IF(N3="","",E3+D37))</f>
        <v/>
      </c>
      <c r="O37" s="344" t="str">
        <f t="shared" ref="O37:O55" si="10">IF(O3="-","-",IF(O3="","",F3+D37))</f>
        <v/>
      </c>
      <c r="P37" s="344" t="str">
        <f t="shared" ref="P37:P55" si="11">IF(P3="-","-",IF(P3="","",G3+D37))</f>
        <v/>
      </c>
      <c r="Q37" s="351" t="str">
        <f>P37</f>
        <v/>
      </c>
      <c r="R37" s="351" t="str">
        <f>P37</f>
        <v/>
      </c>
    </row>
    <row r="38" spans="1:18" ht="11.25" customHeight="1">
      <c r="A38" s="328" t="str">
        <f t="shared" ref="A38:A53" si="12">IF(O4="-","-",IF(O4="","",FIXED(ROUND(O4/$A$5,2),2)))</f>
        <v/>
      </c>
      <c r="B38" s="332" t="str">
        <f t="shared" ref="B38:B53" si="13">K4</f>
        <v/>
      </c>
      <c r="C38" s="367" t="str">
        <f t="shared" ref="C38:C53" si="14">L4</f>
        <v/>
      </c>
      <c r="D38" s="432" t="str">
        <f t="shared" ref="D38:D44" si="15">IF(F4="","",ROUND(F4*0.15,2))</f>
        <v/>
      </c>
      <c r="E38" s="343" t="str">
        <f>IF(A38="","",IF(OR(Umse!$B$11="3.3.",Umse!$B$11="3.4."),FIXED(ROUND(A38*0.2,2))&amp;"    "&amp;"0,64",FIXED(ROUND(A38*0.2,2))))</f>
        <v/>
      </c>
      <c r="F38" s="343" t="str">
        <f t="shared" ref="F38:F55" si="16">IF(F4="","",ROUND(F4*$F$36,2))</f>
        <v/>
      </c>
      <c r="G38" s="343" t="str">
        <f t="shared" si="5"/>
        <v/>
      </c>
      <c r="H38" s="343" t="str">
        <f t="shared" si="6"/>
        <v/>
      </c>
      <c r="I38" s="343" t="str">
        <f t="shared" si="7"/>
        <v/>
      </c>
      <c r="K38" s="332" t="str">
        <f t="shared" ref="K38:L53" si="17">K4</f>
        <v/>
      </c>
      <c r="L38" s="367" t="str">
        <f t="shared" si="17"/>
        <v/>
      </c>
      <c r="M38" s="344" t="str">
        <f t="shared" si="8"/>
        <v/>
      </c>
      <c r="N38" s="344" t="str">
        <f t="shared" si="9"/>
        <v/>
      </c>
      <c r="O38" s="344" t="str">
        <f t="shared" si="10"/>
        <v/>
      </c>
      <c r="P38" s="344" t="str">
        <f t="shared" si="11"/>
        <v/>
      </c>
      <c r="Q38" s="351" t="str">
        <f t="shared" ref="Q38:Q53" si="18">P38</f>
        <v/>
      </c>
      <c r="R38" s="351" t="str">
        <f t="shared" ref="R38:R53" si="19">P38</f>
        <v/>
      </c>
    </row>
    <row r="39" spans="1:18" ht="11.25" customHeight="1">
      <c r="A39" s="328" t="str">
        <f t="shared" si="12"/>
        <v/>
      </c>
      <c r="B39" s="332" t="str">
        <f t="shared" si="13"/>
        <v/>
      </c>
      <c r="C39" s="367" t="str">
        <f t="shared" si="14"/>
        <v/>
      </c>
      <c r="D39" s="432" t="str">
        <f t="shared" si="15"/>
        <v/>
      </c>
      <c r="E39" s="343" t="str">
        <f>IF(A39="","",IF(OR(Umse!$B$11="3.3.",Umse!$B$11="3.4."),FIXED(ROUND(A39*0.2,2))&amp;"    "&amp;"0,64",FIXED(ROUND(A39*0.2,2))))</f>
        <v/>
      </c>
      <c r="F39" s="343" t="str">
        <f t="shared" si="16"/>
        <v/>
      </c>
      <c r="G39" s="343" t="str">
        <f t="shared" si="5"/>
        <v/>
      </c>
      <c r="H39" s="343" t="str">
        <f t="shared" si="6"/>
        <v/>
      </c>
      <c r="I39" s="343" t="str">
        <f t="shared" si="7"/>
        <v/>
      </c>
      <c r="K39" s="332" t="str">
        <f t="shared" si="17"/>
        <v/>
      </c>
      <c r="L39" s="367" t="str">
        <f t="shared" si="17"/>
        <v/>
      </c>
      <c r="M39" s="344" t="str">
        <f t="shared" si="8"/>
        <v/>
      </c>
      <c r="N39" s="344" t="str">
        <f t="shared" si="9"/>
        <v/>
      </c>
      <c r="O39" s="344" t="str">
        <f t="shared" si="10"/>
        <v/>
      </c>
      <c r="P39" s="344" t="str">
        <f t="shared" si="11"/>
        <v/>
      </c>
      <c r="Q39" s="351" t="str">
        <f t="shared" si="18"/>
        <v/>
      </c>
      <c r="R39" s="351" t="str">
        <f t="shared" si="19"/>
        <v/>
      </c>
    </row>
    <row r="40" spans="1:18" ht="11.25" customHeight="1">
      <c r="A40" s="328" t="str">
        <f t="shared" si="12"/>
        <v/>
      </c>
      <c r="B40" s="332" t="str">
        <f t="shared" si="13"/>
        <v/>
      </c>
      <c r="C40" s="367" t="str">
        <f t="shared" si="14"/>
        <v/>
      </c>
      <c r="D40" s="432" t="str">
        <f t="shared" si="15"/>
        <v/>
      </c>
      <c r="E40" s="343" t="str">
        <f>IF(A40="","",IF(OR(Umse!$B$11="3.3.",Umse!$B$11="3.4."),FIXED(ROUND(A40*0.2,2))&amp;"    "&amp;"0,64",FIXED(ROUND(A40*0.2,2))))</f>
        <v/>
      </c>
      <c r="F40" s="343" t="str">
        <f t="shared" si="16"/>
        <v/>
      </c>
      <c r="G40" s="343" t="str">
        <f t="shared" si="5"/>
        <v/>
      </c>
      <c r="H40" s="343" t="str">
        <f t="shared" si="6"/>
        <v/>
      </c>
      <c r="I40" s="343" t="str">
        <f t="shared" si="7"/>
        <v/>
      </c>
      <c r="K40" s="332" t="str">
        <f t="shared" si="17"/>
        <v/>
      </c>
      <c r="L40" s="367" t="str">
        <f t="shared" si="17"/>
        <v/>
      </c>
      <c r="M40" s="344" t="str">
        <f t="shared" si="8"/>
        <v/>
      </c>
      <c r="N40" s="344" t="str">
        <f t="shared" si="9"/>
        <v/>
      </c>
      <c r="O40" s="344" t="str">
        <f t="shared" si="10"/>
        <v/>
      </c>
      <c r="P40" s="344" t="str">
        <f t="shared" si="11"/>
        <v/>
      </c>
      <c r="Q40" s="351" t="str">
        <f t="shared" si="18"/>
        <v/>
      </c>
      <c r="R40" s="351" t="str">
        <f t="shared" si="19"/>
        <v/>
      </c>
    </row>
    <row r="41" spans="1:18" ht="11.25" customHeight="1">
      <c r="A41" s="328" t="str">
        <f t="shared" si="12"/>
        <v/>
      </c>
      <c r="B41" s="332" t="str">
        <f t="shared" si="13"/>
        <v/>
      </c>
      <c r="C41" s="367" t="str">
        <f t="shared" si="14"/>
        <v/>
      </c>
      <c r="D41" s="432" t="str">
        <f t="shared" si="15"/>
        <v/>
      </c>
      <c r="E41" s="343" t="str">
        <f>IF(A41="","",IF(OR(Umse!$B$11="3.3.",Umse!$B$11="3.4."),FIXED(ROUND(A41*0.2,2))&amp;"    "&amp;"0,64",FIXED(ROUND(A41*0.2,2))))</f>
        <v/>
      </c>
      <c r="F41" s="343" t="str">
        <f t="shared" si="16"/>
        <v/>
      </c>
      <c r="G41" s="343" t="str">
        <f t="shared" si="5"/>
        <v/>
      </c>
      <c r="H41" s="343" t="str">
        <f t="shared" si="6"/>
        <v/>
      </c>
      <c r="I41" s="343" t="str">
        <f t="shared" si="7"/>
        <v/>
      </c>
      <c r="K41" s="332" t="str">
        <f t="shared" si="17"/>
        <v/>
      </c>
      <c r="L41" s="367" t="str">
        <f t="shared" si="17"/>
        <v/>
      </c>
      <c r="M41" s="344" t="str">
        <f t="shared" si="8"/>
        <v/>
      </c>
      <c r="N41" s="344" t="str">
        <f t="shared" si="9"/>
        <v/>
      </c>
      <c r="O41" s="344" t="str">
        <f t="shared" si="10"/>
        <v/>
      </c>
      <c r="P41" s="344" t="str">
        <f t="shared" si="11"/>
        <v/>
      </c>
      <c r="Q41" s="351" t="str">
        <f t="shared" si="18"/>
        <v/>
      </c>
      <c r="R41" s="351" t="str">
        <f t="shared" si="19"/>
        <v/>
      </c>
    </row>
    <row r="42" spans="1:18" ht="11.25" customHeight="1">
      <c r="A42" s="328" t="str">
        <f t="shared" si="12"/>
        <v/>
      </c>
      <c r="B42" s="332" t="str">
        <f t="shared" si="13"/>
        <v/>
      </c>
      <c r="C42" s="367" t="str">
        <f t="shared" si="14"/>
        <v/>
      </c>
      <c r="D42" s="432" t="str">
        <f t="shared" si="15"/>
        <v/>
      </c>
      <c r="E42" s="343" t="str">
        <f>IF(A42="","",IF(OR(Umse!$B$11="3.3.",Umse!$B$11="3.4."),FIXED(ROUND(A42*0.2,2))&amp;"    "&amp;"0,64",FIXED(ROUND(A42*0.2,2))))</f>
        <v/>
      </c>
      <c r="F42" s="343" t="str">
        <f t="shared" si="16"/>
        <v/>
      </c>
      <c r="G42" s="343" t="str">
        <f t="shared" si="5"/>
        <v/>
      </c>
      <c r="H42" s="343" t="str">
        <f t="shared" si="6"/>
        <v/>
      </c>
      <c r="I42" s="343" t="str">
        <f t="shared" si="7"/>
        <v/>
      </c>
      <c r="K42" s="332" t="str">
        <f t="shared" si="17"/>
        <v/>
      </c>
      <c r="L42" s="367" t="str">
        <f t="shared" si="17"/>
        <v/>
      </c>
      <c r="M42" s="344" t="str">
        <f t="shared" si="8"/>
        <v/>
      </c>
      <c r="N42" s="344" t="str">
        <f t="shared" si="9"/>
        <v/>
      </c>
      <c r="O42" s="344" t="str">
        <f t="shared" si="10"/>
        <v/>
      </c>
      <c r="P42" s="344" t="str">
        <f t="shared" si="11"/>
        <v/>
      </c>
      <c r="Q42" s="351" t="str">
        <f t="shared" si="18"/>
        <v/>
      </c>
      <c r="R42" s="351" t="str">
        <f t="shared" si="19"/>
        <v/>
      </c>
    </row>
    <row r="43" spans="1:18" ht="11.25" customHeight="1">
      <c r="A43" s="328" t="str">
        <f t="shared" si="12"/>
        <v/>
      </c>
      <c r="B43" s="332" t="str">
        <f t="shared" si="13"/>
        <v/>
      </c>
      <c r="C43" s="367" t="str">
        <f t="shared" si="14"/>
        <v/>
      </c>
      <c r="D43" s="432" t="str">
        <f t="shared" si="15"/>
        <v/>
      </c>
      <c r="E43" s="343" t="str">
        <f>IF(A43="","",IF(OR(Umse!$B$11="3.3.",Umse!$B$11="3.4."),FIXED(ROUND(A43*0.2,2))&amp;"    "&amp;"0,64",FIXED(ROUND(A43*0.2,2))))</f>
        <v/>
      </c>
      <c r="F43" s="343" t="str">
        <f t="shared" si="16"/>
        <v/>
      </c>
      <c r="G43" s="343" t="str">
        <f t="shared" si="5"/>
        <v/>
      </c>
      <c r="H43" s="343" t="str">
        <f t="shared" si="6"/>
        <v/>
      </c>
      <c r="I43" s="343" t="str">
        <f t="shared" si="7"/>
        <v/>
      </c>
      <c r="K43" s="332" t="str">
        <f t="shared" si="17"/>
        <v/>
      </c>
      <c r="L43" s="367" t="str">
        <f t="shared" si="17"/>
        <v/>
      </c>
      <c r="M43" s="344" t="str">
        <f t="shared" si="8"/>
        <v/>
      </c>
      <c r="N43" s="344" t="str">
        <f t="shared" si="9"/>
        <v/>
      </c>
      <c r="O43" s="344" t="str">
        <f t="shared" si="10"/>
        <v/>
      </c>
      <c r="P43" s="344" t="str">
        <f t="shared" si="11"/>
        <v/>
      </c>
      <c r="Q43" s="351" t="str">
        <f t="shared" si="18"/>
        <v/>
      </c>
      <c r="R43" s="351" t="str">
        <f t="shared" si="19"/>
        <v/>
      </c>
    </row>
    <row r="44" spans="1:18" ht="11.25" customHeight="1">
      <c r="A44" s="328" t="str">
        <f t="shared" si="12"/>
        <v/>
      </c>
      <c r="B44" s="332" t="str">
        <f t="shared" si="13"/>
        <v/>
      </c>
      <c r="C44" s="367" t="str">
        <f t="shared" si="14"/>
        <v/>
      </c>
      <c r="D44" s="432" t="str">
        <f t="shared" si="15"/>
        <v/>
      </c>
      <c r="E44" s="343" t="str">
        <f>IF(A44="","",IF(OR(Umse!$B$11="3.3.",Umse!$B$11="3.4."),FIXED(ROUND(A44*0.2,2))&amp;"    "&amp;"0,64",FIXED(ROUND(A44*0.2,2))))</f>
        <v/>
      </c>
      <c r="F44" s="343" t="str">
        <f t="shared" si="16"/>
        <v/>
      </c>
      <c r="G44" s="343" t="str">
        <f t="shared" si="5"/>
        <v/>
      </c>
      <c r="H44" s="343" t="str">
        <f t="shared" si="6"/>
        <v/>
      </c>
      <c r="I44" s="343" t="str">
        <f t="shared" si="7"/>
        <v/>
      </c>
      <c r="K44" s="332" t="str">
        <f t="shared" si="17"/>
        <v/>
      </c>
      <c r="L44" s="367" t="str">
        <f t="shared" si="17"/>
        <v/>
      </c>
      <c r="M44" s="344" t="str">
        <f t="shared" si="8"/>
        <v/>
      </c>
      <c r="N44" s="344" t="str">
        <f t="shared" si="9"/>
        <v/>
      </c>
      <c r="O44" s="344" t="str">
        <f t="shared" si="10"/>
        <v/>
      </c>
      <c r="P44" s="344" t="str">
        <f t="shared" si="11"/>
        <v/>
      </c>
      <c r="Q44" s="351" t="str">
        <f t="shared" si="18"/>
        <v/>
      </c>
      <c r="R44" s="351" t="str">
        <f t="shared" si="19"/>
        <v/>
      </c>
    </row>
    <row r="45" spans="1:18" ht="11.25" customHeight="1">
      <c r="A45" s="328" t="str">
        <f t="shared" si="12"/>
        <v/>
      </c>
      <c r="B45" s="332" t="str">
        <f t="shared" si="13"/>
        <v/>
      </c>
      <c r="C45" s="367" t="str">
        <f t="shared" si="14"/>
        <v/>
      </c>
      <c r="D45" s="343" t="str">
        <f t="shared" ref="D45:D53" si="20">IF(F11="","",ROUND(F11*0.3,2))</f>
        <v/>
      </c>
      <c r="E45" s="343" t="str">
        <f>IF(A45="","",IF(OR(Umse!$B$11="3.3.",Umse!$B$11="3.4."),FIXED(ROUND(A45*0.2,2))&amp;"    "&amp;"0,64",FIXED(ROUND(A45*0.2,2))))</f>
        <v/>
      </c>
      <c r="F45" s="343" t="str">
        <f t="shared" si="16"/>
        <v/>
      </c>
      <c r="G45" s="343" t="str">
        <f t="shared" si="5"/>
        <v/>
      </c>
      <c r="H45" s="343" t="str">
        <f t="shared" si="6"/>
        <v/>
      </c>
      <c r="I45" s="343" t="str">
        <f t="shared" si="7"/>
        <v/>
      </c>
      <c r="K45" s="332" t="str">
        <f t="shared" si="17"/>
        <v/>
      </c>
      <c r="L45" s="367" t="str">
        <f t="shared" si="17"/>
        <v/>
      </c>
      <c r="M45" s="344" t="str">
        <f t="shared" si="8"/>
        <v/>
      </c>
      <c r="N45" s="344" t="str">
        <f t="shared" si="9"/>
        <v/>
      </c>
      <c r="O45" s="344" t="str">
        <f t="shared" si="10"/>
        <v/>
      </c>
      <c r="P45" s="344" t="str">
        <f t="shared" si="11"/>
        <v/>
      </c>
      <c r="Q45" s="351" t="str">
        <f t="shared" si="18"/>
        <v/>
      </c>
      <c r="R45" s="351" t="str">
        <f t="shared" si="19"/>
        <v/>
      </c>
    </row>
    <row r="46" spans="1:18" ht="11.25" customHeight="1">
      <c r="A46" s="328" t="str">
        <f t="shared" si="12"/>
        <v/>
      </c>
      <c r="B46" s="332" t="str">
        <f t="shared" si="13"/>
        <v/>
      </c>
      <c r="C46" s="367" t="str">
        <f t="shared" si="14"/>
        <v/>
      </c>
      <c r="D46" s="343" t="str">
        <f t="shared" si="20"/>
        <v/>
      </c>
      <c r="E46" s="343" t="str">
        <f>IF(A46="","",IF(OR(Umse!$B$11="3.3.",Umse!$B$11="3.4."),FIXED(ROUND(A46*0.2,2))&amp;"    "&amp;"0,64",FIXED(ROUND(A46*0.2,2))))</f>
        <v/>
      </c>
      <c r="F46" s="343" t="str">
        <f t="shared" si="16"/>
        <v/>
      </c>
      <c r="G46" s="343" t="str">
        <f t="shared" si="5"/>
        <v/>
      </c>
      <c r="H46" s="343" t="str">
        <f t="shared" si="6"/>
        <v/>
      </c>
      <c r="I46" s="343" t="str">
        <f t="shared" si="7"/>
        <v/>
      </c>
      <c r="K46" s="332" t="str">
        <f t="shared" si="17"/>
        <v/>
      </c>
      <c r="L46" s="367" t="str">
        <f t="shared" si="17"/>
        <v/>
      </c>
      <c r="M46" s="344" t="str">
        <f t="shared" si="8"/>
        <v/>
      </c>
      <c r="N46" s="344" t="str">
        <f t="shared" si="9"/>
        <v/>
      </c>
      <c r="O46" s="344" t="str">
        <f t="shared" si="10"/>
        <v/>
      </c>
      <c r="P46" s="344" t="str">
        <f t="shared" si="11"/>
        <v/>
      </c>
      <c r="Q46" s="351" t="str">
        <f t="shared" si="18"/>
        <v/>
      </c>
      <c r="R46" s="351" t="str">
        <f t="shared" si="19"/>
        <v/>
      </c>
    </row>
    <row r="47" spans="1:18" ht="11.25" customHeight="1">
      <c r="A47" s="328" t="str">
        <f t="shared" si="12"/>
        <v/>
      </c>
      <c r="B47" s="332" t="str">
        <f t="shared" si="13"/>
        <v/>
      </c>
      <c r="C47" s="367" t="str">
        <f t="shared" si="14"/>
        <v/>
      </c>
      <c r="D47" s="343" t="str">
        <f t="shared" si="20"/>
        <v/>
      </c>
      <c r="E47" s="343" t="str">
        <f>IF(A47="","",IF(OR(Umse!$B$11="3.3.",Umse!$B$11="3.4."),FIXED(ROUND(A47*0.2,2))&amp;"    "&amp;"0,64",FIXED(ROUND(A47*0.2,2))))</f>
        <v/>
      </c>
      <c r="F47" s="343" t="str">
        <f t="shared" si="16"/>
        <v/>
      </c>
      <c r="G47" s="343" t="str">
        <f t="shared" si="5"/>
        <v/>
      </c>
      <c r="H47" s="343" t="str">
        <f t="shared" si="6"/>
        <v/>
      </c>
      <c r="I47" s="343" t="str">
        <f t="shared" si="7"/>
        <v/>
      </c>
      <c r="K47" s="332" t="str">
        <f t="shared" si="17"/>
        <v/>
      </c>
      <c r="L47" s="367" t="str">
        <f t="shared" si="17"/>
        <v/>
      </c>
      <c r="M47" s="344" t="str">
        <f t="shared" si="8"/>
        <v/>
      </c>
      <c r="N47" s="344" t="str">
        <f t="shared" si="9"/>
        <v/>
      </c>
      <c r="O47" s="344" t="str">
        <f t="shared" si="10"/>
        <v/>
      </c>
      <c r="P47" s="344" t="str">
        <f t="shared" si="11"/>
        <v/>
      </c>
      <c r="Q47" s="351" t="str">
        <f t="shared" si="18"/>
        <v/>
      </c>
      <c r="R47" s="351" t="str">
        <f t="shared" si="19"/>
        <v/>
      </c>
    </row>
    <row r="48" spans="1:18" ht="11.25" customHeight="1">
      <c r="A48" s="328" t="str">
        <f t="shared" si="12"/>
        <v/>
      </c>
      <c r="B48" s="332" t="str">
        <f t="shared" si="13"/>
        <v/>
      </c>
      <c r="C48" s="367" t="str">
        <f t="shared" si="14"/>
        <v/>
      </c>
      <c r="D48" s="343" t="str">
        <f t="shared" si="20"/>
        <v/>
      </c>
      <c r="E48" s="343" t="str">
        <f>IF(A48="","",IF(OR(Umse!$B$11="3.3.",Umse!$B$11="3.4."),FIXED(ROUND(A48*0.2,2))&amp;"    "&amp;"0,64",FIXED(ROUND(A48*0.2,2))))</f>
        <v/>
      </c>
      <c r="F48" s="343" t="str">
        <f t="shared" si="16"/>
        <v/>
      </c>
      <c r="G48" s="343" t="str">
        <f t="shared" si="5"/>
        <v/>
      </c>
      <c r="H48" s="343" t="str">
        <f t="shared" si="6"/>
        <v/>
      </c>
      <c r="I48" s="343" t="str">
        <f t="shared" si="7"/>
        <v/>
      </c>
      <c r="K48" s="332" t="str">
        <f t="shared" si="17"/>
        <v/>
      </c>
      <c r="L48" s="367" t="str">
        <f t="shared" si="17"/>
        <v/>
      </c>
      <c r="M48" s="344" t="str">
        <f t="shared" si="8"/>
        <v/>
      </c>
      <c r="N48" s="344" t="str">
        <f t="shared" si="9"/>
        <v/>
      </c>
      <c r="O48" s="344" t="str">
        <f t="shared" si="10"/>
        <v/>
      </c>
      <c r="P48" s="344" t="str">
        <f t="shared" si="11"/>
        <v/>
      </c>
      <c r="Q48" s="351" t="str">
        <f t="shared" si="18"/>
        <v/>
      </c>
      <c r="R48" s="351" t="str">
        <f t="shared" si="19"/>
        <v/>
      </c>
    </row>
    <row r="49" spans="1:18" ht="11.25" customHeight="1">
      <c r="A49" s="328" t="str">
        <f t="shared" si="12"/>
        <v/>
      </c>
      <c r="B49" s="332" t="str">
        <f t="shared" si="13"/>
        <v/>
      </c>
      <c r="C49" s="367" t="str">
        <f t="shared" si="14"/>
        <v/>
      </c>
      <c r="D49" s="343" t="str">
        <f t="shared" si="20"/>
        <v/>
      </c>
      <c r="E49" s="343" t="str">
        <f>IF(A49="","",IF(OR(Umse!$B$11="3.3.",Umse!$B$11="3.4."),FIXED(ROUND(A49*0.2,2))&amp;"    "&amp;"0,64",FIXED(ROUND(A49*0.2,2))))</f>
        <v/>
      </c>
      <c r="F49" s="343" t="str">
        <f t="shared" si="16"/>
        <v/>
      </c>
      <c r="G49" s="343" t="str">
        <f t="shared" si="5"/>
        <v/>
      </c>
      <c r="H49" s="343" t="str">
        <f t="shared" si="6"/>
        <v/>
      </c>
      <c r="I49" s="343" t="str">
        <f t="shared" si="7"/>
        <v/>
      </c>
      <c r="K49" s="332" t="str">
        <f t="shared" si="17"/>
        <v/>
      </c>
      <c r="L49" s="367" t="str">
        <f t="shared" si="17"/>
        <v/>
      </c>
      <c r="M49" s="344" t="str">
        <f t="shared" si="8"/>
        <v/>
      </c>
      <c r="N49" s="344" t="str">
        <f t="shared" si="9"/>
        <v/>
      </c>
      <c r="O49" s="344" t="str">
        <f t="shared" si="10"/>
        <v/>
      </c>
      <c r="P49" s="344" t="str">
        <f t="shared" si="11"/>
        <v/>
      </c>
      <c r="Q49" s="351" t="str">
        <f t="shared" si="18"/>
        <v/>
      </c>
      <c r="R49" s="351" t="str">
        <f t="shared" si="19"/>
        <v/>
      </c>
    </row>
    <row r="50" spans="1:18" ht="11.25" customHeight="1">
      <c r="A50" s="328" t="str">
        <f t="shared" si="12"/>
        <v/>
      </c>
      <c r="B50" s="332" t="str">
        <f t="shared" si="13"/>
        <v/>
      </c>
      <c r="C50" s="367" t="str">
        <f t="shared" si="14"/>
        <v/>
      </c>
      <c r="D50" s="343" t="str">
        <f t="shared" si="20"/>
        <v/>
      </c>
      <c r="E50" s="343" t="str">
        <f>IF(A50="","",IF(OR(Umse!$B$11="3.3.",Umse!$B$11="3.4."),FIXED(ROUND(A50*0.2,2))&amp;"    "&amp;"0,64",FIXED(ROUND(A50*0.2,2))))</f>
        <v/>
      </c>
      <c r="F50" s="343" t="str">
        <f t="shared" si="16"/>
        <v/>
      </c>
      <c r="G50" s="343" t="str">
        <f t="shared" si="5"/>
        <v/>
      </c>
      <c r="H50" s="343" t="str">
        <f t="shared" si="6"/>
        <v/>
      </c>
      <c r="I50" s="343" t="str">
        <f t="shared" si="7"/>
        <v/>
      </c>
      <c r="K50" s="332" t="str">
        <f t="shared" si="17"/>
        <v/>
      </c>
      <c r="L50" s="367" t="str">
        <f t="shared" si="17"/>
        <v/>
      </c>
      <c r="M50" s="344" t="str">
        <f t="shared" si="8"/>
        <v/>
      </c>
      <c r="N50" s="344" t="str">
        <f t="shared" si="9"/>
        <v/>
      </c>
      <c r="O50" s="344" t="str">
        <f t="shared" si="10"/>
        <v/>
      </c>
      <c r="P50" s="344" t="str">
        <f t="shared" si="11"/>
        <v/>
      </c>
      <c r="Q50" s="351" t="str">
        <f t="shared" si="18"/>
        <v/>
      </c>
      <c r="R50" s="351" t="str">
        <f t="shared" si="19"/>
        <v/>
      </c>
    </row>
    <row r="51" spans="1:18" ht="11.25" customHeight="1">
      <c r="A51" s="328" t="str">
        <f t="shared" si="12"/>
        <v/>
      </c>
      <c r="B51" s="332" t="str">
        <f t="shared" si="13"/>
        <v/>
      </c>
      <c r="C51" s="367" t="str">
        <f t="shared" si="14"/>
        <v/>
      </c>
      <c r="D51" s="343" t="str">
        <f t="shared" si="20"/>
        <v/>
      </c>
      <c r="E51" s="343" t="str">
        <f>IF(A51="","",IF(OR(Umse!$B$11="3.3.",Umse!$B$11="3.4."),FIXED(ROUND(A51*0.2,2))&amp;"    "&amp;"0,64",FIXED(ROUND(A51*0.2,2))))</f>
        <v/>
      </c>
      <c r="F51" s="343" t="str">
        <f t="shared" si="16"/>
        <v/>
      </c>
      <c r="G51" s="343" t="str">
        <f t="shared" si="5"/>
        <v/>
      </c>
      <c r="H51" s="343" t="str">
        <f t="shared" si="6"/>
        <v/>
      </c>
      <c r="I51" s="343" t="str">
        <f t="shared" si="7"/>
        <v/>
      </c>
      <c r="K51" s="332" t="str">
        <f t="shared" si="17"/>
        <v/>
      </c>
      <c r="L51" s="367" t="str">
        <f t="shared" si="17"/>
        <v/>
      </c>
      <c r="M51" s="344" t="str">
        <f t="shared" si="8"/>
        <v/>
      </c>
      <c r="N51" s="344" t="str">
        <f t="shared" si="9"/>
        <v/>
      </c>
      <c r="O51" s="344" t="str">
        <f t="shared" si="10"/>
        <v/>
      </c>
      <c r="P51" s="344" t="str">
        <f t="shared" si="11"/>
        <v/>
      </c>
      <c r="Q51" s="351" t="str">
        <f t="shared" si="18"/>
        <v/>
      </c>
      <c r="R51" s="351" t="str">
        <f t="shared" si="19"/>
        <v/>
      </c>
    </row>
    <row r="52" spans="1:18" ht="11.25" customHeight="1">
      <c r="A52" s="328" t="str">
        <f t="shared" si="12"/>
        <v/>
      </c>
      <c r="B52" s="332" t="str">
        <f t="shared" si="13"/>
        <v/>
      </c>
      <c r="C52" s="367" t="str">
        <f t="shared" si="14"/>
        <v/>
      </c>
      <c r="D52" s="343" t="str">
        <f t="shared" si="20"/>
        <v/>
      </c>
      <c r="E52" s="343" t="str">
        <f>IF(A52="","",IF(OR(Umse!$B$11="3.3.",Umse!$B$11="3.4."),FIXED(ROUND(A52*0.2,2))&amp;"    "&amp;"0,64",FIXED(ROUND(A52*0.2,2))))</f>
        <v/>
      </c>
      <c r="F52" s="343" t="str">
        <f t="shared" si="16"/>
        <v/>
      </c>
      <c r="G52" s="343" t="str">
        <f t="shared" si="5"/>
        <v/>
      </c>
      <c r="H52" s="343" t="str">
        <f t="shared" si="6"/>
        <v/>
      </c>
      <c r="I52" s="343" t="str">
        <f t="shared" si="7"/>
        <v/>
      </c>
      <c r="K52" s="332" t="str">
        <f t="shared" si="17"/>
        <v/>
      </c>
      <c r="L52" s="367" t="str">
        <f t="shared" si="17"/>
        <v/>
      </c>
      <c r="M52" s="344" t="str">
        <f t="shared" si="8"/>
        <v/>
      </c>
      <c r="N52" s="344" t="str">
        <f t="shared" si="9"/>
        <v/>
      </c>
      <c r="O52" s="344" t="str">
        <f t="shared" si="10"/>
        <v/>
      </c>
      <c r="P52" s="344" t="str">
        <f t="shared" si="11"/>
        <v/>
      </c>
      <c r="Q52" s="351" t="str">
        <f t="shared" si="18"/>
        <v/>
      </c>
      <c r="R52" s="351" t="str">
        <f t="shared" si="19"/>
        <v/>
      </c>
    </row>
    <row r="53" spans="1:18" ht="11.25" customHeight="1">
      <c r="A53" s="328" t="str">
        <f t="shared" si="12"/>
        <v/>
      </c>
      <c r="B53" s="332" t="str">
        <f t="shared" si="13"/>
        <v/>
      </c>
      <c r="C53" s="367" t="str">
        <f t="shared" si="14"/>
        <v/>
      </c>
      <c r="D53" s="343" t="str">
        <f t="shared" si="20"/>
        <v/>
      </c>
      <c r="E53" s="343" t="str">
        <f>IF(A53="","",IF(OR(Umse!$B$11="3.3.",Umse!$B$11="3.4."),FIXED(ROUND(A53*0.2,2))&amp;"    "&amp;"0,64",FIXED(ROUND(A53*0.2,2))))</f>
        <v/>
      </c>
      <c r="F53" s="343" t="str">
        <f t="shared" si="16"/>
        <v/>
      </c>
      <c r="G53" s="343" t="str">
        <f t="shared" si="5"/>
        <v/>
      </c>
      <c r="H53" s="343" t="str">
        <f t="shared" si="6"/>
        <v/>
      </c>
      <c r="I53" s="343" t="str">
        <f t="shared" si="7"/>
        <v/>
      </c>
      <c r="K53" s="332" t="str">
        <f t="shared" si="17"/>
        <v/>
      </c>
      <c r="L53" s="367" t="str">
        <f t="shared" si="17"/>
        <v/>
      </c>
      <c r="M53" s="344" t="str">
        <f t="shared" si="8"/>
        <v/>
      </c>
      <c r="N53" s="344" t="str">
        <f t="shared" si="9"/>
        <v/>
      </c>
      <c r="O53" s="344" t="str">
        <f t="shared" si="10"/>
        <v/>
      </c>
      <c r="P53" s="344" t="str">
        <f t="shared" si="11"/>
        <v/>
      </c>
      <c r="Q53" s="351" t="str">
        <f t="shared" si="18"/>
        <v/>
      </c>
      <c r="R53" s="351" t="str">
        <f t="shared" si="19"/>
        <v/>
      </c>
    </row>
    <row r="54" spans="1:18" ht="11.25" customHeight="1">
      <c r="A54" s="328" t="str">
        <f>IF(O20="-","-",IF(OR(O20="",O20=0),"",FIXED(ROUND(O20/$A$5,2),2)))</f>
        <v/>
      </c>
      <c r="B54" s="332" t="str">
        <f>K20</f>
        <v/>
      </c>
      <c r="C54" s="367" t="str">
        <f>L20</f>
        <v/>
      </c>
      <c r="D54" s="343" t="str">
        <f>IF(F20="","",ROUND(F20*0.3,2))</f>
        <v/>
      </c>
      <c r="E54" s="343" t="str">
        <f>IF(A54="","",IF(OR(Umse!$B$11="3.3.",Umse!$B$11="3.4."),FIXED(ROUND(A54*0.2,2))&amp;"    "&amp;"0,64",FIXED(ROUND(A54*0.2,2))))</f>
        <v/>
      </c>
      <c r="F54" s="343" t="str">
        <f t="shared" si="16"/>
        <v/>
      </c>
      <c r="G54" s="343" t="str">
        <f>IF(F20="","",ROUND(F20*$G$36,2))</f>
        <v/>
      </c>
      <c r="H54" s="343" t="str">
        <f>IF(F20="","",ROUND(F20*$H$36,2))</f>
        <v/>
      </c>
      <c r="I54" s="343" t="str">
        <f>IF(F20="","",ROUND(F20*$I$36,2))</f>
        <v/>
      </c>
      <c r="K54" s="332" t="str">
        <f>K20</f>
        <v/>
      </c>
      <c r="L54" s="367" t="str">
        <f>L20</f>
        <v/>
      </c>
      <c r="M54" s="344" t="str">
        <f t="shared" si="8"/>
        <v/>
      </c>
      <c r="N54" s="344" t="str">
        <f t="shared" si="9"/>
        <v/>
      </c>
      <c r="O54" s="344" t="str">
        <f t="shared" si="10"/>
        <v/>
      </c>
      <c r="P54" s="344" t="str">
        <f t="shared" si="11"/>
        <v/>
      </c>
      <c r="Q54" s="351" t="str">
        <f>P54</f>
        <v/>
      </c>
      <c r="R54" s="351" t="str">
        <f>P54</f>
        <v/>
      </c>
    </row>
    <row r="55" spans="1:18" ht="11.25" customHeight="1">
      <c r="A55" s="328" t="str">
        <f>IF(O21="-","-",IF(OR(O21="",O21=0),"",FIXED(ROUND(O21/$A$5,2),2)))</f>
        <v/>
      </c>
      <c r="B55" s="332" t="str">
        <f>K21</f>
        <v/>
      </c>
      <c r="C55" s="367" t="str">
        <f>L21</f>
        <v/>
      </c>
      <c r="D55" s="343" t="str">
        <f>IF(F21="","",ROUND(F21*0.3,2))</f>
        <v/>
      </c>
      <c r="E55" s="343" t="str">
        <f>IF(A55="","",IF(OR(Umse!$B$11="3.3.",Umse!$B$11="3.4."),FIXED(ROUND(A55*0.2,2))&amp;"    "&amp;"0,64",FIXED(ROUND(A55*0.2,2))))</f>
        <v/>
      </c>
      <c r="F55" s="343" t="str">
        <f t="shared" si="16"/>
        <v/>
      </c>
      <c r="G55" s="343" t="str">
        <f>IF(F21="","",ROUND(F21*$G$36,2))</f>
        <v/>
      </c>
      <c r="H55" s="343" t="str">
        <f>IF(F21="","",ROUND(F21*$H$36,2))</f>
        <v/>
      </c>
      <c r="I55" s="343" t="str">
        <f>IF(F21="","",ROUND(F21*$I$36,2))</f>
        <v/>
      </c>
      <c r="K55" s="332" t="str">
        <f>K21</f>
        <v/>
      </c>
      <c r="L55" s="367" t="str">
        <f>L21</f>
        <v/>
      </c>
      <c r="M55" s="344" t="str">
        <f t="shared" si="8"/>
        <v/>
      </c>
      <c r="N55" s="344" t="str">
        <f t="shared" si="9"/>
        <v/>
      </c>
      <c r="O55" s="344" t="str">
        <f t="shared" si="10"/>
        <v/>
      </c>
      <c r="P55" s="344" t="str">
        <f t="shared" si="11"/>
        <v/>
      </c>
      <c r="Q55" s="351" t="str">
        <f>P55</f>
        <v/>
      </c>
      <c r="R55" s="351" t="str">
        <f>P55</f>
        <v/>
      </c>
    </row>
    <row r="56" spans="1:18" ht="11.25" customHeight="1">
      <c r="A56" s="328"/>
      <c r="B56" s="332"/>
      <c r="C56" s="367"/>
      <c r="D56" s="343"/>
      <c r="E56" s="343"/>
      <c r="F56" s="343"/>
      <c r="G56" s="343"/>
      <c r="H56" s="343"/>
      <c r="I56" s="343"/>
      <c r="K56" s="332"/>
      <c r="L56" s="367"/>
      <c r="M56" s="344"/>
      <c r="N56" s="344"/>
      <c r="O56" s="344"/>
      <c r="P56" s="344"/>
      <c r="Q56" s="351"/>
      <c r="R56" s="351"/>
    </row>
    <row r="57" spans="1:18" ht="11.25" customHeight="1">
      <c r="A57" s="328"/>
      <c r="B57" s="332"/>
      <c r="C57" s="367"/>
      <c r="D57" s="343"/>
      <c r="E57" s="343"/>
      <c r="F57" s="343"/>
      <c r="G57" s="343"/>
      <c r="H57" s="343"/>
      <c r="I57" s="343"/>
      <c r="K57" s="332"/>
      <c r="L57" s="367"/>
      <c r="M57" s="344"/>
      <c r="N57" s="344"/>
      <c r="O57" s="344"/>
      <c r="P57" s="344"/>
      <c r="Q57" s="351"/>
      <c r="R57" s="351"/>
    </row>
  </sheetData>
  <mergeCells count="7">
    <mergeCell ref="B26:C35"/>
    <mergeCell ref="D26:D35"/>
    <mergeCell ref="E26:E35"/>
    <mergeCell ref="F26:F35"/>
    <mergeCell ref="I26:I35"/>
    <mergeCell ref="G26:G35"/>
    <mergeCell ref="H26:H35"/>
  </mergeCells>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theme="9" tint="-0.249977111117893"/>
    <pageSetUpPr autoPageBreaks="0"/>
  </sheetPr>
  <dimension ref="A1:AC93"/>
  <sheetViews>
    <sheetView showZeros="0" showOutlineSymbols="0" topLeftCell="A10" zoomScaleNormal="50" zoomScaleSheetLayoutView="50" workbookViewId="0">
      <selection activeCell="J55" sqref="J55"/>
    </sheetView>
  </sheetViews>
  <sheetFormatPr baseColWidth="10" defaultColWidth="10.7109375" defaultRowHeight="11.25" customHeight="1"/>
  <cols>
    <col min="1" max="1" width="10.7109375" style="287" customWidth="1"/>
    <col min="2" max="3" width="6.42578125" style="287" customWidth="1"/>
    <col min="4" max="9" width="10.7109375" style="287" customWidth="1"/>
    <col min="10" max="10" width="17.85546875" style="287" customWidth="1"/>
    <col min="11" max="12" width="6.42578125" style="287" customWidth="1"/>
    <col min="13" max="16384" width="10.7109375" style="287"/>
  </cols>
  <sheetData>
    <row r="1" spans="1:26" ht="11.25" customHeight="1">
      <c r="A1" s="287" t="str">
        <f>Umse!B11</f>
        <v>1.2.</v>
      </c>
    </row>
    <row r="2" spans="1:26" ht="15" customHeight="1">
      <c r="B2" s="663"/>
      <c r="C2" s="664"/>
      <c r="D2" s="664"/>
      <c r="E2" s="664"/>
      <c r="F2" s="664"/>
      <c r="G2" s="664"/>
      <c r="H2" s="664"/>
      <c r="I2" s="664"/>
      <c r="J2" s="664"/>
      <c r="K2" s="664"/>
      <c r="L2" s="664"/>
      <c r="M2" s="664"/>
      <c r="N2" s="664"/>
      <c r="O2" s="665"/>
      <c r="P2" s="665"/>
      <c r="Q2" s="288"/>
      <c r="R2" s="289"/>
    </row>
    <row r="3" spans="1:26" ht="3.75" customHeight="1"/>
    <row r="4" spans="1:26" ht="13.5" customHeight="1">
      <c r="D4" s="290"/>
      <c r="E4" s="291" t="str">
        <f>IF(Umse!B11=0,"Bitte Tarifgebiet auswählen","")</f>
        <v/>
      </c>
      <c r="H4" s="291" t="str">
        <f>IF(Kalk!K3="Pflichtstunden","",IF(Umse!B11=0,"     Bitte Tarifgebiet auswählen",IF(Umse!C24=0,"     Bitte Vollzeit auswählen",IF(OR(Umse!B11="2.2.",Umse!B11="2.3.",Umse!B11="2.4.",Umse!B11="2.5."),"     Bitte Auswahl treffen",IF(AND(Kalk!B5=4,Umse!B50="Land (TdL)"),"     Bitte Auswahl treffen",IF(AND(Kalk!B5=5,Umse!B50="Land (TdL)"),"     Bitte Auswahl treffen",""))))))</f>
        <v/>
      </c>
      <c r="K4" s="666"/>
      <c r="L4" s="666"/>
      <c r="M4" s="666"/>
      <c r="N4" s="666"/>
      <c r="O4" s="666"/>
      <c r="P4" s="666"/>
    </row>
    <row r="5" spans="1:26" ht="13.5" customHeight="1">
      <c r="B5" s="292"/>
      <c r="C5" s="292"/>
      <c r="D5" s="293"/>
      <c r="E5" s="292"/>
      <c r="F5" s="667"/>
      <c r="G5" s="667"/>
      <c r="H5" s="293"/>
      <c r="I5" s="295"/>
      <c r="J5" s="296"/>
      <c r="K5" s="666"/>
      <c r="L5" s="666"/>
      <c r="M5" s="666"/>
      <c r="N5" s="666"/>
      <c r="O5" s="666"/>
      <c r="P5" s="666"/>
    </row>
    <row r="6" spans="1:26" ht="13.5" customHeight="1">
      <c r="I6" s="297"/>
      <c r="J6" s="298"/>
      <c r="K6" s="666"/>
      <c r="L6" s="666"/>
      <c r="M6" s="666"/>
      <c r="N6" s="666"/>
      <c r="O6" s="666"/>
      <c r="P6" s="666"/>
    </row>
    <row r="7" spans="1:26" s="299" customFormat="1" ht="3.75" customHeight="1">
      <c r="B7" s="300"/>
      <c r="C7" s="300"/>
      <c r="D7" s="301"/>
      <c r="E7" s="301"/>
      <c r="F7" s="301"/>
      <c r="G7" s="301"/>
      <c r="H7" s="301"/>
      <c r="I7" s="301"/>
      <c r="K7" s="302"/>
      <c r="L7" s="302"/>
      <c r="M7" s="303"/>
      <c r="N7" s="303"/>
      <c r="O7" s="303"/>
      <c r="P7" s="303"/>
      <c r="Q7" s="303"/>
      <c r="R7" s="303"/>
      <c r="U7" s="304"/>
      <c r="V7" s="304"/>
      <c r="W7" s="304"/>
      <c r="X7" s="304"/>
      <c r="Y7" s="304"/>
      <c r="Z7" s="304"/>
    </row>
    <row r="8" spans="1:26" s="299" customFormat="1" ht="3.75" customHeight="1">
      <c r="B8" s="301"/>
      <c r="C8" s="301"/>
      <c r="D8" s="301"/>
      <c r="E8" s="301"/>
      <c r="F8" s="301"/>
      <c r="G8" s="301"/>
      <c r="H8" s="301"/>
      <c r="I8" s="301"/>
      <c r="J8" s="305"/>
      <c r="K8" s="303"/>
      <c r="L8" s="303"/>
      <c r="M8" s="303"/>
      <c r="N8" s="303"/>
      <c r="O8" s="303"/>
      <c r="P8" s="303"/>
      <c r="Q8" s="303"/>
      <c r="R8" s="303"/>
      <c r="U8" s="304"/>
      <c r="V8" s="304"/>
      <c r="W8" s="304"/>
      <c r="X8" s="304"/>
      <c r="Y8" s="304"/>
      <c r="Z8" s="304"/>
    </row>
    <row r="9" spans="1:26" s="299" customFormat="1" ht="3.75" customHeight="1">
      <c r="B9" s="301"/>
      <c r="C9" s="301"/>
      <c r="D9" s="301"/>
      <c r="E9" s="301"/>
      <c r="F9" s="301"/>
      <c r="G9" s="301"/>
      <c r="H9" s="301"/>
      <c r="I9" s="301"/>
      <c r="J9" s="305"/>
      <c r="K9" s="303"/>
      <c r="L9" s="303"/>
      <c r="M9" s="303"/>
      <c r="N9" s="303"/>
      <c r="O9" s="303"/>
      <c r="P9" s="303"/>
      <c r="Q9" s="303"/>
      <c r="R9" s="303"/>
      <c r="U9" s="304"/>
      <c r="V9" s="304"/>
      <c r="W9" s="304"/>
      <c r="X9" s="304"/>
      <c r="Y9" s="304"/>
      <c r="Z9" s="304"/>
    </row>
    <row r="10" spans="1:26" ht="12.75" customHeight="1">
      <c r="B10" s="669" t="str">
        <f>K10</f>
        <v/>
      </c>
      <c r="C10" s="670"/>
      <c r="D10" s="670"/>
      <c r="E10" s="673" t="str">
        <f>'VKr Mask'!E10&amp;'LKr Mask'!E10</f>
        <v/>
      </c>
      <c r="F10" s="673"/>
      <c r="G10" s="673"/>
      <c r="H10" s="661" t="str">
        <f>'VKr Mask'!H10&amp;'LKr Mask'!H10</f>
        <v/>
      </c>
      <c r="I10" s="662"/>
      <c r="J10" s="294"/>
      <c r="K10" s="669" t="str">
        <f>'VKr Mask'!K10&amp;'LKr Mask'!K10</f>
        <v/>
      </c>
      <c r="L10" s="670"/>
      <c r="M10" s="670"/>
      <c r="N10" s="673" t="str">
        <f>'VKr Mask'!N10&amp;'LKr Mask'!N10</f>
        <v/>
      </c>
      <c r="O10" s="673"/>
      <c r="P10" s="673"/>
      <c r="Q10" s="661" t="str">
        <f>'VKr Mask'!Q10&amp;'LKr Mask'!Q10</f>
        <v/>
      </c>
      <c r="R10" s="662"/>
    </row>
    <row r="11" spans="1:26" ht="22.5" customHeight="1">
      <c r="B11" s="302" t="str">
        <f>K11</f>
        <v/>
      </c>
      <c r="C11" s="306"/>
      <c r="D11" s="306" t="str">
        <f t="shared" ref="D11:I11" si="0">M11</f>
        <v/>
      </c>
      <c r="E11" s="306" t="str">
        <f t="shared" si="0"/>
        <v/>
      </c>
      <c r="F11" s="306" t="str">
        <f t="shared" si="0"/>
        <v/>
      </c>
      <c r="G11" s="306" t="str">
        <f t="shared" si="0"/>
        <v/>
      </c>
      <c r="H11" s="306" t="str">
        <f t="shared" si="0"/>
        <v/>
      </c>
      <c r="I11" s="306" t="str">
        <f t="shared" si="0"/>
        <v/>
      </c>
      <c r="J11" s="307" t="str">
        <f>IF(OR(Umse!$B$11="3.1.",Umse!$B$11="3.2.",Umse!$B$11="4.1.",Umse!$B$11="4.2.",Umse!$B$11="4.3.",Umse!$B$11="4.4.",Umse!$B$11="4.5.",Umse!$B$11="4.6."),'VKr Mask'!J11,IF(OR(Umse!$B$11="6.1.",Umse!$B$11="6.2.",Umse!$B$11="6.3.",Umse!$B$11="6.4."),'LKr Mask'!J11,""))</f>
        <v/>
      </c>
      <c r="K11" s="302" t="str">
        <f>IF(OR(Umse!$B$11="3.1.",Umse!$B$11="3.2.",Umse!$B$11="3.5.",Umse!$B$11="3.6.",Umse!$B$11="3.9.",Umse!$B$11="3.10.",Umse!$B$11="4.1.",Umse!$B$11="4.2.",Umse!$B$11="4.3.",Umse!$B$11="4.4.",Umse!$B$11="4.5.",Umse!$B$11="4.6."),'VKr Mask'!K11,IF(OR(Umse!$B$11="6.1.",Umse!$B$11="6.2.",Umse!$B$11="6.3.",Umse!$B$11="6.4.",$A$1="6.5.",$A$1="6.6."),'LKr Mask'!K11,""))</f>
        <v/>
      </c>
      <c r="L11" s="306"/>
      <c r="M11" s="306" t="str">
        <f>IF(OR(Umse!$B$11="3.1.",Umse!$B$11="3.2.",Umse!$B$11="3.5.",Umse!$B$11="3.6.",Umse!$B$11="3.9.",Umse!$B$11="3.10.",Umse!$B$11="4.1.",Umse!$B$11="4.2.",Umse!$B$11="4.3.",Umse!$B$11="4.4.",Umse!$B$11="4.5.",Umse!$B$11="4.6."),'VKr Mask'!M11,IF(OR(Umse!$B$11="6.1.",Umse!$B$11="6.2.",Umse!$B$11="6.3.",Umse!$B$11="6.4.",$A$1="6.5.",$A$1="6.6."),'LKr Mask'!M11,""))</f>
        <v/>
      </c>
      <c r="N11" s="306" t="str">
        <f>IF(OR(Umse!$B$11="3.1.",Umse!$B$11="3.2.",Umse!$B$11="3.5.",Umse!$B$11="3.6.",Umse!$B$11="3.9.",Umse!$B$11="3.10.",Umse!$B$11="4.1.",Umse!$B$11="4.2.",Umse!$B$11="4.3.",Umse!$B$11="4.4.",Umse!$B$11="4.5.",Umse!$B$11="4.6."),'VKr Mask'!N11,IF(OR(Umse!$B$11="6.1.",Umse!$B$11="6.2.",Umse!$B$11="6.3.",Umse!$B$11="6.4.",$A$1="6.5.",$A$1="6.6."),'LKr Mask'!N11,""))</f>
        <v/>
      </c>
      <c r="O11" s="306" t="str">
        <f>IF(OR(Umse!$B$11="3.1.",Umse!$B$11="3.2.",Umse!$B$11="3.5.",Umse!$B$11="3.6.",Umse!$B$11="3.9.",Umse!$B$11="3.10.",Umse!$B$11="4.1.",Umse!$B$11="4.2.",Umse!$B$11="4.3.",Umse!$B$11="4.4.",Umse!$B$11="4.5.",Umse!$B$11="4.6."),'VKr Mask'!O11,IF(OR(Umse!$B$11="6.1.",Umse!$B$11="6.2.",Umse!$B$11="6.3.",Umse!$B$11="6.4.",$A$1="6.5.",$A$1="6.6."),'LKr Mask'!O11,""))</f>
        <v/>
      </c>
      <c r="P11" s="306" t="str">
        <f>IF(OR(Umse!$B$11="3.1.",Umse!$B$11="3.2.",Umse!$B$11="3.5.",Umse!$B$11="3.6.",Umse!$B$11="3.9.",Umse!$B$11="3.10.",Umse!$B$11="4.1.",Umse!$B$11="4.2.",Umse!$B$11="4.3.",Umse!$B$11="4.4.",Umse!$B$11="4.5.",Umse!$B$11="4.6."),'VKr Mask'!P11,IF(OR(Umse!$B$11="6.1.",Umse!$B$11="6.2.",Umse!$B$11="6.3.",Umse!$B$11="6.4.",$A$1="6.5.",$A$1="6.6."),'LKr Mask'!P11,""))</f>
        <v/>
      </c>
      <c r="Q11" s="306" t="str">
        <f>IF(OR(Umse!$B$11="3.1.",Umse!$B$11="3.2.",Umse!$B$11="3.5.",Umse!$B$11="3.6.",Umse!$B$11="3.9.",Umse!$B$11="3.10.",Umse!$B$11="4.1.",Umse!$B$11="4.2.",Umse!$B$11="4.3.",Umse!$B$11="4.4.",Umse!$B$11="4.5.",Umse!$B$11="4.6."),'VKr Mask'!Q11,IF(OR(Umse!$B$11="6.1.",Umse!$B$11="6.2.",Umse!$B$11="6.3.",Umse!$B$11="6.4.",$A$1="6.5.",$A$1="6.6."),'LKr Mask'!Q11,""))</f>
        <v/>
      </c>
      <c r="R11" s="306" t="str">
        <f>IF(OR(Umse!$B$11="3.1.",Umse!$B$11="3.2.",Umse!$B$11="3.5.",Umse!$B$11="3.6.",Umse!$B$11="3.9.",Umse!$B$11="3.10.",Umse!$B$11="4.1.",Umse!$B$11="4.2.",Umse!$B$11="4.3.",Umse!$B$11="4.4.",Umse!$B$11="4.5.",Umse!$B$11="4.6."),'VKr Mask'!R11,IF(OR(Umse!$B$11="6.1.",Umse!$B$11="6.2.",Umse!$B$11="6.3.",Umse!$B$11="6.4.",$A$1="6.5.",$A$1="6.6."),'LKr Mask'!R11,""))</f>
        <v/>
      </c>
    </row>
    <row r="12" spans="1:26" ht="11.25" customHeight="1">
      <c r="B12" s="306" t="str">
        <f t="shared" ref="B12:C23" si="1">K12</f>
        <v/>
      </c>
      <c r="C12" s="322" t="str">
        <f t="shared" si="1"/>
        <v/>
      </c>
      <c r="D12" s="308">
        <f>IF(OR(Umse!$C$24=0,Umse!$B$11=0),0,IF(OR(Umse!$B$11="3.1.",Umse!$B$11="3.2.",Umse!$B$11="3.5.",Umse!$B$11="3.6.",Umse!$B$11="3.9.",Umse!$B$11="3.10.",Umse!$B$11="4.1.",Umse!$B$11="4.2.",Umse!$B$11="4.3.",Umse!$B$11="4.4.",Umse!$B$11="4.5.",Umse!$B$11="4.6."),'VKr Mask'!D12,IF(OR(Umse!$B$11="6.1.",Umse!$B$11="6.2.",Umse!$B$11="6.3.",Umse!$B$11="6.4.",$A$1="6.5.",$A$1="6.6."),'LKr Mask'!D12,0)))</f>
        <v>0</v>
      </c>
      <c r="E12" s="308">
        <f>IF(OR(Umse!$C$24=0,Umse!$B$11=0),0,IF(OR(Umse!$B$11="3.1.",Umse!$B$11="3.2.",Umse!$B$11="3.5.",Umse!$B$11="3.6.",Umse!$B$11="3.9.",Umse!$B$11="3.10.",Umse!$B$11="4.1.",Umse!$B$11="4.2.",Umse!$B$11="4.3.",Umse!$B$11="4.4.",Umse!$B$11="4.5.",Umse!$B$11="4.6."),'VKr Mask'!E12,IF(OR(Umse!$B$11="6.1.",Umse!$B$11="6.2.",Umse!$B$11="6.3.",Umse!$B$11="6.4.",$A$1="6.5.",$A$1="6.6."),'LKr Mask'!E12,0)))</f>
        <v>0</v>
      </c>
      <c r="F12" s="308">
        <f>IF(OR(Umse!$C$24=0,Umse!$B$11=0),0,IF(OR(Umse!$B$11="3.1.",Umse!$B$11="3.2.",Umse!$B$11="3.5.",Umse!$B$11="3.6.",Umse!$B$11="3.9.",Umse!$B$11="3.10.",Umse!$B$11="4.1.",Umse!$B$11="4.2.",Umse!$B$11="4.3.",Umse!$B$11="4.4.",Umse!$B$11="4.5.",Umse!$B$11="4.6."),'VKr Mask'!F12,IF(OR(Umse!$B$11="6.1.",Umse!$B$11="6.2.",Umse!$B$11="6.3.",Umse!$B$11="6.4.",$A$1="6.5.",$A$1="6.6."),'LKr Mask'!F12,0)))</f>
        <v>0</v>
      </c>
      <c r="G12" s="308">
        <f>IF(OR(Umse!$C$24=0,Umse!$B$11=0),0,IF(OR(Umse!$B$11="3.1.",Umse!$B$11="3.2.",Umse!$B$11="3.5.",Umse!$B$11="3.6.",Umse!$B$11="3.9.",Umse!$B$11="3.10.",Umse!$B$11="4.1.",Umse!$B$11="4.2.",Umse!$B$11="4.3.",Umse!$B$11="4.4.",Umse!$B$11="4.5.",Umse!$B$11="4.6."),'VKr Mask'!G12,IF(OR(Umse!$B$11="6.1.",Umse!$B$11="6.2.",Umse!$B$11="6.3.",Umse!$B$11="6.4.",$A$1="6.5.",$A$1="6.6."),'LKr Mask'!G12,0)))</f>
        <v>0</v>
      </c>
      <c r="H12" s="308">
        <f>IF(OR(Umse!$C$24=0,Umse!$B$11=0),0,IF(OR(Umse!$B$11="3.1.",Umse!$B$11="3.2.",Umse!$B$11="3.5.",Umse!$B$11="3.6.",Umse!$B$11="3.9.",Umse!$B$11="3.10.",Umse!$B$11="4.1.",Umse!$B$11="4.2.",Umse!$B$11="4.3.",Umse!$B$11="4.4.",Umse!$B$11="4.5.",Umse!$B$11="4.6."),'VKr Mask'!H12,IF(OR(Umse!$B$11="6.1.",Umse!$B$11="6.2.",Umse!$B$11="6.3.",Umse!$B$11="6.4.",$A$1="6.5.",$A$1="6.6."),'LKr Mask'!H12,0)))</f>
        <v>0</v>
      </c>
      <c r="I12" s="308">
        <f>IF(OR(Umse!$C$24=0,Umse!$B$11=0),0,IF(OR(Umse!$B$11="3.1.",Umse!$B$11="3.2.",Umse!$B$11="3.5.",Umse!$B$11="3.6.",Umse!$B$11="3.9.",Umse!$B$11="3.10.",Umse!$B$11="4.1.",Umse!$B$11="4.2.",Umse!$B$11="4.3.",Umse!$B$11="4.4.",Umse!$B$11="4.5.",Umse!$B$11="4.6."),'VKr Mask'!I12,IF(OR(Umse!$B$11="6.1.",Umse!$B$11="6.2.",Umse!$B$11="6.3.",Umse!$B$11="6.4.",$A$1="6.5.",$A$1="6.6."),'LKr Mask'!I12,0)))</f>
        <v>0</v>
      </c>
      <c r="J12" s="307" t="str">
        <f>IF(OR(Umse!$B$11="3.1.",Umse!$B$11="3.2.",Umse!$B$11="4.1.",Umse!$B$11="4.2.",Umse!$B$11="4.3.",Umse!$B$11="4.4.",Umse!$B$11="4.5.",Umse!$B$11="4.6."),'VKr Mask'!J12,IF(OR(Umse!$B$11="6.1.",Umse!$B$11="6.2.",Umse!$B$11="6.3.",Umse!$B$11="6.4."),'LKr Mask'!J12,""))</f>
        <v/>
      </c>
      <c r="K12" s="306" t="str">
        <f>IF(OR(Umse!$B$11="3.1.",Umse!$B$11="3.2.",Umse!$B$11="3.5.",Umse!$B$11="3.6.",Umse!$B$11="3.9.",Umse!$B$11="3.10.",Umse!$B$11="4.1.",Umse!$B$11="4.2.",Umse!$B$11="4.3.",Umse!$B$11="4.4.",Umse!$B$11="4.5.",Umse!$B$11="4.6."),'VKr Mask'!K12,IF(OR(Umse!$B$11="6.1.",Umse!$B$11="6.2.",Umse!$B$11="6.3.",Umse!$B$11="6.4.",$A$1="6.5.",$A$1="6.6."),'LKr Mask'!K12,""))</f>
        <v/>
      </c>
      <c r="L12" s="322" t="str">
        <f>IF(OR(Umse!$B$11="3.1.",Umse!$B$11="3.2.",Umse!$B$11="3.5.",Umse!$B$11="3.6.",Umse!$B$11="3.9.",Umse!$B$11="3.10.",Umse!$B$11="4.1.",Umse!$B$11="4.2.",Umse!$B$11="4.3.",Umse!$B$11="4.4.",Umse!$B$11="4.5.",Umse!$B$11="4.6."),'VKr Mask'!L12,IF(OR(Umse!$B$11="6.1.",Umse!$B$11="6.2.",Umse!$B$11="6.3.",Umse!$B$11="6.4.",$A$1="6.5.",$A$1="6.6."),'LKr Mask'!L12,""))</f>
        <v/>
      </c>
      <c r="M12" s="308">
        <f>IF(OR(Umse!$B$11="3.1.",Umse!$B$11="3.2.",Umse!$B$11="3.5.",Umse!$B$11="3.6.",Umse!$B$11="3.9.",Umse!$B$11="3.10.",Umse!$B$11="4.1.",Umse!$B$11="4.2.",Umse!$B$11="4.3.",Umse!$B$11="4.4.",Umse!$B$11="4.5.",Umse!$B$11="4.6."),'VKr Mask'!M12,IF(OR(Umse!$B$11="6.1.",Umse!$B$11="6.2.",Umse!$B$11="6.3.",Umse!$B$11="6.4.",$A$1="6.5.",$A$1="6.6."),'LKr Mask'!M12,0))</f>
        <v>0</v>
      </c>
      <c r="N12" s="308">
        <f>IF(OR(Umse!$B$11="3.1.",Umse!$B$11="3.2.",Umse!$B$11="3.5.",Umse!$B$11="3.6.",Umse!$B$11="3.9.",Umse!$B$11="3.10.",Umse!$B$11="4.1.",Umse!$B$11="4.2.",Umse!$B$11="4.3.",Umse!$B$11="4.4.",Umse!$B$11="4.5.",Umse!$B$11="4.6."),'VKr Mask'!N12,IF(OR(Umse!$B$11="6.1.",Umse!$B$11="6.2.",Umse!$B$11="6.3.",Umse!$B$11="6.4.",$A$1="6.5.",$A$1="6.6."),'LKr Mask'!N12,0))</f>
        <v>0</v>
      </c>
      <c r="O12" s="308">
        <f>IF(OR(Umse!$B$11="3.1.",Umse!$B$11="3.2.",Umse!$B$11="3.5.",Umse!$B$11="3.6.",Umse!$B$11="3.9.",Umse!$B$11="3.10.",Umse!$B$11="4.1.",Umse!$B$11="4.2.",Umse!$B$11="4.3.",Umse!$B$11="4.4.",Umse!$B$11="4.5.",Umse!$B$11="4.6."),'VKr Mask'!O12,IF(OR(Umse!$B$11="6.1.",Umse!$B$11="6.2.",Umse!$B$11="6.3.",Umse!$B$11="6.4.",$A$1="6.5.",$A$1="6.6."),'LKr Mask'!O12,0))</f>
        <v>0</v>
      </c>
      <c r="P12" s="308">
        <f>IF(OR(Umse!$B$11="3.1.",Umse!$B$11="3.2.",Umse!$B$11="3.5.",Umse!$B$11="3.6.",Umse!$B$11="3.9.",Umse!$B$11="3.10.",Umse!$B$11="4.1.",Umse!$B$11="4.2.",Umse!$B$11="4.3.",Umse!$B$11="4.4.",Umse!$B$11="4.5.",Umse!$B$11="4.6."),'VKr Mask'!P12,IF(OR(Umse!$B$11="6.1.",Umse!$B$11="6.2.",Umse!$B$11="6.3.",Umse!$B$11="6.4.",$A$1="6.5.",$A$1="6.6."),'LKr Mask'!P12,0))</f>
        <v>0</v>
      </c>
      <c r="Q12" s="308">
        <f>IF(OR(Umse!$B$11="3.1.",Umse!$B$11="3.2.",Umse!$B$11="3.5.",Umse!$B$11="3.6.",Umse!$B$11="3.9.",Umse!$B$11="3.10.",Umse!$B$11="4.1.",Umse!$B$11="4.2.",Umse!$B$11="4.3.",Umse!$B$11="4.4.",Umse!$B$11="4.5.",Umse!$B$11="4.6."),'VKr Mask'!Q12,IF(OR(Umse!$B$11="6.1.",Umse!$B$11="6.2.",Umse!$B$11="6.3.",Umse!$B$11="6.4.",$A$1="6.5.",$A$1="6.6."),'LKr Mask'!Q12,0))</f>
        <v>0</v>
      </c>
      <c r="R12" s="308">
        <f>IF(OR(Umse!$B$11="3.1.",Umse!$B$11="3.2.",Umse!$B$11="3.5.",Umse!$B$11="3.6.",Umse!$B$11="3.9.",Umse!$B$11="3.10.",Umse!$B$11="4.1.",Umse!$B$11="4.2.",Umse!$B$11="4.3.",Umse!$B$11="4.4.",Umse!$B$11="4.5.",Umse!$B$11="4.6."),'VKr Mask'!R12,IF(OR(Umse!$B$11="6.1.",Umse!$B$11="6.2.",Umse!$B$11="6.3.",Umse!$B$11="6.4.",$A$1="6.5.",$A$1="6.6."),'LKr Mask'!R12,0))</f>
        <v>0</v>
      </c>
    </row>
    <row r="13" spans="1:26" ht="11.25" customHeight="1">
      <c r="B13" s="306" t="str">
        <f t="shared" si="1"/>
        <v/>
      </c>
      <c r="C13" s="322" t="str">
        <f t="shared" si="1"/>
        <v/>
      </c>
      <c r="D13" s="308">
        <f>IF(OR(Umse!$C$24=0,Umse!$B$11=0),0,IF(OR(Umse!$B$11="3.1.",Umse!$B$11="3.2.",Umse!$B$11="3.5.",Umse!$B$11="3.6.",Umse!$B$11="3.9.",Umse!$B$11="3.10.",Umse!$B$11="4.1.",Umse!$B$11="4.2.",Umse!$B$11="4.3.",Umse!$B$11="4.4.",Umse!$B$11="4.5.",Umse!$B$11="4.6."),'VKr Mask'!D13,IF(OR(Umse!$B$11="6.1.",Umse!$B$11="6.2.",Umse!$B$11="6.3.",Umse!$B$11="6.4.",$A$1="6.5.",$A$1="6.6."),'LKr Mask'!D13,0)))</f>
        <v>0</v>
      </c>
      <c r="E13" s="308">
        <f>IF(OR(Umse!$C$24=0,Umse!$B$11=0),0,IF(OR(Umse!$B$11="3.1.",Umse!$B$11="3.2.",Umse!$B$11="3.5.",Umse!$B$11="3.6.",Umse!$B$11="3.9.",Umse!$B$11="3.10.",Umse!$B$11="4.1.",Umse!$B$11="4.2.",Umse!$B$11="4.3.",Umse!$B$11="4.4.",Umse!$B$11="4.5.",Umse!$B$11="4.6."),'VKr Mask'!E13,IF(OR(Umse!$B$11="6.1.",Umse!$B$11="6.2.",Umse!$B$11="6.3.",Umse!$B$11="6.4.",$A$1="6.5.",$A$1="6.6."),'LKr Mask'!E13,0)))</f>
        <v>0</v>
      </c>
      <c r="F13" s="308">
        <f>IF(OR(Umse!$C$24=0,Umse!$B$11=0),0,IF(OR(Umse!$B$11="3.1.",Umse!$B$11="3.2.",Umse!$B$11="3.5.",Umse!$B$11="3.6.",Umse!$B$11="3.9.",Umse!$B$11="3.10.",Umse!$B$11="4.1.",Umse!$B$11="4.2.",Umse!$B$11="4.3.",Umse!$B$11="4.4.",Umse!$B$11="4.5.",Umse!$B$11="4.6."),'VKr Mask'!F13,IF(OR(Umse!$B$11="6.1.",Umse!$B$11="6.2.",Umse!$B$11="6.3.",Umse!$B$11="6.4.",$A$1="6.5.",$A$1="6.6."),'LKr Mask'!F13,0)))</f>
        <v>0</v>
      </c>
      <c r="G13" s="308">
        <f>IF(OR(Umse!$C$24=0,Umse!$B$11=0),0,IF(OR(Umse!$B$11="3.1.",Umse!$B$11="3.2.",Umse!$B$11="3.5.",Umse!$B$11="3.6.",Umse!$B$11="3.9.",Umse!$B$11="3.10.",Umse!$B$11="4.1.",Umse!$B$11="4.2.",Umse!$B$11="4.3.",Umse!$B$11="4.4.",Umse!$B$11="4.5.",Umse!$B$11="4.6."),'VKr Mask'!G13,IF(OR(Umse!$B$11="6.1.",Umse!$B$11="6.2.",Umse!$B$11="6.3.",Umse!$B$11="6.4.",$A$1="6.5.",$A$1="6.6."),'LKr Mask'!G13,0)))</f>
        <v>0</v>
      </c>
      <c r="H13" s="308">
        <f>IF(OR(Umse!$C$24=0,Umse!$B$11=0),0,IF(OR(Umse!$B$11="3.1.",Umse!$B$11="3.2.",Umse!$B$11="3.5.",Umse!$B$11="3.6.",Umse!$B$11="3.9.",Umse!$B$11="3.10.",Umse!$B$11="4.1.",Umse!$B$11="4.2.",Umse!$B$11="4.3.",Umse!$B$11="4.4.",Umse!$B$11="4.5.",Umse!$B$11="4.6."),'VKr Mask'!H13,IF(OR(Umse!$B$11="6.1.",Umse!$B$11="6.2.",Umse!$B$11="6.3.",Umse!$B$11="6.4.",$A$1="6.5.",$A$1="6.6."),'LKr Mask'!H13,0)))</f>
        <v>0</v>
      </c>
      <c r="I13" s="308">
        <f>IF(OR(Umse!$C$24=0,Umse!$B$11=0),0,IF(OR(Umse!$B$11="3.1.",Umse!$B$11="3.2.",Umse!$B$11="3.5.",Umse!$B$11="3.6.",Umse!$B$11="3.9.",Umse!$B$11="3.10.",Umse!$B$11="4.1.",Umse!$B$11="4.2.",Umse!$B$11="4.3.",Umse!$B$11="4.4.",Umse!$B$11="4.5.",Umse!$B$11="4.6."),'VKr Mask'!I13,IF(OR(Umse!$B$11="6.1.",Umse!$B$11="6.2.",Umse!$B$11="6.3.",Umse!$B$11="6.4.",$A$1="6.5.",$A$1="6.6."),'LKr Mask'!I13,0)))</f>
        <v>0</v>
      </c>
      <c r="J13" s="307" t="str">
        <f>IF(OR(Umse!$B$11="3.1.",Umse!$B$11="3.2.",Umse!$B$11="4.1.",Umse!$B$11="4.2.",Umse!$B$11="4.3.",Umse!$B$11="4.4.",Umse!$B$11="4.5.",Umse!$B$11="4.6."),'VKr Mask'!J13,IF(OR(Umse!$B$11="6.1.",Umse!$B$11="6.2.",Umse!$B$11="6.3.",Umse!$B$11="6.4."),'LKr Mask'!J13,""))</f>
        <v/>
      </c>
      <c r="K13" s="306" t="str">
        <f>IF(OR(Umse!$B$11="3.1.",Umse!$B$11="3.2.",Umse!$B$11="3.5.",Umse!$B$11="3.6.",Umse!$B$11="3.9.",Umse!$B$11="3.10.",Umse!$B$11="4.1.",Umse!$B$11="4.2.",Umse!$B$11="4.3.",Umse!$B$11="4.4.",Umse!$B$11="4.5.",Umse!$B$11="4.6."),'VKr Mask'!K13,IF(OR(Umse!$B$11="6.1.",Umse!$B$11="6.2.",Umse!$B$11="6.3.",Umse!$B$11="6.4.",$A$1="6.5.",$A$1="6.6."),'LKr Mask'!K13,""))</f>
        <v/>
      </c>
      <c r="L13" s="322" t="str">
        <f>IF(OR(Umse!$B$11="3.1.",Umse!$B$11="3.2.",Umse!$B$11="3.5.",Umse!$B$11="3.6.",Umse!$B$11="3.9.",Umse!$B$11="3.10.",Umse!$B$11="4.1.",Umse!$B$11="4.2.",Umse!$B$11="4.3.",Umse!$B$11="4.4.",Umse!$B$11="4.5.",Umse!$B$11="4.6."),'VKr Mask'!L13,IF(OR(Umse!$B$11="6.1.",Umse!$B$11="6.2.",Umse!$B$11="6.3.",Umse!$B$11="6.4.",$A$1="6.5.",$A$1="6.6."),'LKr Mask'!L13,""))</f>
        <v/>
      </c>
      <c r="M13" s="308">
        <f>IF(OR(Umse!$B$11="3.1.",Umse!$B$11="3.2.",Umse!$B$11="3.5.",Umse!$B$11="3.6.",Umse!$B$11="3.9.",Umse!$B$11="3.10.",Umse!$B$11="4.1.",Umse!$B$11="4.2.",Umse!$B$11="4.3.",Umse!$B$11="4.4.",Umse!$B$11="4.5.",Umse!$B$11="4.6."),'VKr Mask'!M13,IF(OR(Umse!$B$11="6.1.",Umse!$B$11="6.2.",Umse!$B$11="6.3.",Umse!$B$11="6.4.",$A$1="6.5.",$A$1="6.6."),'LKr Mask'!M13,0))</f>
        <v>0</v>
      </c>
      <c r="N13" s="308">
        <f>IF(OR(Umse!$B$11="3.1.",Umse!$B$11="3.2.",Umse!$B$11="3.5.",Umse!$B$11="3.6.",Umse!$B$11="3.9.",Umse!$B$11="3.10.",Umse!$B$11="4.1.",Umse!$B$11="4.2.",Umse!$B$11="4.3.",Umse!$B$11="4.4.",Umse!$B$11="4.5.",Umse!$B$11="4.6."),'VKr Mask'!N13,IF(OR(Umse!$B$11="6.1.",Umse!$B$11="6.2.",Umse!$B$11="6.3.",Umse!$B$11="6.4.",$A$1="6.5.",$A$1="6.6."),'LKr Mask'!N13,0))</f>
        <v>0</v>
      </c>
      <c r="O13" s="308">
        <f>IF(OR(Umse!$B$11="3.1.",Umse!$B$11="3.2.",Umse!$B$11="3.5.",Umse!$B$11="3.6.",Umse!$B$11="3.9.",Umse!$B$11="3.10.",Umse!$B$11="4.1.",Umse!$B$11="4.2.",Umse!$B$11="4.3.",Umse!$B$11="4.4.",Umse!$B$11="4.5.",Umse!$B$11="4.6."),'VKr Mask'!O13,IF(OR(Umse!$B$11="6.1.",Umse!$B$11="6.2.",Umse!$B$11="6.3.",Umse!$B$11="6.4.",$A$1="6.5.",$A$1="6.6."),'LKr Mask'!O13,0))</f>
        <v>0</v>
      </c>
      <c r="P13" s="308">
        <f>IF(OR(Umse!$B$11="3.1.",Umse!$B$11="3.2.",Umse!$B$11="3.5.",Umse!$B$11="3.6.",Umse!$B$11="3.9.",Umse!$B$11="3.10.",Umse!$B$11="4.1.",Umse!$B$11="4.2.",Umse!$B$11="4.3.",Umse!$B$11="4.4.",Umse!$B$11="4.5.",Umse!$B$11="4.6."),'VKr Mask'!P13,IF(OR(Umse!$B$11="6.1.",Umse!$B$11="6.2.",Umse!$B$11="6.3.",Umse!$B$11="6.4.",$A$1="6.5.",$A$1="6.6."),'LKr Mask'!P13,0))</f>
        <v>0</v>
      </c>
      <c r="Q13" s="308">
        <f>IF(OR(Umse!$B$11="3.1.",Umse!$B$11="3.2.",Umse!$B$11="3.5.",Umse!$B$11="3.6.",Umse!$B$11="3.9.",Umse!$B$11="3.10.",Umse!$B$11="4.1.",Umse!$B$11="4.2.",Umse!$B$11="4.3.",Umse!$B$11="4.4.",Umse!$B$11="4.5.",Umse!$B$11="4.6."),'VKr Mask'!Q13,IF(OR(Umse!$B$11="6.1.",Umse!$B$11="6.2.",Umse!$B$11="6.3.",Umse!$B$11="6.4.",$A$1="6.5.",$A$1="6.6."),'LKr Mask'!Q13,0))</f>
        <v>0</v>
      </c>
      <c r="R13" s="308">
        <f>IF(OR(Umse!$B$11="3.1.",Umse!$B$11="3.2.",Umse!$B$11="3.5.",Umse!$B$11="3.6.",Umse!$B$11="3.9.",Umse!$B$11="3.10.",Umse!$B$11="4.1.",Umse!$B$11="4.2.",Umse!$B$11="4.3.",Umse!$B$11="4.4.",Umse!$B$11="4.5.",Umse!$B$11="4.6."),'VKr Mask'!R13,IF(OR(Umse!$B$11="6.1.",Umse!$B$11="6.2.",Umse!$B$11="6.3.",Umse!$B$11="6.4.",$A$1="6.5.",$A$1="6.6."),'LKr Mask'!R13,0))</f>
        <v>0</v>
      </c>
    </row>
    <row r="14" spans="1:26" ht="11.25" customHeight="1">
      <c r="B14" s="306" t="str">
        <f t="shared" si="1"/>
        <v/>
      </c>
      <c r="C14" s="322" t="str">
        <f t="shared" si="1"/>
        <v/>
      </c>
      <c r="D14" s="308">
        <f>IF(OR(Umse!$C$24=0,Umse!$B$11=0),0,IF(OR(Umse!$B$11="3.1.",Umse!$B$11="3.2.",Umse!$B$11="3.5.",Umse!$B$11="3.6.",Umse!$B$11="3.9.",Umse!$B$11="3.10.",Umse!$B$11="4.1.",Umse!$B$11="4.2.",Umse!$B$11="4.3.",Umse!$B$11="4.4.",Umse!$B$11="4.5.",Umse!$B$11="4.6."),'VKr Mask'!D14,IF(OR(Umse!$B$11="6.1.",Umse!$B$11="6.2.",Umse!$B$11="6.3.",Umse!$B$11="6.4.",$A$1="6.5.",$A$1="6.6."),'LKr Mask'!D14,0)))</f>
        <v>0</v>
      </c>
      <c r="E14" s="308">
        <f>IF(OR(Umse!$C$24=0,Umse!$B$11=0),0,IF(OR(Umse!$B$11="3.1.",Umse!$B$11="3.2.",Umse!$B$11="3.5.",Umse!$B$11="3.6.",Umse!$B$11="3.9.",Umse!$B$11="3.10.",Umse!$B$11="4.1.",Umse!$B$11="4.2.",Umse!$B$11="4.3.",Umse!$B$11="4.4.",Umse!$B$11="4.5.",Umse!$B$11="4.6."),'VKr Mask'!E14,IF(OR(Umse!$B$11="6.1.",Umse!$B$11="6.2.",Umse!$B$11="6.3.",Umse!$B$11="6.4.",$A$1="6.5.",$A$1="6.6."),'LKr Mask'!E14,0)))</f>
        <v>0</v>
      </c>
      <c r="F14" s="308">
        <f>IF(OR(Umse!$C$24=0,Umse!$B$11=0),0,IF(OR(Umse!$B$11="3.1.",Umse!$B$11="3.2.",Umse!$B$11="3.5.",Umse!$B$11="3.6.",Umse!$B$11="3.9.",Umse!$B$11="3.10.",Umse!$B$11="4.1.",Umse!$B$11="4.2.",Umse!$B$11="4.3.",Umse!$B$11="4.4.",Umse!$B$11="4.5.",Umse!$B$11="4.6."),'VKr Mask'!F14,IF(OR(Umse!$B$11="6.1.",Umse!$B$11="6.2.",Umse!$B$11="6.3.",Umse!$B$11="6.4.",$A$1="6.5.",$A$1="6.6."),'LKr Mask'!F14,0)))</f>
        <v>0</v>
      </c>
      <c r="G14" s="308">
        <f>IF(OR(Umse!$C$24=0,Umse!$B$11=0),0,IF(OR(Umse!$B$11="3.1.",Umse!$B$11="3.2.",Umse!$B$11="3.5.",Umse!$B$11="3.6.",Umse!$B$11="3.9.",Umse!$B$11="3.10.",Umse!$B$11="4.1.",Umse!$B$11="4.2.",Umse!$B$11="4.3.",Umse!$B$11="4.4.",Umse!$B$11="4.5.",Umse!$B$11="4.6."),'VKr Mask'!G14,IF(OR(Umse!$B$11="6.1.",Umse!$B$11="6.2.",Umse!$B$11="6.3.",Umse!$B$11="6.4.",$A$1="6.5.",$A$1="6.6."),'LKr Mask'!G14,0)))</f>
        <v>0</v>
      </c>
      <c r="H14" s="308">
        <f>IF(OR(Umse!$C$24=0,Umse!$B$11=0),0,IF(OR(Umse!$B$11="3.1.",Umse!$B$11="3.2.",Umse!$B$11="3.5.",Umse!$B$11="3.6.",Umse!$B$11="3.9.",Umse!$B$11="3.10.",Umse!$B$11="4.1.",Umse!$B$11="4.2.",Umse!$B$11="4.3.",Umse!$B$11="4.4.",Umse!$B$11="4.5.",Umse!$B$11="4.6."),'VKr Mask'!H14,IF(OR(Umse!$B$11="6.1.",Umse!$B$11="6.2.",Umse!$B$11="6.3.",Umse!$B$11="6.4.",$A$1="6.5.",$A$1="6.6."),'LKr Mask'!H14,0)))</f>
        <v>0</v>
      </c>
      <c r="I14" s="308">
        <f>IF(OR(Umse!$C$24=0,Umse!$B$11=0),0,IF(OR(Umse!$B$11="3.1.",Umse!$B$11="3.2.",Umse!$B$11="3.5.",Umse!$B$11="3.6.",Umse!$B$11="3.9.",Umse!$B$11="3.10.",Umse!$B$11="4.1.",Umse!$B$11="4.2.",Umse!$B$11="4.3.",Umse!$B$11="4.4.",Umse!$B$11="4.5.",Umse!$B$11="4.6."),'VKr Mask'!I14,IF(OR(Umse!$B$11="6.1.",Umse!$B$11="6.2.",Umse!$B$11="6.3.",Umse!$B$11="6.4.",$A$1="6.5.",$A$1="6.6."),'LKr Mask'!I14,0)))</f>
        <v>0</v>
      </c>
      <c r="J14" s="307" t="str">
        <f>IF(OR(Umse!$B$11="3.1.",Umse!$B$11="3.2.",Umse!$B$11="4.1.",Umse!$B$11="4.2.",Umse!$B$11="4.3.",Umse!$B$11="4.4.",Umse!$B$11="4.5.",Umse!$B$11="4.6."),'VKr Mask'!J14,IF(OR(Umse!$B$11="6.1.",Umse!$B$11="6.2.",Umse!$B$11="6.3.",Umse!$B$11="6.4."),'LKr Mask'!J14,""))</f>
        <v/>
      </c>
      <c r="K14" s="306" t="str">
        <f>IF(OR(Umse!$B$11="3.1.",Umse!$B$11="3.2.",Umse!$B$11="3.5.",Umse!$B$11="3.6.",Umse!$B$11="3.9.",Umse!$B$11="3.10.",Umse!$B$11="4.1.",Umse!$B$11="4.2.",Umse!$B$11="4.3.",Umse!$B$11="4.4.",Umse!$B$11="4.5.",Umse!$B$11="4.6."),'VKr Mask'!K14,IF(OR(Umse!$B$11="6.1.",Umse!$B$11="6.2.",Umse!$B$11="6.3.",Umse!$B$11="6.4.",$A$1="6.5.",$A$1="6.6."),'LKr Mask'!K14,""))</f>
        <v/>
      </c>
      <c r="L14" s="322" t="str">
        <f>IF(OR(Umse!$B$11="3.1.",Umse!$B$11="3.2.",Umse!$B$11="3.5.",Umse!$B$11="3.6.",Umse!$B$11="3.9.",Umse!$B$11="3.10.",Umse!$B$11="4.1.",Umse!$B$11="4.2.",Umse!$B$11="4.3.",Umse!$B$11="4.4.",Umse!$B$11="4.5.",Umse!$B$11="4.6."),'VKr Mask'!L14,IF(OR(Umse!$B$11="6.1.",Umse!$B$11="6.2.",Umse!$B$11="6.3.",Umse!$B$11="6.4.",$A$1="6.5.",$A$1="6.6."),'LKr Mask'!L14,""))</f>
        <v/>
      </c>
      <c r="M14" s="308">
        <f>IF(OR(Umse!$B$11="3.1.",Umse!$B$11="3.2.",Umse!$B$11="3.5.",Umse!$B$11="3.6.",Umse!$B$11="3.9.",Umse!$B$11="3.10.",Umse!$B$11="4.1.",Umse!$B$11="4.2.",Umse!$B$11="4.3.",Umse!$B$11="4.4.",Umse!$B$11="4.5.",Umse!$B$11="4.6."),'VKr Mask'!M14,IF(OR(Umse!$B$11="6.1.",Umse!$B$11="6.2.",Umse!$B$11="6.3.",Umse!$B$11="6.4.",$A$1="6.5.",$A$1="6.6."),'LKr Mask'!M14,0))</f>
        <v>0</v>
      </c>
      <c r="N14" s="308">
        <f>IF(OR(Umse!$B$11="3.1.",Umse!$B$11="3.2.",Umse!$B$11="3.5.",Umse!$B$11="3.6.",Umse!$B$11="3.9.",Umse!$B$11="3.10.",Umse!$B$11="4.1.",Umse!$B$11="4.2.",Umse!$B$11="4.3.",Umse!$B$11="4.4.",Umse!$B$11="4.5.",Umse!$B$11="4.6."),'VKr Mask'!N14,IF(OR(Umse!$B$11="6.1.",Umse!$B$11="6.2.",Umse!$B$11="6.3.",Umse!$B$11="6.4.",$A$1="6.5.",$A$1="6.6."),'LKr Mask'!N14,0))</f>
        <v>0</v>
      </c>
      <c r="O14" s="308">
        <f>IF(OR(Umse!$B$11="3.1.",Umse!$B$11="3.2.",Umse!$B$11="3.5.",Umse!$B$11="3.6.",Umse!$B$11="3.9.",Umse!$B$11="3.10.",Umse!$B$11="4.1.",Umse!$B$11="4.2.",Umse!$B$11="4.3.",Umse!$B$11="4.4.",Umse!$B$11="4.5.",Umse!$B$11="4.6."),'VKr Mask'!O14,IF(OR(Umse!$B$11="6.1.",Umse!$B$11="6.2.",Umse!$B$11="6.3.",Umse!$B$11="6.4.",$A$1="6.5.",$A$1="6.6."),'LKr Mask'!O14,0))</f>
        <v>0</v>
      </c>
      <c r="P14" s="308">
        <f>IF(OR(Umse!$B$11="3.1.",Umse!$B$11="3.2.",Umse!$B$11="3.5.",Umse!$B$11="3.6.",Umse!$B$11="3.9.",Umse!$B$11="3.10.",Umse!$B$11="4.1.",Umse!$B$11="4.2.",Umse!$B$11="4.3.",Umse!$B$11="4.4.",Umse!$B$11="4.5.",Umse!$B$11="4.6."),'VKr Mask'!P14,IF(OR(Umse!$B$11="6.1.",Umse!$B$11="6.2.",Umse!$B$11="6.3.",Umse!$B$11="6.4.",$A$1="6.5.",$A$1="6.6."),'LKr Mask'!P14,0))</f>
        <v>0</v>
      </c>
      <c r="Q14" s="308">
        <f>IF(OR(Umse!$B$11="3.1.",Umse!$B$11="3.2.",Umse!$B$11="3.5.",Umse!$B$11="3.6.",Umse!$B$11="3.9.",Umse!$B$11="3.10.",Umse!$B$11="4.1.",Umse!$B$11="4.2.",Umse!$B$11="4.3.",Umse!$B$11="4.4.",Umse!$B$11="4.5.",Umse!$B$11="4.6."),'VKr Mask'!Q14,IF(OR(Umse!$B$11="6.1.",Umse!$B$11="6.2.",Umse!$B$11="6.3.",Umse!$B$11="6.4.",$A$1="6.5.",$A$1="6.6."),'LKr Mask'!Q14,0))</f>
        <v>0</v>
      </c>
      <c r="R14" s="308">
        <f>IF(OR(Umse!$B$11="3.1.",Umse!$B$11="3.2.",Umse!$B$11="3.5.",Umse!$B$11="3.6.",Umse!$B$11="3.9.",Umse!$B$11="3.10.",Umse!$B$11="4.1.",Umse!$B$11="4.2.",Umse!$B$11="4.3.",Umse!$B$11="4.4.",Umse!$B$11="4.5.",Umse!$B$11="4.6."),'VKr Mask'!R14,IF(OR(Umse!$B$11="6.1.",Umse!$B$11="6.2.",Umse!$B$11="6.3.",Umse!$B$11="6.4.",$A$1="6.5.",$A$1="6.6."),'LKr Mask'!R14,0))</f>
        <v>0</v>
      </c>
    </row>
    <row r="15" spans="1:26" ht="11.25" customHeight="1">
      <c r="B15" s="306" t="str">
        <f t="shared" si="1"/>
        <v/>
      </c>
      <c r="C15" s="322" t="str">
        <f t="shared" si="1"/>
        <v/>
      </c>
      <c r="D15" s="308">
        <f>IF(OR(Umse!$C$24=0,Umse!$B$11=0),0,IF(OR(Umse!$B$11="3.1.",Umse!$B$11="3.2.",Umse!$B$11="3.5.",Umse!$B$11="3.6.",Umse!$B$11="3.9.",Umse!$B$11="3.10.",Umse!$B$11="4.1.",Umse!$B$11="4.2.",Umse!$B$11="4.3.",Umse!$B$11="4.4.",Umse!$B$11="4.5.",Umse!$B$11="4.6."),'VKr Mask'!D15,IF(OR(Umse!$B$11="6.1.",Umse!$B$11="6.2.",Umse!$B$11="6.3.",Umse!$B$11="6.4.",$A$1="6.5.",$A$1="6.6."),'LKr Mask'!D15,0)))</f>
        <v>0</v>
      </c>
      <c r="E15" s="308">
        <f>IF(OR(Umse!$C$24=0,Umse!$B$11=0),0,IF(OR(Umse!$B$11="3.1.",Umse!$B$11="3.2.",Umse!$B$11="3.5.",Umse!$B$11="3.6.",Umse!$B$11="3.9.",Umse!$B$11="3.10.",Umse!$B$11="4.1.",Umse!$B$11="4.2.",Umse!$B$11="4.3.",Umse!$B$11="4.4.",Umse!$B$11="4.5.",Umse!$B$11="4.6."),'VKr Mask'!E15,IF(OR(Umse!$B$11="6.1.",Umse!$B$11="6.2.",Umse!$B$11="6.3.",Umse!$B$11="6.4.",$A$1="6.5.",$A$1="6.6."),'LKr Mask'!E15,0)))</f>
        <v>0</v>
      </c>
      <c r="F15" s="308">
        <f>IF(OR(Umse!$C$24=0,Umse!$B$11=0),0,IF(OR(Umse!$B$11="3.1.",Umse!$B$11="3.2.",Umse!$B$11="3.5.",Umse!$B$11="3.6.",Umse!$B$11="3.9.",Umse!$B$11="3.10.",Umse!$B$11="4.1.",Umse!$B$11="4.2.",Umse!$B$11="4.3.",Umse!$B$11="4.4.",Umse!$B$11="4.5.",Umse!$B$11="4.6."),'VKr Mask'!F15,IF(OR(Umse!$B$11="6.1.",Umse!$B$11="6.2.",Umse!$B$11="6.3.",Umse!$B$11="6.4.",$A$1="6.5.",$A$1="6.6."),'LKr Mask'!F15,0)))</f>
        <v>0</v>
      </c>
      <c r="G15" s="308">
        <f>IF(OR(Umse!$C$24=0,Umse!$B$11=0),0,IF(OR(Umse!$B$11="3.1.",Umse!$B$11="3.2.",Umse!$B$11="3.5.",Umse!$B$11="3.6.",Umse!$B$11="3.9.",Umse!$B$11="3.10.",Umse!$B$11="4.1.",Umse!$B$11="4.2.",Umse!$B$11="4.3.",Umse!$B$11="4.4.",Umse!$B$11="4.5.",Umse!$B$11="4.6."),'VKr Mask'!G15,IF(OR(Umse!$B$11="6.1.",Umse!$B$11="6.2.",Umse!$B$11="6.3.",Umse!$B$11="6.4.",$A$1="6.5.",$A$1="6.6."),'LKr Mask'!G15,0)))</f>
        <v>0</v>
      </c>
      <c r="H15" s="308">
        <f>IF(OR(Umse!$C$24=0,Umse!$B$11=0),0,IF(OR(Umse!$B$11="3.1.",Umse!$B$11="3.2.",Umse!$B$11="3.5.",Umse!$B$11="3.6.",Umse!$B$11="3.9.",Umse!$B$11="3.10.",Umse!$B$11="4.1.",Umse!$B$11="4.2.",Umse!$B$11="4.3.",Umse!$B$11="4.4.",Umse!$B$11="4.5.",Umse!$B$11="4.6."),'VKr Mask'!H15,IF(OR(Umse!$B$11="6.1.",Umse!$B$11="6.2.",Umse!$B$11="6.3.",Umse!$B$11="6.4.",$A$1="6.5.",$A$1="6.6."),'LKr Mask'!H15,0)))</f>
        <v>0</v>
      </c>
      <c r="I15" s="308">
        <f>IF(OR(Umse!$C$24=0,Umse!$B$11=0),0,IF(OR(Umse!$B$11="3.1.",Umse!$B$11="3.2.",Umse!$B$11="3.5.",Umse!$B$11="3.6.",Umse!$B$11="3.9.",Umse!$B$11="3.10.",Umse!$B$11="4.1.",Umse!$B$11="4.2.",Umse!$B$11="4.3.",Umse!$B$11="4.4.",Umse!$B$11="4.5.",Umse!$B$11="4.6."),'VKr Mask'!I15,IF(OR(Umse!$B$11="6.1.",Umse!$B$11="6.2.",Umse!$B$11="6.3.",Umse!$B$11="6.4.",$A$1="6.5.",$A$1="6.6."),'LKr Mask'!I15,0)))</f>
        <v>0</v>
      </c>
      <c r="J15" s="307" t="str">
        <f>IF(OR(Umse!$B$11="3.1.",Umse!$B$11="3.2.",Umse!$B$11="4.1.",Umse!$B$11="4.2.",Umse!$B$11="4.3.",Umse!$B$11="4.4.",Umse!$B$11="4.5.",Umse!$B$11="4.6."),'VKr Mask'!J15,IF(OR(Umse!$B$11="6.1.",Umse!$B$11="6.2.",Umse!$B$11="6.3.",Umse!$B$11="6.4."),'LKr Mask'!J15,""))</f>
        <v/>
      </c>
      <c r="K15" s="306" t="str">
        <f>IF(OR(Umse!$B$11="3.1.",Umse!$B$11="3.2.",Umse!$B$11="3.5.",Umse!$B$11="3.6.",Umse!$B$11="3.9.",Umse!$B$11="3.10.",Umse!$B$11="4.1.",Umse!$B$11="4.2.",Umse!$B$11="4.3.",Umse!$B$11="4.4.",Umse!$B$11="4.5.",Umse!$B$11="4.6."),'VKr Mask'!K15,IF(OR(Umse!$B$11="6.1.",Umse!$B$11="6.2.",Umse!$B$11="6.3.",Umse!$B$11="6.4.",$A$1="6.5.",$A$1="6.6."),'LKr Mask'!K15,""))</f>
        <v/>
      </c>
      <c r="L15" s="322" t="str">
        <f>IF(OR(Umse!$B$11="3.1.",Umse!$B$11="3.2.",Umse!$B$11="3.5.",Umse!$B$11="3.6.",Umse!$B$11="3.9.",Umse!$B$11="3.10.",Umse!$B$11="4.1.",Umse!$B$11="4.2.",Umse!$B$11="4.3.",Umse!$B$11="4.4.",Umse!$B$11="4.5.",Umse!$B$11="4.6."),'VKr Mask'!L15,IF(OR(Umse!$B$11="6.1.",Umse!$B$11="6.2.",Umse!$B$11="6.3.",Umse!$B$11="6.4.",$A$1="6.5.",$A$1="6.6."),'LKr Mask'!L15,""))</f>
        <v/>
      </c>
      <c r="M15" s="308">
        <f>IF(OR(Umse!$B$11="3.1.",Umse!$B$11="3.2.",Umse!$B$11="3.5.",Umse!$B$11="3.6.",Umse!$B$11="3.9.",Umse!$B$11="3.10.",Umse!$B$11="4.1.",Umse!$B$11="4.2.",Umse!$B$11="4.3.",Umse!$B$11="4.4.",Umse!$B$11="4.5.",Umse!$B$11="4.6."),'VKr Mask'!M15,IF(OR(Umse!$B$11="6.1.",Umse!$B$11="6.2.",Umse!$B$11="6.3.",Umse!$B$11="6.4.",$A$1="6.5.",$A$1="6.6."),'LKr Mask'!M15,0))</f>
        <v>0</v>
      </c>
      <c r="N15" s="308">
        <f>IF(OR(Umse!$B$11="3.1.",Umse!$B$11="3.2.",Umse!$B$11="3.5.",Umse!$B$11="3.6.",Umse!$B$11="3.9.",Umse!$B$11="3.10.",Umse!$B$11="4.1.",Umse!$B$11="4.2.",Umse!$B$11="4.3.",Umse!$B$11="4.4.",Umse!$B$11="4.5.",Umse!$B$11="4.6."),'VKr Mask'!N15,IF(OR(Umse!$B$11="6.1.",Umse!$B$11="6.2.",Umse!$B$11="6.3.",Umse!$B$11="6.4.",$A$1="6.5.",$A$1="6.6."),'LKr Mask'!N15,0))</f>
        <v>0</v>
      </c>
      <c r="O15" s="308">
        <f>IF(OR(Umse!$B$11="3.1.",Umse!$B$11="3.2.",Umse!$B$11="3.5.",Umse!$B$11="3.6.",Umse!$B$11="3.9.",Umse!$B$11="3.10.",Umse!$B$11="4.1.",Umse!$B$11="4.2.",Umse!$B$11="4.3.",Umse!$B$11="4.4.",Umse!$B$11="4.5.",Umse!$B$11="4.6."),'VKr Mask'!O15,IF(OR(Umse!$B$11="6.1.",Umse!$B$11="6.2.",Umse!$B$11="6.3.",Umse!$B$11="6.4.",$A$1="6.5.",$A$1="6.6."),'LKr Mask'!O15,0))</f>
        <v>0</v>
      </c>
      <c r="P15" s="308">
        <f>IF(OR(Umse!$B$11="3.1.",Umse!$B$11="3.2.",Umse!$B$11="3.5.",Umse!$B$11="3.6.",Umse!$B$11="3.9.",Umse!$B$11="3.10.",Umse!$B$11="4.1.",Umse!$B$11="4.2.",Umse!$B$11="4.3.",Umse!$B$11="4.4.",Umse!$B$11="4.5.",Umse!$B$11="4.6."),'VKr Mask'!P15,IF(OR(Umse!$B$11="6.1.",Umse!$B$11="6.2.",Umse!$B$11="6.3.",Umse!$B$11="6.4.",$A$1="6.5.",$A$1="6.6."),'LKr Mask'!P15,0))</f>
        <v>0</v>
      </c>
      <c r="Q15" s="308">
        <f>IF(OR(Umse!$B$11="3.1.",Umse!$B$11="3.2.",Umse!$B$11="3.5.",Umse!$B$11="3.6.",Umse!$B$11="3.9.",Umse!$B$11="3.10.",Umse!$B$11="4.1.",Umse!$B$11="4.2.",Umse!$B$11="4.3.",Umse!$B$11="4.4.",Umse!$B$11="4.5.",Umse!$B$11="4.6."),'VKr Mask'!Q15,IF(OR(Umse!$B$11="6.1.",Umse!$B$11="6.2.",Umse!$B$11="6.3.",Umse!$B$11="6.4.",$A$1="6.5.",$A$1="6.6."),'LKr Mask'!Q15,0))</f>
        <v>0</v>
      </c>
      <c r="R15" s="308">
        <f>IF(OR(Umse!$B$11="3.1.",Umse!$B$11="3.2.",Umse!$B$11="3.5.",Umse!$B$11="3.6.",Umse!$B$11="3.9.",Umse!$B$11="3.10.",Umse!$B$11="4.1.",Umse!$B$11="4.2.",Umse!$B$11="4.3.",Umse!$B$11="4.4.",Umse!$B$11="4.5.",Umse!$B$11="4.6."),'VKr Mask'!R15,IF(OR(Umse!$B$11="6.1.",Umse!$B$11="6.2.",Umse!$B$11="6.3.",Umse!$B$11="6.4.",$A$1="6.5.",$A$1="6.6."),'LKr Mask'!R15,0))</f>
        <v>0</v>
      </c>
    </row>
    <row r="16" spans="1:26" ht="11.25" customHeight="1">
      <c r="B16" s="306" t="str">
        <f t="shared" si="1"/>
        <v/>
      </c>
      <c r="C16" s="322" t="str">
        <f t="shared" si="1"/>
        <v/>
      </c>
      <c r="D16" s="308">
        <f>IF(OR(Umse!$C$24=0,Umse!$B$11=0),0,IF(OR(Umse!$B$11="3.1.",Umse!$B$11="3.2.",Umse!$B$11="3.5.",Umse!$B$11="3.6.",Umse!$B$11="3.9.",Umse!$B$11="3.10.",Umse!$B$11="4.1.",Umse!$B$11="4.2.",Umse!$B$11="4.3.",Umse!$B$11="4.4.",Umse!$B$11="4.5.",Umse!$B$11="4.6."),'VKr Mask'!D16,IF(OR(Umse!$B$11="6.1.",Umse!$B$11="6.2.",Umse!$B$11="6.3.",Umse!$B$11="6.4.",$A$1="6.5.",$A$1="6.6."),'LKr Mask'!D16,0)))</f>
        <v>0</v>
      </c>
      <c r="E16" s="308">
        <f>IF(OR(Umse!$C$24=0,Umse!$B$11=0),0,IF(OR(Umse!$B$11="3.1.",Umse!$B$11="3.2.",Umse!$B$11="3.5.",Umse!$B$11="3.6.",Umse!$B$11="3.9.",Umse!$B$11="3.10.",Umse!$B$11="4.1.",Umse!$B$11="4.2.",Umse!$B$11="4.3.",Umse!$B$11="4.4.",Umse!$B$11="4.5.",Umse!$B$11="4.6."),'VKr Mask'!E16,IF(OR(Umse!$B$11="6.1.",Umse!$B$11="6.2.",Umse!$B$11="6.3.",Umse!$B$11="6.4.",$A$1="6.5.",$A$1="6.6."),'LKr Mask'!E16,0)))</f>
        <v>0</v>
      </c>
      <c r="F16" s="308">
        <f>IF(OR(Umse!$C$24=0,Umse!$B$11=0),0,IF(OR(Umse!$B$11="3.1.",Umse!$B$11="3.2.",Umse!$B$11="3.5.",Umse!$B$11="3.6.",Umse!$B$11="3.9.",Umse!$B$11="3.10.",Umse!$B$11="4.1.",Umse!$B$11="4.2.",Umse!$B$11="4.3.",Umse!$B$11="4.4.",Umse!$B$11="4.5.",Umse!$B$11="4.6."),'VKr Mask'!F16,IF(OR(Umse!$B$11="6.1.",Umse!$B$11="6.2.",Umse!$B$11="6.3.",Umse!$B$11="6.4.",$A$1="6.5.",$A$1="6.6."),'LKr Mask'!F16,0)))</f>
        <v>0</v>
      </c>
      <c r="G16" s="308">
        <f>IF(OR(Umse!$C$24=0,Umse!$B$11=0),0,IF(OR(Umse!$B$11="3.1.",Umse!$B$11="3.2.",Umse!$B$11="3.5.",Umse!$B$11="3.6.",Umse!$B$11="3.9.",Umse!$B$11="3.10.",Umse!$B$11="4.1.",Umse!$B$11="4.2.",Umse!$B$11="4.3.",Umse!$B$11="4.4.",Umse!$B$11="4.5.",Umse!$B$11="4.6."),'VKr Mask'!G16,IF(OR(Umse!$B$11="6.1.",Umse!$B$11="6.2.",Umse!$B$11="6.3.",Umse!$B$11="6.4.",$A$1="6.5.",$A$1="6.6."),'LKr Mask'!G16,0)))</f>
        <v>0</v>
      </c>
      <c r="H16" s="308">
        <f>IF(OR(Umse!$C$24=0,Umse!$B$11=0),0,IF(OR(Umse!$B$11="3.1.",Umse!$B$11="3.2.",Umse!$B$11="3.5.",Umse!$B$11="3.6.",Umse!$B$11="3.9.",Umse!$B$11="3.10.",Umse!$B$11="4.1.",Umse!$B$11="4.2.",Umse!$B$11="4.3.",Umse!$B$11="4.4.",Umse!$B$11="4.5.",Umse!$B$11="4.6."),'VKr Mask'!H16,IF(OR(Umse!$B$11="6.1.",Umse!$B$11="6.2.",Umse!$B$11="6.3.",Umse!$B$11="6.4.",$A$1="6.5.",$A$1="6.6."),'LKr Mask'!H16,0)))</f>
        <v>0</v>
      </c>
      <c r="I16" s="308">
        <f>IF(OR(Umse!$C$24=0,Umse!$B$11=0),0,IF(OR(Umse!$B$11="3.1.",Umse!$B$11="3.2.",Umse!$B$11="3.5.",Umse!$B$11="3.6.",Umse!$B$11="3.9.",Umse!$B$11="3.10.",Umse!$B$11="4.1.",Umse!$B$11="4.2.",Umse!$B$11="4.3.",Umse!$B$11="4.4.",Umse!$B$11="4.5.",Umse!$B$11="4.6."),'VKr Mask'!I16,IF(OR(Umse!$B$11="6.1.",Umse!$B$11="6.2.",Umse!$B$11="6.3.",Umse!$B$11="6.4.",$A$1="6.5.",$A$1="6.6."),'LKr Mask'!I16,0)))</f>
        <v>0</v>
      </c>
      <c r="J16" s="307" t="str">
        <f>IF(OR(Umse!$B$11="3.1.",Umse!$B$11="3.2.",Umse!$B$11="4.1.",Umse!$B$11="4.2.",Umse!$B$11="4.3.",Umse!$B$11="4.4.",Umse!$B$11="4.5.",Umse!$B$11="4.6."),'VKr Mask'!J16,IF(OR(Umse!$B$11="6.1.",Umse!$B$11="6.2.",Umse!$B$11="6.3.",Umse!$B$11="6.4."),'LKr Mask'!J16,""))</f>
        <v/>
      </c>
      <c r="K16" s="306" t="str">
        <f>IF(OR(Umse!$B$11="3.1.",Umse!$B$11="3.2.",Umse!$B$11="3.5.",Umse!$B$11="3.6.",Umse!$B$11="3.9.",Umse!$B$11="3.10.",Umse!$B$11="4.1.",Umse!$B$11="4.2.",Umse!$B$11="4.3.",Umse!$B$11="4.4.",Umse!$B$11="4.5.",Umse!$B$11="4.6."),'VKr Mask'!K16,IF(OR(Umse!$B$11="6.1.",Umse!$B$11="6.2.",Umse!$B$11="6.3.",Umse!$B$11="6.4.",$A$1="6.5.",$A$1="6.6."),'LKr Mask'!K16,""))</f>
        <v/>
      </c>
      <c r="L16" s="322" t="str">
        <f>IF(OR(Umse!$B$11="3.1.",Umse!$B$11="3.2.",Umse!$B$11="3.5.",Umse!$B$11="3.6.",Umse!$B$11="3.9.",Umse!$B$11="3.10.",Umse!$B$11="4.1.",Umse!$B$11="4.2.",Umse!$B$11="4.3.",Umse!$B$11="4.4.",Umse!$B$11="4.5.",Umse!$B$11="4.6."),'VKr Mask'!L16,IF(OR(Umse!$B$11="6.1.",Umse!$B$11="6.2.",Umse!$B$11="6.3.",Umse!$B$11="6.4.",$A$1="6.5.",$A$1="6.6."),'LKr Mask'!L16,""))</f>
        <v/>
      </c>
      <c r="M16" s="308">
        <f>IF(OR(Umse!$B$11="3.1.",Umse!$B$11="3.2.",Umse!$B$11="3.5.",Umse!$B$11="3.6.",Umse!$B$11="3.9.",Umse!$B$11="3.10.",Umse!$B$11="4.1.",Umse!$B$11="4.2.",Umse!$B$11="4.3.",Umse!$B$11="4.4.",Umse!$B$11="4.5.",Umse!$B$11="4.6."),'VKr Mask'!M16,IF(OR(Umse!$B$11="6.1.",Umse!$B$11="6.2.",Umse!$B$11="6.3.",Umse!$B$11="6.4.",$A$1="6.5.",$A$1="6.6."),'LKr Mask'!M16,0))</f>
        <v>0</v>
      </c>
      <c r="N16" s="308">
        <f>IF(OR(Umse!$B$11="3.1.",Umse!$B$11="3.2.",Umse!$B$11="3.5.",Umse!$B$11="3.6.",Umse!$B$11="3.9.",Umse!$B$11="3.10.",Umse!$B$11="4.1.",Umse!$B$11="4.2.",Umse!$B$11="4.3.",Umse!$B$11="4.4.",Umse!$B$11="4.5.",Umse!$B$11="4.6."),'VKr Mask'!N16,IF(OR(Umse!$B$11="6.1.",Umse!$B$11="6.2.",Umse!$B$11="6.3.",Umse!$B$11="6.4.",$A$1="6.5.",$A$1="6.6."),'LKr Mask'!N16,0))</f>
        <v>0</v>
      </c>
      <c r="O16" s="308">
        <f>IF(OR(Umse!$B$11="3.1.",Umse!$B$11="3.2.",Umse!$B$11="3.5.",Umse!$B$11="3.6.",Umse!$B$11="3.9.",Umse!$B$11="3.10.",Umse!$B$11="4.1.",Umse!$B$11="4.2.",Umse!$B$11="4.3.",Umse!$B$11="4.4.",Umse!$B$11="4.5.",Umse!$B$11="4.6."),'VKr Mask'!O16,IF(OR(Umse!$B$11="6.1.",Umse!$B$11="6.2.",Umse!$B$11="6.3.",Umse!$B$11="6.4.",$A$1="6.5.",$A$1="6.6."),'LKr Mask'!O16,0))</f>
        <v>0</v>
      </c>
      <c r="P16" s="308">
        <f>IF(OR(Umse!$B$11="3.1.",Umse!$B$11="3.2.",Umse!$B$11="3.5.",Umse!$B$11="3.6.",Umse!$B$11="3.9.",Umse!$B$11="3.10.",Umse!$B$11="4.1.",Umse!$B$11="4.2.",Umse!$B$11="4.3.",Umse!$B$11="4.4.",Umse!$B$11="4.5.",Umse!$B$11="4.6."),'VKr Mask'!P16,IF(OR(Umse!$B$11="6.1.",Umse!$B$11="6.2.",Umse!$B$11="6.3.",Umse!$B$11="6.4.",$A$1="6.5.",$A$1="6.6."),'LKr Mask'!P16,0))</f>
        <v>0</v>
      </c>
      <c r="Q16" s="308">
        <f>IF(OR(Umse!$B$11="3.1.",Umse!$B$11="3.2.",Umse!$B$11="3.5.",Umse!$B$11="3.6.",Umse!$B$11="3.9.",Umse!$B$11="3.10.",Umse!$B$11="4.1.",Umse!$B$11="4.2.",Umse!$B$11="4.3.",Umse!$B$11="4.4.",Umse!$B$11="4.5.",Umse!$B$11="4.6."),'VKr Mask'!Q16,IF(OR(Umse!$B$11="6.1.",Umse!$B$11="6.2.",Umse!$B$11="6.3.",Umse!$B$11="6.4.",$A$1="6.5.",$A$1="6.6."),'LKr Mask'!Q16,0))</f>
        <v>0</v>
      </c>
      <c r="R16" s="308">
        <f>IF(OR(Umse!$B$11="3.1.",Umse!$B$11="3.2.",Umse!$B$11="3.5.",Umse!$B$11="3.6.",Umse!$B$11="3.9.",Umse!$B$11="3.10.",Umse!$B$11="4.1.",Umse!$B$11="4.2.",Umse!$B$11="4.3.",Umse!$B$11="4.4.",Umse!$B$11="4.5.",Umse!$B$11="4.6."),'VKr Mask'!R16,IF(OR(Umse!$B$11="6.1.",Umse!$B$11="6.2.",Umse!$B$11="6.3.",Umse!$B$11="6.4.",$A$1="6.5.",$A$1="6.6."),'LKr Mask'!R16,0))</f>
        <v>0</v>
      </c>
    </row>
    <row r="17" spans="2:29" ht="11.25" customHeight="1">
      <c r="B17" s="306" t="str">
        <f t="shared" si="1"/>
        <v/>
      </c>
      <c r="C17" s="322" t="str">
        <f t="shared" si="1"/>
        <v/>
      </c>
      <c r="D17" s="308">
        <f>IF(OR(Umse!$C$24=0,Umse!$B$11=0),0,IF(OR(Umse!$B$11="3.1.",Umse!$B$11="3.2.",Umse!$B$11="3.5.",Umse!$B$11="3.6.",Umse!$B$11="3.9.",Umse!$B$11="3.10.",Umse!$B$11="4.1.",Umse!$B$11="4.2.",Umse!$B$11="4.3.",Umse!$B$11="4.4.",Umse!$B$11="4.5.",Umse!$B$11="4.6."),'VKr Mask'!D17,IF(OR(Umse!$B$11="6.1.",Umse!$B$11="6.2.",Umse!$B$11="6.3.",Umse!$B$11="6.4.",$A$1="6.5.",$A$1="6.6."),'LKr Mask'!D17,0)))</f>
        <v>0</v>
      </c>
      <c r="E17" s="308">
        <f>IF(OR(Umse!$C$24=0,Umse!$B$11=0),0,IF(OR(Umse!$B$11="3.1.",Umse!$B$11="3.2.",Umse!$B$11="3.5.",Umse!$B$11="3.6.",Umse!$B$11="3.9.",Umse!$B$11="3.10.",Umse!$B$11="4.1.",Umse!$B$11="4.2.",Umse!$B$11="4.3.",Umse!$B$11="4.4.",Umse!$B$11="4.5.",Umse!$B$11="4.6."),'VKr Mask'!E17,IF(OR(Umse!$B$11="6.1.",Umse!$B$11="6.2.",Umse!$B$11="6.3.",Umse!$B$11="6.4.",$A$1="6.5.",$A$1="6.6."),'LKr Mask'!E17,0)))</f>
        <v>0</v>
      </c>
      <c r="F17" s="308">
        <f>IF(OR(Umse!$C$24=0,Umse!$B$11=0),0,IF(OR(Umse!$B$11="3.1.",Umse!$B$11="3.2.",Umse!$B$11="3.5.",Umse!$B$11="3.6.",Umse!$B$11="3.9.",Umse!$B$11="3.10.",Umse!$B$11="4.1.",Umse!$B$11="4.2.",Umse!$B$11="4.3.",Umse!$B$11="4.4.",Umse!$B$11="4.5.",Umse!$B$11="4.6."),'VKr Mask'!F17,IF(OR(Umse!$B$11="6.1.",Umse!$B$11="6.2.",Umse!$B$11="6.3.",Umse!$B$11="6.4.",$A$1="6.5.",$A$1="6.6."),'LKr Mask'!F17,0)))</f>
        <v>0</v>
      </c>
      <c r="G17" s="308">
        <f>IF(OR(Umse!$C$24=0,Umse!$B$11=0),0,IF(OR(Umse!$B$11="3.1.",Umse!$B$11="3.2.",Umse!$B$11="3.5.",Umse!$B$11="3.6.",Umse!$B$11="3.9.",Umse!$B$11="3.10.",Umse!$B$11="4.1.",Umse!$B$11="4.2.",Umse!$B$11="4.3.",Umse!$B$11="4.4.",Umse!$B$11="4.5.",Umse!$B$11="4.6."),'VKr Mask'!G17,IF(OR(Umse!$B$11="6.1.",Umse!$B$11="6.2.",Umse!$B$11="6.3.",Umse!$B$11="6.4.",$A$1="6.5.",$A$1="6.6."),'LKr Mask'!G17,0)))</f>
        <v>0</v>
      </c>
      <c r="H17" s="308">
        <f>IF(OR(Umse!$C$24=0,Umse!$B$11=0),0,IF(OR(Umse!$B$11="3.1.",Umse!$B$11="3.2.",Umse!$B$11="3.5.",Umse!$B$11="3.6.",Umse!$B$11="3.9.",Umse!$B$11="3.10.",Umse!$B$11="4.1.",Umse!$B$11="4.2.",Umse!$B$11="4.3.",Umse!$B$11="4.4.",Umse!$B$11="4.5.",Umse!$B$11="4.6."),'VKr Mask'!H17,IF(OR(Umse!$B$11="6.1.",Umse!$B$11="6.2.",Umse!$B$11="6.3.",Umse!$B$11="6.4.",$A$1="6.5.",$A$1="6.6."),'LKr Mask'!H17,0)))</f>
        <v>0</v>
      </c>
      <c r="I17" s="308">
        <f>IF(OR(Umse!$C$24=0,Umse!$B$11=0),0,IF(OR(Umse!$B$11="3.1.",Umse!$B$11="3.2.",Umse!$B$11="3.5.",Umse!$B$11="3.6.",Umse!$B$11="3.9.",Umse!$B$11="3.10.",Umse!$B$11="4.1.",Umse!$B$11="4.2.",Umse!$B$11="4.3.",Umse!$B$11="4.4.",Umse!$B$11="4.5.",Umse!$B$11="4.6."),'VKr Mask'!I17,IF(OR(Umse!$B$11="6.1.",Umse!$B$11="6.2.",Umse!$B$11="6.3.",Umse!$B$11="6.4.",$A$1="6.5.",$A$1="6.6."),'LKr Mask'!I17,0)))</f>
        <v>0</v>
      </c>
      <c r="J17" s="307" t="str">
        <f>IF(OR(Umse!$B$11="3.1.",Umse!$B$11="3.2.",Umse!$B$11="4.1.",Umse!$B$11="4.2.",Umse!$B$11="4.3.",Umse!$B$11="4.4.",Umse!$B$11="4.5.",Umse!$B$11="4.6."),'VKr Mask'!J17,IF(OR(Umse!$B$11="6.1.",Umse!$B$11="6.2.",Umse!$B$11="6.3.",Umse!$B$11="6.4."),'LKr Mask'!J17,""))</f>
        <v/>
      </c>
      <c r="K17" s="306" t="str">
        <f>IF(OR(Umse!$B$11="3.1.",Umse!$B$11="3.2.",Umse!$B$11="3.5.",Umse!$B$11="3.6.",Umse!$B$11="3.9.",Umse!$B$11="3.10.",Umse!$B$11="4.1.",Umse!$B$11="4.2.",Umse!$B$11="4.3.",Umse!$B$11="4.4.",Umse!$B$11="4.5.",Umse!$B$11="4.6."),'VKr Mask'!K17,IF(OR(Umse!$B$11="6.1.",Umse!$B$11="6.2.",Umse!$B$11="6.3.",Umse!$B$11="6.4.",$A$1="6.5.",$A$1="6.6."),'LKr Mask'!K17,""))</f>
        <v/>
      </c>
      <c r="L17" s="322" t="str">
        <f>IF(OR(Umse!$B$11="3.1.",Umse!$B$11="3.2.",Umse!$B$11="3.5.",Umse!$B$11="3.6.",Umse!$B$11="3.9.",Umse!$B$11="3.10.",Umse!$B$11="4.1.",Umse!$B$11="4.2.",Umse!$B$11="4.3.",Umse!$B$11="4.4.",Umse!$B$11="4.5.",Umse!$B$11="4.6."),'VKr Mask'!L17,IF(OR(Umse!$B$11="6.1.",Umse!$B$11="6.2.",Umse!$B$11="6.3.",Umse!$B$11="6.4.",$A$1="6.5.",$A$1="6.6."),'LKr Mask'!L17,""))</f>
        <v/>
      </c>
      <c r="M17" s="308">
        <f>IF(OR(Umse!$B$11="3.1.",Umse!$B$11="3.2.",Umse!$B$11="3.5.",Umse!$B$11="3.6.",Umse!$B$11="3.9.",Umse!$B$11="3.10.",Umse!$B$11="4.1.",Umse!$B$11="4.2.",Umse!$B$11="4.3.",Umse!$B$11="4.4.",Umse!$B$11="4.5.",Umse!$B$11="4.6."),'VKr Mask'!M17,IF(OR(Umse!$B$11="6.1.",Umse!$B$11="6.2.",Umse!$B$11="6.3.",Umse!$B$11="6.4.",$A$1="6.5.",$A$1="6.6."),'LKr Mask'!M17,0))</f>
        <v>0</v>
      </c>
      <c r="N17" s="308">
        <f>IF(OR(Umse!$B$11="3.1.",Umse!$B$11="3.2.",Umse!$B$11="3.5.",Umse!$B$11="3.6.",Umse!$B$11="3.9.",Umse!$B$11="3.10.",Umse!$B$11="4.1.",Umse!$B$11="4.2.",Umse!$B$11="4.3.",Umse!$B$11="4.4.",Umse!$B$11="4.5.",Umse!$B$11="4.6."),'VKr Mask'!N17,IF(OR(Umse!$B$11="6.1.",Umse!$B$11="6.2.",Umse!$B$11="6.3.",Umse!$B$11="6.4.",$A$1="6.5.",$A$1="6.6."),'LKr Mask'!N17,0))</f>
        <v>0</v>
      </c>
      <c r="O17" s="308">
        <f>IF(OR(Umse!$B$11="3.1.",Umse!$B$11="3.2.",Umse!$B$11="3.5.",Umse!$B$11="3.6.",Umse!$B$11="3.9.",Umse!$B$11="3.10.",Umse!$B$11="4.1.",Umse!$B$11="4.2.",Umse!$B$11="4.3.",Umse!$B$11="4.4.",Umse!$B$11="4.5.",Umse!$B$11="4.6."),'VKr Mask'!O17,IF(OR(Umse!$B$11="6.1.",Umse!$B$11="6.2.",Umse!$B$11="6.3.",Umse!$B$11="6.4.",$A$1="6.5.",$A$1="6.6."),'LKr Mask'!O17,0))</f>
        <v>0</v>
      </c>
      <c r="P17" s="308">
        <f>IF(OR(Umse!$B$11="3.1.",Umse!$B$11="3.2.",Umse!$B$11="3.5.",Umse!$B$11="3.6.",Umse!$B$11="3.9.",Umse!$B$11="3.10.",Umse!$B$11="4.1.",Umse!$B$11="4.2.",Umse!$B$11="4.3.",Umse!$B$11="4.4.",Umse!$B$11="4.5.",Umse!$B$11="4.6."),'VKr Mask'!P17,IF(OR(Umse!$B$11="6.1.",Umse!$B$11="6.2.",Umse!$B$11="6.3.",Umse!$B$11="6.4.",$A$1="6.5.",$A$1="6.6."),'LKr Mask'!P17,0))</f>
        <v>0</v>
      </c>
      <c r="Q17" s="308">
        <f>IF(OR(Umse!$B$11="3.1.",Umse!$B$11="3.2.",Umse!$B$11="3.5.",Umse!$B$11="3.6.",Umse!$B$11="3.9.",Umse!$B$11="3.10.",Umse!$B$11="4.1.",Umse!$B$11="4.2.",Umse!$B$11="4.3.",Umse!$B$11="4.4.",Umse!$B$11="4.5.",Umse!$B$11="4.6."),'VKr Mask'!Q17,IF(OR(Umse!$B$11="6.1.",Umse!$B$11="6.2.",Umse!$B$11="6.3.",Umse!$B$11="6.4.",$A$1="6.5.",$A$1="6.6."),'LKr Mask'!Q17,0))</f>
        <v>0</v>
      </c>
      <c r="R17" s="308">
        <f>IF(OR(Umse!$B$11="3.1.",Umse!$B$11="3.2.",Umse!$B$11="3.5.",Umse!$B$11="3.6.",Umse!$B$11="3.9.",Umse!$B$11="3.10.",Umse!$B$11="4.1.",Umse!$B$11="4.2.",Umse!$B$11="4.3.",Umse!$B$11="4.4.",Umse!$B$11="4.5.",Umse!$B$11="4.6."),'VKr Mask'!R17,IF(OR(Umse!$B$11="6.1.",Umse!$B$11="6.2.",Umse!$B$11="6.3.",Umse!$B$11="6.4.",$A$1="6.5.",$A$1="6.6."),'LKr Mask'!R17,0))</f>
        <v>0</v>
      </c>
    </row>
    <row r="18" spans="2:29" ht="11.25" customHeight="1">
      <c r="B18" s="306" t="str">
        <f t="shared" si="1"/>
        <v/>
      </c>
      <c r="C18" s="322" t="str">
        <f t="shared" si="1"/>
        <v/>
      </c>
      <c r="D18" s="308">
        <f>IF(OR(Umse!$C$24=0,Umse!$B$11=0),0,IF(OR(Umse!$B$11="3.1.",Umse!$B$11="3.2.",Umse!$B$11="3.5.",Umse!$B$11="3.6.",Umse!$B$11="3.9.",Umse!$B$11="3.10.",Umse!$B$11="4.1.",Umse!$B$11="4.2.",Umse!$B$11="4.3.",Umse!$B$11="4.4.",Umse!$B$11="4.5.",Umse!$B$11="4.6."),'VKr Mask'!D18,IF(OR(Umse!$B$11="6.1.",Umse!$B$11="6.2.",Umse!$B$11="6.3.",Umse!$B$11="6.4.",$A$1="6.5.",$A$1="6.6."),'LKr Mask'!D18,0)))</f>
        <v>0</v>
      </c>
      <c r="E18" s="308">
        <f>IF(OR(Umse!$C$24=0,Umse!$B$11=0),0,IF(OR(Umse!$B$11="3.1.",Umse!$B$11="3.2.",Umse!$B$11="3.5.",Umse!$B$11="3.6.",Umse!$B$11="3.9.",Umse!$B$11="3.10.",Umse!$B$11="4.1.",Umse!$B$11="4.2.",Umse!$B$11="4.3.",Umse!$B$11="4.4.",Umse!$B$11="4.5.",Umse!$B$11="4.6."),'VKr Mask'!E18,IF(OR(Umse!$B$11="6.1.",Umse!$B$11="6.2.",Umse!$B$11="6.3.",Umse!$B$11="6.4.",$A$1="6.5.",$A$1="6.6."),'LKr Mask'!E18,0)))</f>
        <v>0</v>
      </c>
      <c r="F18" s="308">
        <f>IF(OR(Umse!$C$24=0,Umse!$B$11=0),0,IF(OR(Umse!$B$11="3.1.",Umse!$B$11="3.2.",Umse!$B$11="3.5.",Umse!$B$11="3.6.",Umse!$B$11="3.9.",Umse!$B$11="3.10.",Umse!$B$11="4.1.",Umse!$B$11="4.2.",Umse!$B$11="4.3.",Umse!$B$11="4.4.",Umse!$B$11="4.5.",Umse!$B$11="4.6."),'VKr Mask'!F18,IF(OR(Umse!$B$11="6.1.",Umse!$B$11="6.2.",Umse!$B$11="6.3.",Umse!$B$11="6.4.",$A$1="6.5.",$A$1="6.6."),'LKr Mask'!F18,0)))</f>
        <v>0</v>
      </c>
      <c r="G18" s="308">
        <f>IF(OR(Umse!$C$24=0,Umse!$B$11=0),0,IF(OR(Umse!$B$11="3.1.",Umse!$B$11="3.2.",Umse!$B$11="3.5.",Umse!$B$11="3.6.",Umse!$B$11="3.9.",Umse!$B$11="3.10.",Umse!$B$11="4.1.",Umse!$B$11="4.2.",Umse!$B$11="4.3.",Umse!$B$11="4.4.",Umse!$B$11="4.5.",Umse!$B$11="4.6."),'VKr Mask'!G18,IF(OR(Umse!$B$11="6.1.",Umse!$B$11="6.2.",Umse!$B$11="6.3.",Umse!$B$11="6.4.",$A$1="6.5.",$A$1="6.6."),'LKr Mask'!G18,0)))</f>
        <v>0</v>
      </c>
      <c r="H18" s="308">
        <f>IF(OR(Umse!$C$24=0,Umse!$B$11=0),0,IF(OR(Umse!$B$11="3.1.",Umse!$B$11="3.2.",Umse!$B$11="3.5.",Umse!$B$11="3.6.",Umse!$B$11="3.9.",Umse!$B$11="3.10.",Umse!$B$11="4.1.",Umse!$B$11="4.2.",Umse!$B$11="4.3.",Umse!$B$11="4.4.",Umse!$B$11="4.5.",Umse!$B$11="4.6."),'VKr Mask'!H18,IF(OR(Umse!$B$11="6.1.",Umse!$B$11="6.2.",Umse!$B$11="6.3.",Umse!$B$11="6.4.",$A$1="6.5.",$A$1="6.6."),'LKr Mask'!H18,0)))</f>
        <v>0</v>
      </c>
      <c r="I18" s="308">
        <f>IF(OR(Umse!$C$24=0,Umse!$B$11=0),0,IF(OR(Umse!$B$11="3.1.",Umse!$B$11="3.2.",Umse!$B$11="3.5.",Umse!$B$11="3.6.",Umse!$B$11="3.9.",Umse!$B$11="3.10.",Umse!$B$11="4.1.",Umse!$B$11="4.2.",Umse!$B$11="4.3.",Umse!$B$11="4.4.",Umse!$B$11="4.5.",Umse!$B$11="4.6."),'VKr Mask'!I18,IF(OR(Umse!$B$11="6.1.",Umse!$B$11="6.2.",Umse!$B$11="6.3.",Umse!$B$11="6.4.",$A$1="6.5.",$A$1="6.6."),'LKr Mask'!I18,0)))</f>
        <v>0</v>
      </c>
      <c r="J18" s="307" t="str">
        <f>IF(OR(Umse!$B$11="3.1.",Umse!$B$11="3.2.",Umse!$B$11="4.1.",Umse!$B$11="4.2.",Umse!$B$11="4.3.",Umse!$B$11="4.4.",Umse!$B$11="4.5.",Umse!$B$11="4.6."),'VKr Mask'!J18,IF(OR(Umse!$B$11="6.1.",Umse!$B$11="6.2.",Umse!$B$11="6.3.",Umse!$B$11="6.4."),'LKr Mask'!J18,""))</f>
        <v/>
      </c>
      <c r="K18" s="306" t="str">
        <f>IF(OR(Umse!$B$11="3.1.",Umse!$B$11="3.2.",Umse!$B$11="3.5.",Umse!$B$11="3.6.",Umse!$B$11="3.9.",Umse!$B$11="3.10.",Umse!$B$11="4.1.",Umse!$B$11="4.2.",Umse!$B$11="4.3.",Umse!$B$11="4.4.",Umse!$B$11="4.5.",Umse!$B$11="4.6."),'VKr Mask'!K18,IF(OR(Umse!$B$11="6.1.",Umse!$B$11="6.2.",Umse!$B$11="6.3.",Umse!$B$11="6.4.",$A$1="6.5.",$A$1="6.6."),'LKr Mask'!K18,""))</f>
        <v/>
      </c>
      <c r="L18" s="322" t="str">
        <f>IF(OR(Umse!$B$11="3.1.",Umse!$B$11="3.2.",Umse!$B$11="3.5.",Umse!$B$11="3.6.",Umse!$B$11="3.9.",Umse!$B$11="3.10.",Umse!$B$11="4.1.",Umse!$B$11="4.2.",Umse!$B$11="4.3.",Umse!$B$11="4.4.",Umse!$B$11="4.5.",Umse!$B$11="4.6."),'VKr Mask'!L18,IF(OR(Umse!$B$11="6.1.",Umse!$B$11="6.2.",Umse!$B$11="6.3.",Umse!$B$11="6.4.",$A$1="6.5.",$A$1="6.6."),'LKr Mask'!L18,""))</f>
        <v/>
      </c>
      <c r="M18" s="308">
        <f>IF(OR(Umse!$B$11="3.1.",Umse!$B$11="3.2.",Umse!$B$11="3.5.",Umse!$B$11="3.6.",Umse!$B$11="3.9.",Umse!$B$11="3.10.",Umse!$B$11="4.1.",Umse!$B$11="4.2.",Umse!$B$11="4.3.",Umse!$B$11="4.4.",Umse!$B$11="4.5.",Umse!$B$11="4.6."),'VKr Mask'!M18,IF(OR(Umse!$B$11="6.1.",Umse!$B$11="6.2.",Umse!$B$11="6.3.",Umse!$B$11="6.4.",$A$1="6.5.",$A$1="6.6."),'LKr Mask'!M18,0))</f>
        <v>0</v>
      </c>
      <c r="N18" s="308">
        <f>IF(OR(Umse!$B$11="3.1.",Umse!$B$11="3.2.",Umse!$B$11="3.5.",Umse!$B$11="3.6.",Umse!$B$11="3.9.",Umse!$B$11="3.10.",Umse!$B$11="4.1.",Umse!$B$11="4.2.",Umse!$B$11="4.3.",Umse!$B$11="4.4.",Umse!$B$11="4.5.",Umse!$B$11="4.6."),'VKr Mask'!N18,IF(OR(Umse!$B$11="6.1.",Umse!$B$11="6.2.",Umse!$B$11="6.3.",Umse!$B$11="6.4.",$A$1="6.5.",$A$1="6.6."),'LKr Mask'!N18,0))</f>
        <v>0</v>
      </c>
      <c r="O18" s="308">
        <f>IF(OR(Umse!$B$11="3.1.",Umse!$B$11="3.2.",Umse!$B$11="3.5.",Umse!$B$11="3.6.",Umse!$B$11="3.9.",Umse!$B$11="3.10.",Umse!$B$11="4.1.",Umse!$B$11="4.2.",Umse!$B$11="4.3.",Umse!$B$11="4.4.",Umse!$B$11="4.5.",Umse!$B$11="4.6."),'VKr Mask'!O18,IF(OR(Umse!$B$11="6.1.",Umse!$B$11="6.2.",Umse!$B$11="6.3.",Umse!$B$11="6.4.",$A$1="6.5.",$A$1="6.6."),'LKr Mask'!O18,0))</f>
        <v>0</v>
      </c>
      <c r="P18" s="308">
        <f>IF(OR(Umse!$B$11="3.1.",Umse!$B$11="3.2.",Umse!$B$11="3.5.",Umse!$B$11="3.6.",Umse!$B$11="3.9.",Umse!$B$11="3.10.",Umse!$B$11="4.1.",Umse!$B$11="4.2.",Umse!$B$11="4.3.",Umse!$B$11="4.4.",Umse!$B$11="4.5.",Umse!$B$11="4.6."),'VKr Mask'!P18,IF(OR(Umse!$B$11="6.1.",Umse!$B$11="6.2.",Umse!$B$11="6.3.",Umse!$B$11="6.4.",$A$1="6.5.",$A$1="6.6."),'LKr Mask'!P18,0))</f>
        <v>0</v>
      </c>
      <c r="Q18" s="308">
        <f>IF(OR(Umse!$B$11="3.1.",Umse!$B$11="3.2.",Umse!$B$11="3.5.",Umse!$B$11="3.6.",Umse!$B$11="3.9.",Umse!$B$11="3.10.",Umse!$B$11="4.1.",Umse!$B$11="4.2.",Umse!$B$11="4.3.",Umse!$B$11="4.4.",Umse!$B$11="4.5.",Umse!$B$11="4.6."),'VKr Mask'!Q18,IF(OR(Umse!$B$11="6.1.",Umse!$B$11="6.2.",Umse!$B$11="6.3.",Umse!$B$11="6.4.",$A$1="6.5.",$A$1="6.6."),'LKr Mask'!Q18,0))</f>
        <v>0</v>
      </c>
      <c r="R18" s="308">
        <f>IF(OR(Umse!$B$11="3.1.",Umse!$B$11="3.2.",Umse!$B$11="3.5.",Umse!$B$11="3.6.",Umse!$B$11="3.9.",Umse!$B$11="3.10.",Umse!$B$11="4.1.",Umse!$B$11="4.2.",Umse!$B$11="4.3.",Umse!$B$11="4.4.",Umse!$B$11="4.5.",Umse!$B$11="4.6."),'VKr Mask'!R18,IF(OR(Umse!$B$11="6.1.",Umse!$B$11="6.2.",Umse!$B$11="6.3.",Umse!$B$11="6.4.",$A$1="6.5.",$A$1="6.6."),'LKr Mask'!R18,0))</f>
        <v>0</v>
      </c>
    </row>
    <row r="19" spans="2:29" ht="11.25" customHeight="1">
      <c r="B19" s="306" t="str">
        <f t="shared" si="1"/>
        <v/>
      </c>
      <c r="C19" s="322" t="str">
        <f t="shared" si="1"/>
        <v/>
      </c>
      <c r="D19" s="308">
        <f>IF(OR(Umse!$C$24=0,Umse!$B$11=0),0,IF(OR(Umse!$B$11="3.1.",Umse!$B$11="3.2.",Umse!$B$11="3.5.",Umse!$B$11="3.6.",Umse!$B$11="3.9.",Umse!$B$11="3.10.",Umse!$B$11="4.1.",Umse!$B$11="4.2.",Umse!$B$11="4.3.",Umse!$B$11="4.4.",Umse!$B$11="4.5.",Umse!$B$11="4.6."),'VKr Mask'!D19,IF(OR(Umse!$B$11="6.1.",Umse!$B$11="6.2.",Umse!$B$11="6.3.",Umse!$B$11="6.4.",$A$1="6.5.",$A$1="6.6."),'LKr Mask'!D19,0)))</f>
        <v>0</v>
      </c>
      <c r="E19" s="308">
        <f>IF(OR(Umse!$C$24=0,Umse!$B$11=0),0,IF(OR(Umse!$B$11="3.1.",Umse!$B$11="3.2.",Umse!$B$11="3.5.",Umse!$B$11="3.6.",Umse!$B$11="3.9.",Umse!$B$11="3.10.",Umse!$B$11="4.1.",Umse!$B$11="4.2.",Umse!$B$11="4.3.",Umse!$B$11="4.4.",Umse!$B$11="4.5.",Umse!$B$11="4.6."),'VKr Mask'!E19,IF(OR(Umse!$B$11="6.1.",Umse!$B$11="6.2.",Umse!$B$11="6.3.",Umse!$B$11="6.4.",$A$1="6.5.",$A$1="6.6."),'LKr Mask'!E19,0)))</f>
        <v>0</v>
      </c>
      <c r="F19" s="308">
        <f>IF(OR(Umse!$C$24=0,Umse!$B$11=0),0,IF(OR(Umse!$B$11="3.1.",Umse!$B$11="3.2.",Umse!$B$11="3.5.",Umse!$B$11="3.6.",Umse!$B$11="3.9.",Umse!$B$11="3.10.",Umse!$B$11="4.1.",Umse!$B$11="4.2.",Umse!$B$11="4.3.",Umse!$B$11="4.4.",Umse!$B$11="4.5.",Umse!$B$11="4.6."),'VKr Mask'!F19,IF(OR(Umse!$B$11="6.1.",Umse!$B$11="6.2.",Umse!$B$11="6.3.",Umse!$B$11="6.4.",$A$1="6.5.",$A$1="6.6."),'LKr Mask'!F19,0)))</f>
        <v>0</v>
      </c>
      <c r="G19" s="308">
        <f>IF(OR(Umse!$C$24=0,Umse!$B$11=0),0,IF(OR(Umse!$B$11="3.1.",Umse!$B$11="3.2.",Umse!$B$11="3.5.",Umse!$B$11="3.6.",Umse!$B$11="3.9.",Umse!$B$11="3.10.",Umse!$B$11="4.1.",Umse!$B$11="4.2.",Umse!$B$11="4.3.",Umse!$B$11="4.4.",Umse!$B$11="4.5.",Umse!$B$11="4.6."),'VKr Mask'!G19,IF(OR(Umse!$B$11="6.1.",Umse!$B$11="6.2.",Umse!$B$11="6.3.",Umse!$B$11="6.4.",$A$1="6.5.",$A$1="6.6."),'LKr Mask'!G19,0)))</f>
        <v>0</v>
      </c>
      <c r="H19" s="308">
        <f>IF(OR(Umse!$C$24=0,Umse!$B$11=0),0,IF(OR(Umse!$B$11="3.1.",Umse!$B$11="3.2.",Umse!$B$11="3.5.",Umse!$B$11="3.6.",Umse!$B$11="3.9.",Umse!$B$11="3.10.",Umse!$B$11="4.1.",Umse!$B$11="4.2.",Umse!$B$11="4.3.",Umse!$B$11="4.4.",Umse!$B$11="4.5.",Umse!$B$11="4.6."),'VKr Mask'!H19,IF(OR(Umse!$B$11="6.1.",Umse!$B$11="6.2.",Umse!$B$11="6.3.",Umse!$B$11="6.4.",$A$1="6.5.",$A$1="6.6."),'LKr Mask'!H19,0)))</f>
        <v>0</v>
      </c>
      <c r="I19" s="308">
        <f>IF(OR(Umse!$C$24=0,Umse!$B$11=0),0,IF(OR(Umse!$B$11="3.1.",Umse!$B$11="3.2.",Umse!$B$11="3.5.",Umse!$B$11="3.6.",Umse!$B$11="3.9.",Umse!$B$11="3.10.",Umse!$B$11="4.1.",Umse!$B$11="4.2.",Umse!$B$11="4.3.",Umse!$B$11="4.4.",Umse!$B$11="4.5.",Umse!$B$11="4.6."),'VKr Mask'!I19,IF(OR(Umse!$B$11="6.1.",Umse!$B$11="6.2.",Umse!$B$11="6.3.",Umse!$B$11="6.4.",$A$1="6.5.",$A$1="6.6."),'LKr Mask'!I19,0)))</f>
        <v>0</v>
      </c>
      <c r="J19" s="307" t="str">
        <f>IF(OR(Umse!$B$11="3.1.",Umse!$B$11="3.2.",Umse!$B$11="4.1.",Umse!$B$11="4.2.",Umse!$B$11="4.3.",Umse!$B$11="4.4.",Umse!$B$11="4.5.",Umse!$B$11="4.6."),'VKr Mask'!J19,IF(OR(Umse!$B$11="6.1.",Umse!$B$11="6.2.",Umse!$B$11="6.3.",Umse!$B$11="6.4."),'LKr Mask'!J19,""))</f>
        <v/>
      </c>
      <c r="K19" s="306" t="str">
        <f>IF(OR(Umse!$B$11="3.1.",Umse!$B$11="3.2.",Umse!$B$11="3.5.",Umse!$B$11="3.6.",Umse!$B$11="3.9.",Umse!$B$11="3.10.",Umse!$B$11="4.1.",Umse!$B$11="4.2.",Umse!$B$11="4.3.",Umse!$B$11="4.4.",Umse!$B$11="4.5.",Umse!$B$11="4.6."),'VKr Mask'!K19,IF(OR(Umse!$B$11="6.1.",Umse!$B$11="6.2.",Umse!$B$11="6.3.",Umse!$B$11="6.4.",$A$1="6.5.",$A$1="6.6."),'LKr Mask'!K19,""))</f>
        <v/>
      </c>
      <c r="L19" s="322" t="str">
        <f>IF(OR(Umse!$B$11="3.1.",Umse!$B$11="3.2.",Umse!$B$11="3.5.",Umse!$B$11="3.6.",Umse!$B$11="3.9.",Umse!$B$11="3.10.",Umse!$B$11="4.1.",Umse!$B$11="4.2.",Umse!$B$11="4.3.",Umse!$B$11="4.4.",Umse!$B$11="4.5.",Umse!$B$11="4.6."),'VKr Mask'!L19,IF(OR(Umse!$B$11="6.1.",Umse!$B$11="6.2.",Umse!$B$11="6.3.",Umse!$B$11="6.4.",$A$1="6.5.",$A$1="6.6."),'LKr Mask'!L19,""))</f>
        <v/>
      </c>
      <c r="M19" s="308">
        <f>IF(OR(Umse!$B$11="3.1.",Umse!$B$11="3.2.",Umse!$B$11="3.5.",Umse!$B$11="3.6.",Umse!$B$11="3.9.",Umse!$B$11="3.10.",Umse!$B$11="4.1.",Umse!$B$11="4.2.",Umse!$B$11="4.3.",Umse!$B$11="4.4.",Umse!$B$11="4.5.",Umse!$B$11="4.6."),'VKr Mask'!M19,IF(OR(Umse!$B$11="6.1.",Umse!$B$11="6.2.",Umse!$B$11="6.3.",Umse!$B$11="6.4.",$A$1="6.5.",$A$1="6.6."),'LKr Mask'!M19,0))</f>
        <v>0</v>
      </c>
      <c r="N19" s="308">
        <f>IF(OR(Umse!$B$11="3.1.",Umse!$B$11="3.2.",Umse!$B$11="3.5.",Umse!$B$11="3.6.",Umse!$B$11="3.9.",Umse!$B$11="3.10.",Umse!$B$11="4.1.",Umse!$B$11="4.2.",Umse!$B$11="4.3.",Umse!$B$11="4.4.",Umse!$B$11="4.5.",Umse!$B$11="4.6."),'VKr Mask'!N19,IF(OR(Umse!$B$11="6.1.",Umse!$B$11="6.2.",Umse!$B$11="6.3.",Umse!$B$11="6.4.",$A$1="6.5.",$A$1="6.6."),'LKr Mask'!N19,0))</f>
        <v>0</v>
      </c>
      <c r="O19" s="308">
        <f>IF(OR(Umse!$B$11="3.1.",Umse!$B$11="3.2.",Umse!$B$11="3.5.",Umse!$B$11="3.6.",Umse!$B$11="3.9.",Umse!$B$11="3.10.",Umse!$B$11="4.1.",Umse!$B$11="4.2.",Umse!$B$11="4.3.",Umse!$B$11="4.4.",Umse!$B$11="4.5.",Umse!$B$11="4.6."),'VKr Mask'!O19,IF(OR(Umse!$B$11="6.1.",Umse!$B$11="6.2.",Umse!$B$11="6.3.",Umse!$B$11="6.4.",$A$1="6.5.",$A$1="6.6."),'LKr Mask'!O19,0))</f>
        <v>0</v>
      </c>
      <c r="P19" s="308">
        <f>IF(OR(Umse!$B$11="3.1.",Umse!$B$11="3.2.",Umse!$B$11="3.5.",Umse!$B$11="3.6.",Umse!$B$11="3.9.",Umse!$B$11="3.10.",Umse!$B$11="4.1.",Umse!$B$11="4.2.",Umse!$B$11="4.3.",Umse!$B$11="4.4.",Umse!$B$11="4.5.",Umse!$B$11="4.6."),'VKr Mask'!P19,IF(OR(Umse!$B$11="6.1.",Umse!$B$11="6.2.",Umse!$B$11="6.3.",Umse!$B$11="6.4.",$A$1="6.5.",$A$1="6.6."),'LKr Mask'!P19,0))</f>
        <v>0</v>
      </c>
      <c r="Q19" s="308">
        <f>IF(OR(Umse!$B$11="3.1.",Umse!$B$11="3.2.",Umse!$B$11="3.5.",Umse!$B$11="3.6.",Umse!$B$11="3.9.",Umse!$B$11="3.10.",Umse!$B$11="4.1.",Umse!$B$11="4.2.",Umse!$B$11="4.3.",Umse!$B$11="4.4.",Umse!$B$11="4.5.",Umse!$B$11="4.6."),'VKr Mask'!Q19,IF(OR(Umse!$B$11="6.1.",Umse!$B$11="6.2.",Umse!$B$11="6.3.",Umse!$B$11="6.4.",$A$1="6.5.",$A$1="6.6."),'LKr Mask'!Q19,0))</f>
        <v>0</v>
      </c>
      <c r="R19" s="308">
        <f>IF(OR(Umse!$B$11="3.1.",Umse!$B$11="3.2.",Umse!$B$11="3.5.",Umse!$B$11="3.6.",Umse!$B$11="3.9.",Umse!$B$11="3.10.",Umse!$B$11="4.1.",Umse!$B$11="4.2.",Umse!$B$11="4.3.",Umse!$B$11="4.4.",Umse!$B$11="4.5.",Umse!$B$11="4.6."),'VKr Mask'!R19,IF(OR(Umse!$B$11="6.1.",Umse!$B$11="6.2.",Umse!$B$11="6.3.",Umse!$B$11="6.4.",$A$1="6.5.",$A$1="6.6."),'LKr Mask'!R19,0))</f>
        <v>0</v>
      </c>
    </row>
    <row r="20" spans="2:29" ht="11.25" customHeight="1">
      <c r="B20" s="306" t="str">
        <f t="shared" si="1"/>
        <v/>
      </c>
      <c r="C20" s="322" t="str">
        <f t="shared" si="1"/>
        <v/>
      </c>
      <c r="D20" s="308">
        <f>IF(OR(Umse!$C$24=0,Umse!$B$11=0),0,IF(OR(Umse!$B$11="3.1.",Umse!$B$11="3.2.",Umse!$B$11="3.5.",Umse!$B$11="3.6.",Umse!$B$11="3.9.",Umse!$B$11="3.10.",Umse!$B$11="4.1.",Umse!$B$11="4.2.",Umse!$B$11="4.3.",Umse!$B$11="4.4.",Umse!$B$11="4.5.",Umse!$B$11="4.6."),'VKr Mask'!D20,IF(OR(Umse!$B$11="6.1.",Umse!$B$11="6.2.",Umse!$B$11="6.3.",Umse!$B$11="6.4.",$A$1="6.5.",$A$1="6.6."),'LKr Mask'!D20,0)))</f>
        <v>0</v>
      </c>
      <c r="E20" s="308">
        <f>IF(OR(Umse!$C$24=0,Umse!$B$11=0),0,IF(OR(Umse!$B$11="3.1.",Umse!$B$11="3.2.",Umse!$B$11="3.5.",Umse!$B$11="3.6.",Umse!$B$11="3.9.",Umse!$B$11="3.10.",Umse!$B$11="4.1.",Umse!$B$11="4.2.",Umse!$B$11="4.3.",Umse!$B$11="4.4.",Umse!$B$11="4.5.",Umse!$B$11="4.6."),'VKr Mask'!E20,IF(OR(Umse!$B$11="6.1.",Umse!$B$11="6.2.",Umse!$B$11="6.3.",Umse!$B$11="6.4.",$A$1="6.5.",$A$1="6.6."),'LKr Mask'!E20,0)))</f>
        <v>0</v>
      </c>
      <c r="F20" s="308">
        <f>IF(OR(Umse!$C$24=0,Umse!$B$11=0),0,IF(OR(Umse!$B$11="3.1.",Umse!$B$11="3.2.",Umse!$B$11="3.5.",Umse!$B$11="3.6.",Umse!$B$11="3.9.",Umse!$B$11="3.10.",Umse!$B$11="4.1.",Umse!$B$11="4.2.",Umse!$B$11="4.3.",Umse!$B$11="4.4.",Umse!$B$11="4.5.",Umse!$B$11="4.6."),'VKr Mask'!F20,IF(OR(Umse!$B$11="6.1.",Umse!$B$11="6.2.",Umse!$B$11="6.3.",Umse!$B$11="6.4.",$A$1="6.5.",$A$1="6.6."),'LKr Mask'!F20,0)))</f>
        <v>0</v>
      </c>
      <c r="G20" s="308">
        <f>IF(OR(Umse!$C$24=0,Umse!$B$11=0),0,IF(OR(Umse!$B$11="3.1.",Umse!$B$11="3.2.",Umse!$B$11="3.5.",Umse!$B$11="3.6.",Umse!$B$11="3.9.",Umse!$B$11="3.10.",Umse!$B$11="4.1.",Umse!$B$11="4.2.",Umse!$B$11="4.3.",Umse!$B$11="4.4.",Umse!$B$11="4.5.",Umse!$B$11="4.6."),'VKr Mask'!G20,IF(OR(Umse!$B$11="6.1.",Umse!$B$11="6.2.",Umse!$B$11="6.3.",Umse!$B$11="6.4.",$A$1="6.5.",$A$1="6.6."),'LKr Mask'!G20,0)))</f>
        <v>0</v>
      </c>
      <c r="H20" s="308">
        <f>IF(OR(Umse!$C$24=0,Umse!$B$11=0),0,IF(OR(Umse!$B$11="3.1.",Umse!$B$11="3.2.",Umse!$B$11="3.5.",Umse!$B$11="3.6.",Umse!$B$11="3.9.",Umse!$B$11="3.10.",Umse!$B$11="4.1.",Umse!$B$11="4.2.",Umse!$B$11="4.3.",Umse!$B$11="4.4.",Umse!$B$11="4.5.",Umse!$B$11="4.6."),'VKr Mask'!H20,IF(OR(Umse!$B$11="6.1.",Umse!$B$11="6.2.",Umse!$B$11="6.3.",Umse!$B$11="6.4.",$A$1="6.5.",$A$1="6.6."),'LKr Mask'!H20,0)))</f>
        <v>0</v>
      </c>
      <c r="I20" s="308">
        <f>IF(OR(Umse!$C$24=0,Umse!$B$11=0),0,IF(OR(Umse!$B$11="3.1.",Umse!$B$11="3.2.",Umse!$B$11="3.5.",Umse!$B$11="3.6.",Umse!$B$11="3.9.",Umse!$B$11="3.10.",Umse!$B$11="4.1.",Umse!$B$11="4.2.",Umse!$B$11="4.3.",Umse!$B$11="4.4.",Umse!$B$11="4.5.",Umse!$B$11="4.6."),'VKr Mask'!I20,IF(OR(Umse!$B$11="6.1.",Umse!$B$11="6.2.",Umse!$B$11="6.3.",Umse!$B$11="6.4.",$A$1="6.5.",$A$1="6.6."),'LKr Mask'!I20,0)))</f>
        <v>0</v>
      </c>
      <c r="J20" s="307" t="str">
        <f>IF(OR(Umse!$B$11="3.1.",Umse!$B$11="3.2.",Umse!$B$11="4.1.",Umse!$B$11="4.2.",Umse!$B$11="4.3.",Umse!$B$11="4.4.",Umse!$B$11="4.5.",Umse!$B$11="4.6."),'VKr Mask'!J20,IF(OR(Umse!$B$11="6.1.",Umse!$B$11="6.2.",Umse!$B$11="6.3.",Umse!$B$11="6.4."),'LKr Mask'!J20,""))</f>
        <v/>
      </c>
      <c r="K20" s="306" t="str">
        <f>IF(OR(Umse!$B$11="3.1.",Umse!$B$11="3.2.",Umse!$B$11="3.5.",Umse!$B$11="3.6.",Umse!$B$11="3.9.",Umse!$B$11="3.10.",Umse!$B$11="4.1.",Umse!$B$11="4.2.",Umse!$B$11="4.3.",Umse!$B$11="4.4.",Umse!$B$11="4.5.",Umse!$B$11="4.6."),'VKr Mask'!K20,IF(OR(Umse!$B$11="6.1.",Umse!$B$11="6.2.",Umse!$B$11="6.3.",Umse!$B$11="6.4.",$A$1="6.5.",$A$1="6.6."),'LKr Mask'!K20,""))</f>
        <v/>
      </c>
      <c r="L20" s="322" t="str">
        <f>IF(OR(Umse!$B$11="3.1.",Umse!$B$11="3.2.",Umse!$B$11="3.5.",Umse!$B$11="3.6.",Umse!$B$11="3.9.",Umse!$B$11="3.10.",Umse!$B$11="4.1.",Umse!$B$11="4.2.",Umse!$B$11="4.3.",Umse!$B$11="4.4.",Umse!$B$11="4.5.",Umse!$B$11="4.6."),'VKr Mask'!L20,IF(OR(Umse!$B$11="6.1.",Umse!$B$11="6.2.",Umse!$B$11="6.3.",Umse!$B$11="6.4.",$A$1="6.5.",$A$1="6.6."),'LKr Mask'!L20,""))</f>
        <v/>
      </c>
      <c r="M20" s="308">
        <f>IF(OR(Umse!$B$11="3.1.",Umse!$B$11="3.2.",Umse!$B$11="3.5.",Umse!$B$11="3.6.",Umse!$B$11="3.9.",Umse!$B$11="3.10.",Umse!$B$11="4.1.",Umse!$B$11="4.2.",Umse!$B$11="4.3.",Umse!$B$11="4.4.",Umse!$B$11="4.5.",Umse!$B$11="4.6."),'VKr Mask'!M20,IF(OR(Umse!$B$11="6.1.",Umse!$B$11="6.2.",Umse!$B$11="6.3.",Umse!$B$11="6.4.",$A$1="6.5.",$A$1="6.6."),'LKr Mask'!M20,0))</f>
        <v>0</v>
      </c>
      <c r="N20" s="308">
        <f>IF(OR(Umse!$B$11="3.1.",Umse!$B$11="3.2.",Umse!$B$11="3.5.",Umse!$B$11="3.6.",Umse!$B$11="3.9.",Umse!$B$11="3.10.",Umse!$B$11="4.1.",Umse!$B$11="4.2.",Umse!$B$11="4.3.",Umse!$B$11="4.4.",Umse!$B$11="4.5.",Umse!$B$11="4.6."),'VKr Mask'!N20,IF(OR(Umse!$B$11="6.1.",Umse!$B$11="6.2.",Umse!$B$11="6.3.",Umse!$B$11="6.4.",$A$1="6.5.",$A$1="6.6."),'LKr Mask'!N20,0))</f>
        <v>0</v>
      </c>
      <c r="O20" s="308">
        <f>IF(OR(Umse!$B$11="3.1.",Umse!$B$11="3.2.",Umse!$B$11="3.5.",Umse!$B$11="3.6.",Umse!$B$11="3.9.",Umse!$B$11="3.10.",Umse!$B$11="4.1.",Umse!$B$11="4.2.",Umse!$B$11="4.3.",Umse!$B$11="4.4.",Umse!$B$11="4.5.",Umse!$B$11="4.6."),'VKr Mask'!O20,IF(OR(Umse!$B$11="6.1.",Umse!$B$11="6.2.",Umse!$B$11="6.3.",Umse!$B$11="6.4.",$A$1="6.5.",$A$1="6.6."),'LKr Mask'!O20,0))</f>
        <v>0</v>
      </c>
      <c r="P20" s="308">
        <f>IF(OR(Umse!$B$11="3.1.",Umse!$B$11="3.2.",Umse!$B$11="3.5.",Umse!$B$11="3.6.",Umse!$B$11="3.9.",Umse!$B$11="3.10.",Umse!$B$11="4.1.",Umse!$B$11="4.2.",Umse!$B$11="4.3.",Umse!$B$11="4.4.",Umse!$B$11="4.5.",Umse!$B$11="4.6."),'VKr Mask'!P20,IF(OR(Umse!$B$11="6.1.",Umse!$B$11="6.2.",Umse!$B$11="6.3.",Umse!$B$11="6.4.",$A$1="6.5.",$A$1="6.6."),'LKr Mask'!P20,0))</f>
        <v>0</v>
      </c>
      <c r="Q20" s="308">
        <f>IF(OR(Umse!$B$11="3.1.",Umse!$B$11="3.2.",Umse!$B$11="3.5.",Umse!$B$11="3.6.",Umse!$B$11="3.9.",Umse!$B$11="3.10.",Umse!$B$11="4.1.",Umse!$B$11="4.2.",Umse!$B$11="4.3.",Umse!$B$11="4.4.",Umse!$B$11="4.5.",Umse!$B$11="4.6."),'VKr Mask'!Q20,IF(OR(Umse!$B$11="6.1.",Umse!$B$11="6.2.",Umse!$B$11="6.3.",Umse!$B$11="6.4.",$A$1="6.5.",$A$1="6.6."),'LKr Mask'!Q20,0))</f>
        <v>0</v>
      </c>
      <c r="R20" s="308">
        <f>IF(OR(Umse!$B$11="3.1.",Umse!$B$11="3.2.",Umse!$B$11="3.5.",Umse!$B$11="3.6.",Umse!$B$11="3.9.",Umse!$B$11="3.10.",Umse!$B$11="4.1.",Umse!$B$11="4.2.",Umse!$B$11="4.3.",Umse!$B$11="4.4.",Umse!$B$11="4.5.",Umse!$B$11="4.6."),'VKr Mask'!R20,IF(OR(Umse!$B$11="6.1.",Umse!$B$11="6.2.",Umse!$B$11="6.3.",Umse!$B$11="6.4.",$A$1="6.5.",$A$1="6.6."),'LKr Mask'!R20,0))</f>
        <v>0</v>
      </c>
    </row>
    <row r="21" spans="2:29" ht="11.25" customHeight="1">
      <c r="B21" s="306" t="str">
        <f t="shared" si="1"/>
        <v/>
      </c>
      <c r="C21" s="322" t="str">
        <f t="shared" si="1"/>
        <v/>
      </c>
      <c r="D21" s="308">
        <f>IF(OR(Umse!$C$24=0,Umse!$B$11=0),0,IF(OR(Umse!$B$11="3.1.",Umse!$B$11="3.2.",Umse!$B$11="3.5.",Umse!$B$11="3.6.",Umse!$B$11="3.9.",Umse!$B$11="3.10.",Umse!$B$11="4.1.",Umse!$B$11="4.2.",Umse!$B$11="4.3.",Umse!$B$11="4.4.",Umse!$B$11="4.5.",Umse!$B$11="4.6."),'VKr Mask'!D21,IF(OR(Umse!$B$11="6.1.",Umse!$B$11="6.2.",Umse!$B$11="6.3.",Umse!$B$11="6.4.",$A$1="6.5.",$A$1="6.6."),'LKr Mask'!D21,0)))</f>
        <v>0</v>
      </c>
      <c r="E21" s="308">
        <f>IF(OR(Umse!$C$24=0,Umse!$B$11=0),0,IF(OR(Umse!$B$11="3.1.",Umse!$B$11="3.2.",Umse!$B$11="3.5.",Umse!$B$11="3.6.",Umse!$B$11="3.9.",Umse!$B$11="3.10.",Umse!$B$11="4.1.",Umse!$B$11="4.2.",Umse!$B$11="4.3.",Umse!$B$11="4.4.",Umse!$B$11="4.5.",Umse!$B$11="4.6."),'VKr Mask'!E21,IF(OR(Umse!$B$11="6.1.",Umse!$B$11="6.2.",Umse!$B$11="6.3.",Umse!$B$11="6.4.",$A$1="6.5.",$A$1="6.6."),'LKr Mask'!E21,0)))</f>
        <v>0</v>
      </c>
      <c r="F21" s="308">
        <f>IF(OR(Umse!$C$24=0,Umse!$B$11=0),0,IF(OR(Umse!$B$11="3.1.",Umse!$B$11="3.2.",Umse!$B$11="3.5.",Umse!$B$11="3.6.",Umse!$B$11="3.9.",Umse!$B$11="3.10.",Umse!$B$11="4.1.",Umse!$B$11="4.2.",Umse!$B$11="4.3.",Umse!$B$11="4.4.",Umse!$B$11="4.5.",Umse!$B$11="4.6."),'VKr Mask'!F21,IF(OR(Umse!$B$11="6.1.",Umse!$B$11="6.2.",Umse!$B$11="6.3.",Umse!$B$11="6.4.",$A$1="6.5.",$A$1="6.6."),'LKr Mask'!F21,0)))</f>
        <v>0</v>
      </c>
      <c r="G21" s="308">
        <f>IF(OR(Umse!$C$24=0,Umse!$B$11=0),0,IF(OR(Umse!$B$11="3.1.",Umse!$B$11="3.2.",Umse!$B$11="3.5.",Umse!$B$11="3.6.",Umse!$B$11="3.9.",Umse!$B$11="3.10.",Umse!$B$11="4.1.",Umse!$B$11="4.2.",Umse!$B$11="4.3.",Umse!$B$11="4.4.",Umse!$B$11="4.5.",Umse!$B$11="4.6."),'VKr Mask'!G21,IF(OR(Umse!$B$11="6.1.",Umse!$B$11="6.2.",Umse!$B$11="6.3.",Umse!$B$11="6.4.",$A$1="6.5.",$A$1="6.6."),'LKr Mask'!G21,0)))</f>
        <v>0</v>
      </c>
      <c r="H21" s="308">
        <f>IF(OR(Umse!$C$24=0,Umse!$B$11=0),0,IF(OR(Umse!$B$11="3.1.",Umse!$B$11="3.2.",Umse!$B$11="3.5.",Umse!$B$11="3.6.",Umse!$B$11="3.9.",Umse!$B$11="3.10.",Umse!$B$11="4.1.",Umse!$B$11="4.2.",Umse!$B$11="4.3.",Umse!$B$11="4.4.",Umse!$B$11="4.5.",Umse!$B$11="4.6."),'VKr Mask'!H21,IF(OR(Umse!$B$11="6.1.",Umse!$B$11="6.2.",Umse!$B$11="6.3.",Umse!$B$11="6.4.",$A$1="6.5.",$A$1="6.6."),'LKr Mask'!H21,0)))</f>
        <v>0</v>
      </c>
      <c r="I21" s="308">
        <f>IF(OR(Umse!$C$24=0,Umse!$B$11=0),0,IF(OR(Umse!$B$11="3.1.",Umse!$B$11="3.2.",Umse!$B$11="3.5.",Umse!$B$11="3.6.",Umse!$B$11="3.9.",Umse!$B$11="3.10.",Umse!$B$11="4.1.",Umse!$B$11="4.2.",Umse!$B$11="4.3.",Umse!$B$11="4.4.",Umse!$B$11="4.5.",Umse!$B$11="4.6."),'VKr Mask'!I21,IF(OR(Umse!$B$11="6.1.",Umse!$B$11="6.2.",Umse!$B$11="6.3.",Umse!$B$11="6.4.",$A$1="6.5.",$A$1="6.6."),'LKr Mask'!I21,0)))</f>
        <v>0</v>
      </c>
      <c r="J21" s="307" t="str">
        <f>IF(OR(Umse!$B$11="3.1.",Umse!$B$11="3.2.",Umse!$B$11="4.1.",Umse!$B$11="4.2.",Umse!$B$11="4.3.",Umse!$B$11="4.4.",Umse!$B$11="4.5.",Umse!$B$11="4.6."),'VKr Mask'!J21,IF(OR(Umse!$B$11="6.1.",Umse!$B$11="6.2.",Umse!$B$11="6.3.",Umse!$B$11="6.4."),'LKr Mask'!J21,""))</f>
        <v/>
      </c>
      <c r="K21" s="306" t="str">
        <f>IF(OR(Umse!$B$11="3.1.",Umse!$B$11="3.2.",Umse!$B$11="3.5.",Umse!$B$11="3.6.",Umse!$B$11="3.9.",Umse!$B$11="3.10.",Umse!$B$11="4.1.",Umse!$B$11="4.2.",Umse!$B$11="4.3.",Umse!$B$11="4.4.",Umse!$B$11="4.5.",Umse!$B$11="4.6."),'VKr Mask'!K21,IF(OR(Umse!$B$11="6.1.",Umse!$B$11="6.2.",Umse!$B$11="6.3.",Umse!$B$11="6.4.",$A$1="6.5.",$A$1="6.6."),'LKr Mask'!K21,""))</f>
        <v/>
      </c>
      <c r="L21" s="322" t="str">
        <f>IF(OR(Umse!$B$11="3.1.",Umse!$B$11="3.2.",Umse!$B$11="3.5.",Umse!$B$11="3.6.",Umse!$B$11="3.9.",Umse!$B$11="3.10.",Umse!$B$11="4.1.",Umse!$B$11="4.2.",Umse!$B$11="4.3.",Umse!$B$11="4.4.",Umse!$B$11="4.5.",Umse!$B$11="4.6."),'VKr Mask'!L21,IF(OR(Umse!$B$11="6.1.",Umse!$B$11="6.2.",Umse!$B$11="6.3.",Umse!$B$11="6.4.",$A$1="6.5.",$A$1="6.6."),'LKr Mask'!L21,""))</f>
        <v/>
      </c>
      <c r="M21" s="308">
        <f>IF(OR(Umse!$B$11="3.1.",Umse!$B$11="3.2.",Umse!$B$11="3.5.",Umse!$B$11="3.6.",Umse!$B$11="3.9.",Umse!$B$11="3.10.",Umse!$B$11="4.1.",Umse!$B$11="4.2.",Umse!$B$11="4.3.",Umse!$B$11="4.4.",Umse!$B$11="4.5.",Umse!$B$11="4.6."),'VKr Mask'!M21,IF(OR(Umse!$B$11="6.1.",Umse!$B$11="6.2.",Umse!$B$11="6.3.",Umse!$B$11="6.4.",$A$1="6.5.",$A$1="6.6."),'LKr Mask'!M21,0))</f>
        <v>0</v>
      </c>
      <c r="N21" s="308">
        <f>IF(OR(Umse!$B$11="3.1.",Umse!$B$11="3.2.",Umse!$B$11="3.5.",Umse!$B$11="3.6.",Umse!$B$11="3.9.",Umse!$B$11="3.10.",Umse!$B$11="4.1.",Umse!$B$11="4.2.",Umse!$B$11="4.3.",Umse!$B$11="4.4.",Umse!$B$11="4.5.",Umse!$B$11="4.6."),'VKr Mask'!N21,IF(OR(Umse!$B$11="6.1.",Umse!$B$11="6.2.",Umse!$B$11="6.3.",Umse!$B$11="6.4.",$A$1="6.5.",$A$1="6.6."),'LKr Mask'!N21,0))</f>
        <v>0</v>
      </c>
      <c r="O21" s="308">
        <f>IF(OR(Umse!$B$11="3.1.",Umse!$B$11="3.2.",Umse!$B$11="3.5.",Umse!$B$11="3.6.",Umse!$B$11="3.9.",Umse!$B$11="3.10.",Umse!$B$11="4.1.",Umse!$B$11="4.2.",Umse!$B$11="4.3.",Umse!$B$11="4.4.",Umse!$B$11="4.5.",Umse!$B$11="4.6."),'VKr Mask'!O21,IF(OR(Umse!$B$11="6.1.",Umse!$B$11="6.2.",Umse!$B$11="6.3.",Umse!$B$11="6.4.",$A$1="6.5.",$A$1="6.6."),'LKr Mask'!O21,0))</f>
        <v>0</v>
      </c>
      <c r="P21" s="308">
        <f>IF(OR(Umse!$B$11="3.1.",Umse!$B$11="3.2.",Umse!$B$11="3.5.",Umse!$B$11="3.6.",Umse!$B$11="3.9.",Umse!$B$11="3.10.",Umse!$B$11="4.1.",Umse!$B$11="4.2.",Umse!$B$11="4.3.",Umse!$B$11="4.4.",Umse!$B$11="4.5.",Umse!$B$11="4.6."),'VKr Mask'!P21,IF(OR(Umse!$B$11="6.1.",Umse!$B$11="6.2.",Umse!$B$11="6.3.",Umse!$B$11="6.4.",$A$1="6.5.",$A$1="6.6."),'LKr Mask'!P21,0))</f>
        <v>0</v>
      </c>
      <c r="Q21" s="308">
        <f>IF(OR(Umse!$B$11="3.1.",Umse!$B$11="3.2.",Umse!$B$11="3.5.",Umse!$B$11="3.6.",Umse!$B$11="3.9.",Umse!$B$11="3.10.",Umse!$B$11="4.1.",Umse!$B$11="4.2.",Umse!$B$11="4.3.",Umse!$B$11="4.4.",Umse!$B$11="4.5.",Umse!$B$11="4.6."),'VKr Mask'!Q21,IF(OR(Umse!$B$11="6.1.",Umse!$B$11="6.2.",Umse!$B$11="6.3.",Umse!$B$11="6.4.",$A$1="6.5.",$A$1="6.6."),'LKr Mask'!Q21,0))</f>
        <v>0</v>
      </c>
      <c r="R21" s="308">
        <f>IF(OR(Umse!$B$11="3.1.",Umse!$B$11="3.2.",Umse!$B$11="3.5.",Umse!$B$11="3.6.",Umse!$B$11="3.9.",Umse!$B$11="3.10.",Umse!$B$11="4.1.",Umse!$B$11="4.2.",Umse!$B$11="4.3.",Umse!$B$11="4.4.",Umse!$B$11="4.5.",Umse!$B$11="4.6."),'VKr Mask'!R21,IF(OR(Umse!$B$11="6.1.",Umse!$B$11="6.2.",Umse!$B$11="6.3.",Umse!$B$11="6.4.",$A$1="6.5.",$A$1="6.6."),'LKr Mask'!R21,0))</f>
        <v>0</v>
      </c>
    </row>
    <row r="22" spans="2:29" ht="11.25" customHeight="1">
      <c r="B22" s="306" t="str">
        <f t="shared" si="1"/>
        <v/>
      </c>
      <c r="C22" s="322" t="str">
        <f t="shared" si="1"/>
        <v/>
      </c>
      <c r="D22" s="308">
        <f>IF(OR(Umse!$C$24=0,Umse!$B$11=0),0,IF(OR(Umse!$B$11="3.1.",Umse!$B$11="3.2.",Umse!$B$11="3.5.",Umse!$B$11="3.6.",Umse!$B$11="3.9.",Umse!$B$11="3.10.",Umse!$B$11="4.1.",Umse!$B$11="4.2.",Umse!$B$11="4.3.",Umse!$B$11="4.4.",Umse!$B$11="4.5.",Umse!$B$11="4.6."),'VKr Mask'!D22,IF(OR(Umse!$B$11="6.1.",Umse!$B$11="6.2.",Umse!$B$11="6.3.",Umse!$B$11="6.4.",$A$1="6.5.",$A$1="6.6."),'LKr Mask'!D22,0)))</f>
        <v>0</v>
      </c>
      <c r="E22" s="308">
        <f>IF(OR(Umse!$C$24=0,Umse!$B$11=0),0,IF(OR(Umse!$B$11="3.1.",Umse!$B$11="3.2.",Umse!$B$11="3.5.",Umse!$B$11="3.6.",Umse!$B$11="3.9.",Umse!$B$11="3.10.",Umse!$B$11="4.1.",Umse!$B$11="4.2.",Umse!$B$11="4.3.",Umse!$B$11="4.4.",Umse!$B$11="4.5.",Umse!$B$11="4.6."),'VKr Mask'!E22,IF(OR(Umse!$B$11="6.1.",Umse!$B$11="6.2.",Umse!$B$11="6.3.",Umse!$B$11="6.4.",$A$1="6.5.",$A$1="6.6."),'LKr Mask'!E22,0)))</f>
        <v>0</v>
      </c>
      <c r="F22" s="308">
        <f>IF(OR(Umse!$C$24=0,Umse!$B$11=0),0,IF(OR(Umse!$B$11="3.1.",Umse!$B$11="3.2.",Umse!$B$11="3.5.",Umse!$B$11="3.6.",Umse!$B$11="3.9.",Umse!$B$11="3.10.",Umse!$B$11="4.1.",Umse!$B$11="4.2.",Umse!$B$11="4.3.",Umse!$B$11="4.4.",Umse!$B$11="4.5.",Umse!$B$11="4.6."),'VKr Mask'!F22,IF(OR(Umse!$B$11="6.1.",Umse!$B$11="6.2.",Umse!$B$11="6.3.",Umse!$B$11="6.4.",$A$1="6.5.",$A$1="6.6."),'LKr Mask'!F22,0)))</f>
        <v>0</v>
      </c>
      <c r="G22" s="308">
        <f>IF(OR(Umse!$C$24=0,Umse!$B$11=0),0,IF(OR(Umse!$B$11="3.1.",Umse!$B$11="3.2.",Umse!$B$11="3.5.",Umse!$B$11="3.6.",Umse!$B$11="3.9.",Umse!$B$11="3.10.",Umse!$B$11="4.1.",Umse!$B$11="4.2.",Umse!$B$11="4.3.",Umse!$B$11="4.4.",Umse!$B$11="4.5.",Umse!$B$11="4.6."),'VKr Mask'!G22,IF(OR(Umse!$B$11="6.1.",Umse!$B$11="6.2.",Umse!$B$11="6.3.",Umse!$B$11="6.4.",$A$1="6.5.",$A$1="6.6."),'LKr Mask'!G22,0)))</f>
        <v>0</v>
      </c>
      <c r="H22" s="308">
        <f>IF(OR(Umse!$C$24=0,Umse!$B$11=0),0,IF(OR(Umse!$B$11="3.1.",Umse!$B$11="3.2.",Umse!$B$11="3.5.",Umse!$B$11="3.6.",Umse!$B$11="3.9.",Umse!$B$11="3.10.",Umse!$B$11="4.1.",Umse!$B$11="4.2.",Umse!$B$11="4.3.",Umse!$B$11="4.4.",Umse!$B$11="4.5.",Umse!$B$11="4.6."),'VKr Mask'!H22,IF(OR(Umse!$B$11="6.1.",Umse!$B$11="6.2.",Umse!$B$11="6.3.",Umse!$B$11="6.4.",$A$1="6.5.",$A$1="6.6."),'LKr Mask'!H22,0)))</f>
        <v>0</v>
      </c>
      <c r="I22" s="308">
        <f>IF(OR(Umse!$C$24=0,Umse!$B$11=0),0,IF(OR(Umse!$B$11="3.1.",Umse!$B$11="3.2.",Umse!$B$11="3.5.",Umse!$B$11="3.6.",Umse!$B$11="3.9.",Umse!$B$11="3.10.",Umse!$B$11="4.1.",Umse!$B$11="4.2.",Umse!$B$11="4.3.",Umse!$B$11="4.4.",Umse!$B$11="4.5.",Umse!$B$11="4.6."),'VKr Mask'!I22,IF(OR(Umse!$B$11="6.1.",Umse!$B$11="6.2.",Umse!$B$11="6.3.",Umse!$B$11="6.4.",$A$1="6.5.",$A$1="6.6."),'LKr Mask'!I22,0)))</f>
        <v>0</v>
      </c>
      <c r="J22" s="307" t="str">
        <f>IF(OR(Umse!$B$11="3.1.",Umse!$B$11="3.2.",Umse!$B$11="4.1.",Umse!$B$11="4.2.",Umse!$B$11="4.3.",Umse!$B$11="4.4.",Umse!$B$11="4.5.",Umse!$B$11="4.6."),'VKr Mask'!J22,IF(OR(Umse!$B$11="6.1.",Umse!$B$11="6.2.",Umse!$B$11="6.3.",Umse!$B$11="6.4."),'LKr Mask'!J22,""))</f>
        <v/>
      </c>
      <c r="K22" s="306" t="str">
        <f>IF(OR(Umse!$B$11="3.1.",Umse!$B$11="3.2.",Umse!$B$11="3.5.",Umse!$B$11="3.6.",Umse!$B$11="3.9.",Umse!$B$11="3.10.",Umse!$B$11="4.1.",Umse!$B$11="4.2.",Umse!$B$11="4.3.",Umse!$B$11="4.4.",Umse!$B$11="4.5.",Umse!$B$11="4.6."),'VKr Mask'!K22,IF(OR(Umse!$B$11="6.1.",Umse!$B$11="6.2.",Umse!$B$11="6.3.",Umse!$B$11="6.4.",$A$1="6.5.",$A$1="6.6."),'LKr Mask'!K22,""))</f>
        <v/>
      </c>
      <c r="L22" s="322" t="str">
        <f>IF(OR(Umse!$B$11="3.1.",Umse!$B$11="3.2.",Umse!$B$11="3.5.",Umse!$B$11="3.6.",Umse!$B$11="3.9.",Umse!$B$11="3.10.",Umse!$B$11="4.1.",Umse!$B$11="4.2.",Umse!$B$11="4.3.",Umse!$B$11="4.4.",Umse!$B$11="4.5.",Umse!$B$11="4.6."),'VKr Mask'!L22,IF(OR(Umse!$B$11="6.1.",Umse!$B$11="6.2.",Umse!$B$11="6.3.",Umse!$B$11="6.4.",$A$1="6.5.",$A$1="6.6."),'LKr Mask'!L22,""))</f>
        <v/>
      </c>
      <c r="M22" s="308">
        <f>IF(OR(Umse!$B$11="3.1.",Umse!$B$11="3.2.",Umse!$B$11="3.5.",Umse!$B$11="3.6.",Umse!$B$11="3.9.",Umse!$B$11="3.10.",Umse!$B$11="4.1.",Umse!$B$11="4.2.",Umse!$B$11="4.3.",Umse!$B$11="4.4.",Umse!$B$11="4.5.",Umse!$B$11="4.6."),'VKr Mask'!M22,IF(OR(Umse!$B$11="6.1.",Umse!$B$11="6.2.",Umse!$B$11="6.3.",Umse!$B$11="6.4.",$A$1="6.5.",$A$1="6.6."),'LKr Mask'!M22,0))</f>
        <v>0</v>
      </c>
      <c r="N22" s="308">
        <f>IF(OR(Umse!$B$11="3.1.",Umse!$B$11="3.2.",Umse!$B$11="3.5.",Umse!$B$11="3.6.",Umse!$B$11="3.9.",Umse!$B$11="3.10.",Umse!$B$11="4.1.",Umse!$B$11="4.2.",Umse!$B$11="4.3.",Umse!$B$11="4.4.",Umse!$B$11="4.5.",Umse!$B$11="4.6."),'VKr Mask'!N22,IF(OR(Umse!$B$11="6.1.",Umse!$B$11="6.2.",Umse!$B$11="6.3.",Umse!$B$11="6.4.",$A$1="6.5.",$A$1="6.6."),'LKr Mask'!N22,0))</f>
        <v>0</v>
      </c>
      <c r="O22" s="308">
        <f>IF(OR(Umse!$B$11="3.1.",Umse!$B$11="3.2.",Umse!$B$11="3.5.",Umse!$B$11="3.6.",Umse!$B$11="3.9.",Umse!$B$11="3.10.",Umse!$B$11="4.1.",Umse!$B$11="4.2.",Umse!$B$11="4.3.",Umse!$B$11="4.4.",Umse!$B$11="4.5.",Umse!$B$11="4.6."),'VKr Mask'!O22,IF(OR(Umse!$B$11="6.1.",Umse!$B$11="6.2.",Umse!$B$11="6.3.",Umse!$B$11="6.4.",$A$1="6.5.",$A$1="6.6."),'LKr Mask'!O22,0))</f>
        <v>0</v>
      </c>
      <c r="P22" s="308">
        <f>IF(OR(Umse!$B$11="3.1.",Umse!$B$11="3.2.",Umse!$B$11="3.5.",Umse!$B$11="3.6.",Umse!$B$11="3.9.",Umse!$B$11="3.10.",Umse!$B$11="4.1.",Umse!$B$11="4.2.",Umse!$B$11="4.3.",Umse!$B$11="4.4.",Umse!$B$11="4.5.",Umse!$B$11="4.6."),'VKr Mask'!P22,IF(OR(Umse!$B$11="6.1.",Umse!$B$11="6.2.",Umse!$B$11="6.3.",Umse!$B$11="6.4.",$A$1="6.5.",$A$1="6.6."),'LKr Mask'!P22,0))</f>
        <v>0</v>
      </c>
      <c r="Q22" s="308">
        <f>IF(OR(Umse!$B$11="3.1.",Umse!$B$11="3.2.",Umse!$B$11="3.5.",Umse!$B$11="3.6.",Umse!$B$11="3.9.",Umse!$B$11="3.10.",Umse!$B$11="4.1.",Umse!$B$11="4.2.",Umse!$B$11="4.3.",Umse!$B$11="4.4.",Umse!$B$11="4.5.",Umse!$B$11="4.6."),'VKr Mask'!Q22,IF(OR(Umse!$B$11="6.1.",Umse!$B$11="6.2.",Umse!$B$11="6.3.",Umse!$B$11="6.4.",$A$1="6.5.",$A$1="6.6."),'LKr Mask'!Q22,0))</f>
        <v>0</v>
      </c>
      <c r="R22" s="308">
        <f>IF(OR(Umse!$B$11="3.1.",Umse!$B$11="3.2.",Umse!$B$11="3.5.",Umse!$B$11="3.6.",Umse!$B$11="3.9.",Umse!$B$11="3.10.",Umse!$B$11="4.1.",Umse!$B$11="4.2.",Umse!$B$11="4.3.",Umse!$B$11="4.4.",Umse!$B$11="4.5.",Umse!$B$11="4.6."),'VKr Mask'!R22,IF(OR(Umse!$B$11="6.1.",Umse!$B$11="6.2.",Umse!$B$11="6.3.",Umse!$B$11="6.4.",$A$1="6.5.",$A$1="6.6."),'LKr Mask'!R22,0))</f>
        <v>0</v>
      </c>
    </row>
    <row r="23" spans="2:29" ht="11.25" customHeight="1">
      <c r="B23" s="306" t="str">
        <f t="shared" si="1"/>
        <v/>
      </c>
      <c r="C23" s="322" t="str">
        <f t="shared" si="1"/>
        <v/>
      </c>
      <c r="D23" s="308">
        <f>IF(OR(Umse!$C$24=0,Umse!$B$11=0),0,IF(OR(Umse!$B$11="3.1.",Umse!$B$11="3.2.",Umse!$B$11="3.5.",Umse!$B$11="3.6.",Umse!$B$11="3.9.",Umse!$B$11="3.10.",Umse!$B$11="4.1.",Umse!$B$11="4.2.",Umse!$B$11="4.3.",Umse!$B$11="4.4.",Umse!$B$11="4.5.",Umse!$B$11="4.6."),'VKr Mask'!D23,IF(OR(Umse!$B$11="6.1.",Umse!$B$11="6.2.",Umse!$B$11="6.3.",Umse!$B$11="6.4.",$A$1="6.5.",$A$1="6.6."),'LKr Mask'!D23,0)))</f>
        <v>0</v>
      </c>
      <c r="E23" s="308">
        <f>IF(OR(Umse!$C$24=0,Umse!$B$11=0),0,IF(OR(Umse!$B$11="3.1.",Umse!$B$11="3.2.",Umse!$B$11="3.5.",Umse!$B$11="3.6.",Umse!$B$11="3.9.",Umse!$B$11="3.10.",Umse!$B$11="4.1.",Umse!$B$11="4.2.",Umse!$B$11="4.3.",Umse!$B$11="4.4.",Umse!$B$11="4.5.",Umse!$B$11="4.6."),'VKr Mask'!E23,IF(OR(Umse!$B$11="6.1.",Umse!$B$11="6.2.",Umse!$B$11="6.3.",Umse!$B$11="6.4.",$A$1="6.5.",$A$1="6.6."),'LKr Mask'!E23,0)))</f>
        <v>0</v>
      </c>
      <c r="F23" s="308">
        <f>IF(OR(Umse!$C$24=0,Umse!$B$11=0),0,IF(OR(Umse!$B$11="3.1.",Umse!$B$11="3.2.",Umse!$B$11="3.5.",Umse!$B$11="3.6.",Umse!$B$11="3.9.",Umse!$B$11="3.10.",Umse!$B$11="4.1.",Umse!$B$11="4.2.",Umse!$B$11="4.3.",Umse!$B$11="4.4.",Umse!$B$11="4.5.",Umse!$B$11="4.6."),'VKr Mask'!F23,IF(OR(Umse!$B$11="6.1.",Umse!$B$11="6.2.",Umse!$B$11="6.3.",Umse!$B$11="6.4.",$A$1="6.5.",$A$1="6.6."),'LKr Mask'!F23,0)))</f>
        <v>0</v>
      </c>
      <c r="G23" s="308">
        <f>IF(OR(Umse!$C$24=0,Umse!$B$11=0),0,IF(OR(Umse!$B$11="3.1.",Umse!$B$11="3.2.",Umse!$B$11="3.5.",Umse!$B$11="3.6.",Umse!$B$11="3.9.",Umse!$B$11="3.10.",Umse!$B$11="4.1.",Umse!$B$11="4.2.",Umse!$B$11="4.3.",Umse!$B$11="4.4.",Umse!$B$11="4.5.",Umse!$B$11="4.6."),'VKr Mask'!G23,IF(OR(Umse!$B$11="6.1.",Umse!$B$11="6.2.",Umse!$B$11="6.3.",Umse!$B$11="6.4.",$A$1="6.5.",$A$1="6.6."),'LKr Mask'!G23,0)))</f>
        <v>0</v>
      </c>
      <c r="H23" s="308">
        <f>IF(OR(Umse!$C$24=0,Umse!$B$11=0),0,IF(OR(Umse!$B$11="3.1.",Umse!$B$11="3.2.",Umse!$B$11="3.5.",Umse!$B$11="3.6.",Umse!$B$11="3.9.",Umse!$B$11="3.10.",Umse!$B$11="4.1.",Umse!$B$11="4.2.",Umse!$B$11="4.3.",Umse!$B$11="4.4.",Umse!$B$11="4.5.",Umse!$B$11="4.6."),'VKr Mask'!H23,IF(OR(Umse!$B$11="6.1.",Umse!$B$11="6.2.",Umse!$B$11="6.3.",Umse!$B$11="6.4.",$A$1="6.5.",$A$1="6.6."),'LKr Mask'!H23,0)))</f>
        <v>0</v>
      </c>
      <c r="I23" s="308">
        <f>IF(OR(Umse!$C$24=0,Umse!$B$11=0),0,IF(OR(Umse!$B$11="3.1.",Umse!$B$11="3.2.",Umse!$B$11="3.5.",Umse!$B$11="3.6.",Umse!$B$11="3.9.",Umse!$B$11="3.10.",Umse!$B$11="4.1.",Umse!$B$11="4.2.",Umse!$B$11="4.3.",Umse!$B$11="4.4.",Umse!$B$11="4.5.",Umse!$B$11="4.6."),'VKr Mask'!I23,IF(OR(Umse!$B$11="6.1.",Umse!$B$11="6.2.",Umse!$B$11="6.3.",Umse!$B$11="6.4.",$A$1="6.5.",$A$1="6.6."),'LKr Mask'!I23,0)))</f>
        <v>0</v>
      </c>
      <c r="J23" s="307" t="str">
        <f>IF(OR(Umse!$B$11="3.1.",Umse!$B$11="3.2.",Umse!$B$11="4.1.",Umse!$B$11="4.2.",Umse!$B$11="4.3.",Umse!$B$11="4.4.",Umse!$B$11="4.5.",Umse!$B$11="4.6."),'VKr Mask'!J23,IF(OR(Umse!$B$11="6.1.",Umse!$B$11="6.2.",Umse!$B$11="6.3.",Umse!$B$11="6.4."),'LKr Mask'!J23,""))</f>
        <v/>
      </c>
      <c r="K23" s="306" t="str">
        <f>IF(OR(Umse!$B$11="3.1.",Umse!$B$11="3.2.",Umse!$B$11="3.5.",Umse!$B$11="3.6.",Umse!$B$11="3.9.",Umse!$B$11="3.10.",Umse!$B$11="4.1.",Umse!$B$11="4.2.",Umse!$B$11="4.3.",Umse!$B$11="4.4.",Umse!$B$11="4.5.",Umse!$B$11="4.6."),'VKr Mask'!K23,IF(OR(Umse!$B$11="6.1.",Umse!$B$11="6.2.",Umse!$B$11="6.3.",Umse!$B$11="6.4.",$A$1="6.5.",$A$1="6.6."),'LKr Mask'!K23,""))</f>
        <v/>
      </c>
      <c r="L23" s="322" t="str">
        <f>IF(OR(Umse!$B$11="3.1.",Umse!$B$11="3.2.",Umse!$B$11="3.5.",Umse!$B$11="3.6.",Umse!$B$11="3.9.",Umse!$B$11="3.10.",Umse!$B$11="4.1.",Umse!$B$11="4.2.",Umse!$B$11="4.3.",Umse!$B$11="4.4.",Umse!$B$11="4.5.",Umse!$B$11="4.6."),'VKr Mask'!L23,IF(OR(Umse!$B$11="6.1.",Umse!$B$11="6.2.",Umse!$B$11="6.3.",Umse!$B$11="6.4.",$A$1="6.5.",$A$1="6.6."),'LKr Mask'!L23,""))</f>
        <v/>
      </c>
      <c r="M23" s="308">
        <f>IF(OR(Umse!$B$11="3.1.",Umse!$B$11="3.2.",Umse!$B$11="3.5.",Umse!$B$11="3.6.",Umse!$B$11="3.9.",Umse!$B$11="3.10.",Umse!$B$11="4.1.",Umse!$B$11="4.2.",Umse!$B$11="4.3.",Umse!$B$11="4.4.",Umse!$B$11="4.5.",Umse!$B$11="4.6."),'VKr Mask'!M23,IF(OR(Umse!$B$11="6.1.",Umse!$B$11="6.2.",Umse!$B$11="6.3.",Umse!$B$11="6.4.",$A$1="6.5.",$A$1="6.6."),'LKr Mask'!M23,0))</f>
        <v>0</v>
      </c>
      <c r="N23" s="308">
        <f>IF(OR(Umse!$B$11="3.1.",Umse!$B$11="3.2.",Umse!$B$11="3.5.",Umse!$B$11="3.6.",Umse!$B$11="3.9.",Umse!$B$11="3.10.",Umse!$B$11="4.1.",Umse!$B$11="4.2.",Umse!$B$11="4.3.",Umse!$B$11="4.4.",Umse!$B$11="4.5.",Umse!$B$11="4.6."),'VKr Mask'!N23,IF(OR(Umse!$B$11="6.1.",Umse!$B$11="6.2.",Umse!$B$11="6.3.",Umse!$B$11="6.4.",$A$1="6.5.",$A$1="6.6."),'LKr Mask'!N23,0))</f>
        <v>0</v>
      </c>
      <c r="O23" s="308">
        <f>IF(OR(Umse!$B$11="3.1.",Umse!$B$11="3.2.",Umse!$B$11="3.5.",Umse!$B$11="3.6.",Umse!$B$11="3.9.",Umse!$B$11="3.10.",Umse!$B$11="4.1.",Umse!$B$11="4.2.",Umse!$B$11="4.3.",Umse!$B$11="4.4.",Umse!$B$11="4.5.",Umse!$B$11="4.6."),'VKr Mask'!O23,IF(OR(Umse!$B$11="6.1.",Umse!$B$11="6.2.",Umse!$B$11="6.3.",Umse!$B$11="6.4.",$A$1="6.5.",$A$1="6.6."),'LKr Mask'!O23,0))</f>
        <v>0</v>
      </c>
      <c r="P23" s="308">
        <f>IF(OR(Umse!$B$11="3.1.",Umse!$B$11="3.2.",Umse!$B$11="3.5.",Umse!$B$11="3.6.",Umse!$B$11="3.9.",Umse!$B$11="3.10.",Umse!$B$11="4.1.",Umse!$B$11="4.2.",Umse!$B$11="4.3.",Umse!$B$11="4.4.",Umse!$B$11="4.5.",Umse!$B$11="4.6."),'VKr Mask'!P23,IF(OR(Umse!$B$11="6.1.",Umse!$B$11="6.2.",Umse!$B$11="6.3.",Umse!$B$11="6.4.",$A$1="6.5.",$A$1="6.6."),'LKr Mask'!P23,0))</f>
        <v>0</v>
      </c>
      <c r="Q23" s="308">
        <f>IF(OR(Umse!$B$11="3.1.",Umse!$B$11="3.2.",Umse!$B$11="3.5.",Umse!$B$11="3.6.",Umse!$B$11="3.9.",Umse!$B$11="3.10.",Umse!$B$11="4.1.",Umse!$B$11="4.2.",Umse!$B$11="4.3.",Umse!$B$11="4.4.",Umse!$B$11="4.5.",Umse!$B$11="4.6."),'VKr Mask'!Q23,IF(OR(Umse!$B$11="6.1.",Umse!$B$11="6.2.",Umse!$B$11="6.3.",Umse!$B$11="6.4.",$A$1="6.5.",$A$1="6.6."),'LKr Mask'!Q23,0))</f>
        <v>0</v>
      </c>
      <c r="R23" s="308">
        <f>IF(OR(Umse!$B$11="3.1.",Umse!$B$11="3.2.",Umse!$B$11="3.5.",Umse!$B$11="3.6.",Umse!$B$11="3.9.",Umse!$B$11="3.10.",Umse!$B$11="4.1.",Umse!$B$11="4.2.",Umse!$B$11="4.3.",Umse!$B$11="4.4.",Umse!$B$11="4.5.",Umse!$B$11="4.6."),'VKr Mask'!R23,IF(OR(Umse!$B$11="6.1.",Umse!$B$11="6.2.",Umse!$B$11="6.3.",Umse!$B$11="6.4.",$A$1="6.5.",$A$1="6.6."),'LKr Mask'!R23,0))</f>
        <v>0</v>
      </c>
    </row>
    <row r="24" spans="2:29" ht="11.25" customHeight="1">
      <c r="B24" s="306" t="str">
        <f>K24</f>
        <v/>
      </c>
      <c r="C24" s="322" t="str">
        <f>L24</f>
        <v/>
      </c>
      <c r="D24" s="308">
        <f>IF(OR(Umse!$C$24=0,Umse!$B$11=0),0,IF(OR(Umse!$B$11="3.1.",Umse!$B$11="3.2.",Umse!$B$11="3.5.",Umse!$B$11="3.6.",Umse!$B$11="3.9.",Umse!$B$11="3.10.",Umse!$B$11="4.1.",Umse!$B$11="4.2.",Umse!$B$11="4.3.",Umse!$B$11="4.4.",Umse!$B$11="4.5.",Umse!$B$11="4.6."),'VKr Mask'!D24,IF(OR(Umse!$B$11="6.1.",Umse!$B$11="6.2.",Umse!$B$11="6.3.",Umse!$B$11="6.4.",$A$1="6.5.",$A$1="6.6."),'LKr Mask'!D24,0)))</f>
        <v>0</v>
      </c>
      <c r="E24" s="308">
        <f>IF(OR(Umse!$C$24=0,Umse!$B$11=0),0,IF(OR(Umse!$B$11="3.1.",Umse!$B$11="3.2.",Umse!$B$11="3.5.",Umse!$B$11="3.6.",Umse!$B$11="3.9.",Umse!$B$11="3.10.",Umse!$B$11="4.1.",Umse!$B$11="4.2.",Umse!$B$11="4.3.",Umse!$B$11="4.4.",Umse!$B$11="4.5.",Umse!$B$11="4.6."),'VKr Mask'!E24,IF(OR(Umse!$B$11="6.1.",Umse!$B$11="6.2.",Umse!$B$11="6.3.",Umse!$B$11="6.4.",$A$1="6.5.",$A$1="6.6."),'LKr Mask'!E24,0)))</f>
        <v>0</v>
      </c>
      <c r="F24" s="308">
        <f>IF(OR(Umse!$C$24=0,Umse!$B$11=0),0,IF(OR(Umse!$B$11="3.1.",Umse!$B$11="3.2.",Umse!$B$11="3.5.",Umse!$B$11="3.6.",Umse!$B$11="3.9.",Umse!$B$11="3.10.",Umse!$B$11="4.1.",Umse!$B$11="4.2.",Umse!$B$11="4.3.",Umse!$B$11="4.4.",Umse!$B$11="4.5.",Umse!$B$11="4.6."),'VKr Mask'!F24,IF(OR(Umse!$B$11="6.1.",Umse!$B$11="6.2.",Umse!$B$11="6.3.",Umse!$B$11="6.4.",$A$1="6.5.",$A$1="6.6."),'LKr Mask'!F24,0)))</f>
        <v>0</v>
      </c>
      <c r="G24" s="308">
        <f>IF(OR(Umse!$C$24=0,Umse!$B$11=0),0,IF(OR(Umse!$B$11="3.1.",Umse!$B$11="3.2.",Umse!$B$11="3.5.",Umse!$B$11="3.6.",Umse!$B$11="3.9.",Umse!$B$11="3.10.",Umse!$B$11="4.1.",Umse!$B$11="4.2.",Umse!$B$11="4.3.",Umse!$B$11="4.4.",Umse!$B$11="4.5.",Umse!$B$11="4.6."),'VKr Mask'!G24,IF(OR(Umse!$B$11="6.1.",Umse!$B$11="6.2.",Umse!$B$11="6.3.",Umse!$B$11="6.4.",$A$1="6.5.",$A$1="6.6."),'LKr Mask'!G24,0)))</f>
        <v>0</v>
      </c>
      <c r="H24" s="308">
        <f>IF(OR(Umse!$C$24=0,Umse!$B$11=0),0,IF(OR(Umse!$B$11="3.1.",Umse!$B$11="3.2.",Umse!$B$11="3.5.",Umse!$B$11="3.6.",Umse!$B$11="3.9.",Umse!$B$11="3.10.",Umse!$B$11="4.1.",Umse!$B$11="4.2.",Umse!$B$11="4.3.",Umse!$B$11="4.4.",Umse!$B$11="4.5.",Umse!$B$11="4.6."),'VKr Mask'!H24,IF(OR(Umse!$B$11="6.1.",Umse!$B$11="6.2.",Umse!$B$11="6.3.",Umse!$B$11="6.4.",$A$1="6.5.",$A$1="6.6."),'LKr Mask'!H24,0)))</f>
        <v>0</v>
      </c>
      <c r="I24" s="308">
        <f>IF(OR(Umse!$C$24=0,Umse!$B$11=0),0,IF(OR(Umse!$B$11="3.1.",Umse!$B$11="3.2.",Umse!$B$11="3.5.",Umse!$B$11="3.6.",Umse!$B$11="3.9.",Umse!$B$11="3.10.",Umse!$B$11="4.1.",Umse!$B$11="4.2.",Umse!$B$11="4.3.",Umse!$B$11="4.4.",Umse!$B$11="4.5.",Umse!$B$11="4.6."),'VKr Mask'!I24,IF(OR(Umse!$B$11="6.1.",Umse!$B$11="6.2.",Umse!$B$11="6.3.",Umse!$B$11="6.4.",$A$1="6.5.",$A$1="6.6."),'LKr Mask'!I24,0)))</f>
        <v>0</v>
      </c>
      <c r="J24" s="307"/>
      <c r="K24" s="306" t="str">
        <f>IF(OR(Umse!$B$11="3.1.",Umse!$B$11="3.2.",Umse!$B$11="3.5.",Umse!$B$11="3.6.",Umse!$B$11="3.9.",Umse!$B$11="3.10.",Umse!$B$11="4.1.",Umse!$B$11="4.2.",Umse!$B$11="4.3.",Umse!$B$11="4.4.",Umse!$B$11="4.5.",Umse!$B$11="4.6."),'VKr Mask'!K24,IF(OR(Umse!$B$11="6.1.",Umse!$B$11="6.2.",Umse!$B$11="6.3.",Umse!$B$11="6.4.",$A$1="6.5.",$A$1="6.6."),'LKr Mask'!K24,""))</f>
        <v/>
      </c>
      <c r="L24" s="322" t="str">
        <f>IF(OR(Umse!$B$11="3.1.",Umse!$B$11="3.2.",Umse!$B$11="3.5.",Umse!$B$11="3.6.",Umse!$B$11="3.9.",Umse!$B$11="3.10.",Umse!$B$11="4.1.",Umse!$B$11="4.2.",Umse!$B$11="4.3.",Umse!$B$11="4.4.",Umse!$B$11="4.5.",Umse!$B$11="4.6."),'VKr Mask'!L24,IF(OR(Umse!$B$11="6.1.",Umse!$B$11="6.2.",Umse!$B$11="6.3.",Umse!$B$11="6.4.",$A$1="6.5.",$A$1="6.6."),'LKr Mask'!L24,""))</f>
        <v/>
      </c>
      <c r="M24" s="308">
        <f>IF(OR(Umse!$B$11="3.1.",Umse!$B$11="3.2.",Umse!$B$11="3.5.",Umse!$B$11="3.6.",Umse!$B$11="3.9.",Umse!$B$11="3.10.",Umse!$B$11="4.1.",Umse!$B$11="4.2.",Umse!$B$11="4.3.",Umse!$B$11="4.4.",Umse!$B$11="4.5.",Umse!$B$11="4.6."),'VKr Mask'!M24,IF(OR(Umse!$B$11="6.1.",Umse!$B$11="6.2.",Umse!$B$11="6.3.",Umse!$B$11="6.4.",$A$1="6.5.",$A$1="6.6."),'LKr Mask'!M24,0))</f>
        <v>0</v>
      </c>
      <c r="N24" s="308">
        <f>IF(OR(Umse!$B$11="3.1.",Umse!$B$11="3.2.",Umse!$B$11="3.5.",Umse!$B$11="3.6.",Umse!$B$11="3.9.",Umse!$B$11="3.10.",Umse!$B$11="4.1.",Umse!$B$11="4.2.",Umse!$B$11="4.3.",Umse!$B$11="4.4.",Umse!$B$11="4.5.",Umse!$B$11="4.6."),'VKr Mask'!N24,IF(OR(Umse!$B$11="6.1.",Umse!$B$11="6.2.",Umse!$B$11="6.3.",Umse!$B$11="6.4.",$A$1="6.5.",$A$1="6.6."),'LKr Mask'!N24,0))</f>
        <v>0</v>
      </c>
      <c r="O24" s="308">
        <f>IF(OR(Umse!$B$11="3.1.",Umse!$B$11="3.2.",Umse!$B$11="3.5.",Umse!$B$11="3.6.",Umse!$B$11="3.9.",Umse!$B$11="3.10.",Umse!$B$11="4.1.",Umse!$B$11="4.2.",Umse!$B$11="4.3.",Umse!$B$11="4.4.",Umse!$B$11="4.5.",Umse!$B$11="4.6."),'VKr Mask'!O24,IF(OR(Umse!$B$11="6.1.",Umse!$B$11="6.2.",Umse!$B$11="6.3.",Umse!$B$11="6.4.",$A$1="6.5.",$A$1="6.6."),'LKr Mask'!O24,0))</f>
        <v>0</v>
      </c>
      <c r="P24" s="308">
        <f>IF(OR(Umse!$B$11="3.1.",Umse!$B$11="3.2.",Umse!$B$11="3.5.",Umse!$B$11="3.6.",Umse!$B$11="3.9.",Umse!$B$11="3.10.",Umse!$B$11="4.1.",Umse!$B$11="4.2.",Umse!$B$11="4.3.",Umse!$B$11="4.4.",Umse!$B$11="4.5.",Umse!$B$11="4.6."),'VKr Mask'!P24,IF(OR(Umse!$B$11="6.1.",Umse!$B$11="6.2.",Umse!$B$11="6.3.",Umse!$B$11="6.4.",$A$1="6.5.",$A$1="6.6."),'LKr Mask'!P24,0))</f>
        <v>0</v>
      </c>
      <c r="Q24" s="308">
        <f>IF(OR(Umse!$B$11="3.1.",Umse!$B$11="3.2.",Umse!$B$11="3.5.",Umse!$B$11="3.6.",Umse!$B$11="3.9.",Umse!$B$11="3.10.",Umse!$B$11="4.1.",Umse!$B$11="4.2.",Umse!$B$11="4.3.",Umse!$B$11="4.4.",Umse!$B$11="4.5.",Umse!$B$11="4.6."),'VKr Mask'!Q24,IF(OR(Umse!$B$11="6.1.",Umse!$B$11="6.2.",Umse!$B$11="6.3.",Umse!$B$11="6.4.",$A$1="6.5.",$A$1="6.6."),'LKr Mask'!Q24,0))</f>
        <v>0</v>
      </c>
      <c r="R24" s="308">
        <f>IF(OR(Umse!$B$11="3.1.",Umse!$B$11="3.2.",Umse!$B$11="3.5.",Umse!$B$11="3.6.",Umse!$B$11="3.9.",Umse!$B$11="3.10.",Umse!$B$11="4.1.",Umse!$B$11="4.2.",Umse!$B$11="4.3.",Umse!$B$11="4.4.",Umse!$B$11="4.5.",Umse!$B$11="4.6."),'VKr Mask'!R24,IF(OR(Umse!$B$11="6.1.",Umse!$B$11="6.2.",Umse!$B$11="6.3.",Umse!$B$11="6.4.",$A$1="6.5.",$A$1="6.6."),'LKr Mask'!R24,0))</f>
        <v>0</v>
      </c>
    </row>
    <row r="25" spans="2:29" ht="11.25" customHeight="1">
      <c r="B25" s="306"/>
      <c r="C25" s="306"/>
      <c r="D25" s="308"/>
      <c r="E25" s="308"/>
      <c r="F25" s="308"/>
      <c r="G25" s="308"/>
      <c r="H25" s="308"/>
      <c r="I25" s="308"/>
      <c r="J25" s="307"/>
      <c r="K25" s="306"/>
      <c r="L25" s="306"/>
      <c r="M25" s="308"/>
      <c r="N25" s="308"/>
      <c r="O25" s="308"/>
      <c r="P25" s="308"/>
      <c r="Q25" s="308"/>
      <c r="R25" s="308"/>
    </row>
    <row r="26" spans="2:29" ht="11.25" customHeight="1">
      <c r="B26" s="306"/>
      <c r="C26" s="306"/>
      <c r="D26" s="308"/>
      <c r="E26" s="308"/>
      <c r="F26" s="308"/>
      <c r="G26" s="308"/>
      <c r="H26" s="308"/>
      <c r="I26" s="308"/>
      <c r="J26" s="307"/>
      <c r="K26" s="306"/>
      <c r="L26" s="306"/>
      <c r="M26" s="308"/>
      <c r="N26" s="308"/>
      <c r="O26" s="308"/>
      <c r="P26" s="308"/>
      <c r="Q26" s="308"/>
      <c r="R26" s="308"/>
      <c r="T26" s="299"/>
      <c r="U26" s="299"/>
      <c r="V26" s="299"/>
    </row>
    <row r="27" spans="2:29" ht="11.25" customHeight="1">
      <c r="B27" s="306"/>
      <c r="C27" s="306"/>
      <c r="D27" s="308"/>
      <c r="E27" s="308"/>
      <c r="F27" s="308"/>
      <c r="G27" s="308"/>
      <c r="H27" s="308"/>
      <c r="I27" s="308"/>
      <c r="J27" s="307"/>
      <c r="K27" s="306"/>
      <c r="L27" s="306"/>
      <c r="M27" s="308"/>
      <c r="N27" s="308"/>
      <c r="O27" s="308"/>
      <c r="P27" s="308"/>
      <c r="Q27" s="308"/>
      <c r="R27" s="308"/>
      <c r="T27" s="299"/>
      <c r="U27" s="299"/>
      <c r="V27" s="299"/>
    </row>
    <row r="28" spans="2:29" ht="11.25" customHeight="1">
      <c r="B28" s="306"/>
      <c r="C28" s="306"/>
      <c r="D28" s="308"/>
      <c r="E28" s="308"/>
      <c r="F28" s="308"/>
      <c r="G28" s="308"/>
      <c r="H28" s="308"/>
      <c r="I28" s="308"/>
      <c r="J28" s="307"/>
      <c r="K28" s="306"/>
      <c r="L28" s="306"/>
      <c r="M28" s="308"/>
      <c r="N28" s="308"/>
      <c r="O28" s="308"/>
      <c r="P28" s="308"/>
      <c r="Q28" s="308"/>
      <c r="R28" s="308"/>
      <c r="T28" s="299"/>
      <c r="U28" s="299"/>
      <c r="V28" s="299"/>
    </row>
    <row r="29" spans="2:29" ht="11.25" customHeight="1">
      <c r="B29" s="306"/>
      <c r="C29" s="306"/>
      <c r="D29" s="308"/>
      <c r="E29" s="308"/>
      <c r="F29" s="308"/>
      <c r="G29" s="308"/>
      <c r="H29" s="308"/>
      <c r="I29" s="308"/>
      <c r="J29" s="307"/>
      <c r="K29" s="306"/>
      <c r="L29" s="306"/>
      <c r="M29" s="308"/>
      <c r="N29" s="308"/>
      <c r="O29" s="308"/>
      <c r="P29" s="308"/>
      <c r="Q29" s="308"/>
      <c r="R29" s="308"/>
      <c r="S29" s="299"/>
      <c r="T29" s="299"/>
      <c r="U29" s="299"/>
      <c r="V29" s="299"/>
      <c r="W29" s="309"/>
      <c r="X29" s="299"/>
      <c r="Y29" s="299"/>
      <c r="Z29" s="299"/>
      <c r="AA29" s="299"/>
      <c r="AB29" s="299"/>
      <c r="AC29" s="299"/>
    </row>
    <row r="30" spans="2:29" ht="11.25" customHeight="1">
      <c r="B30" s="306"/>
      <c r="C30" s="306"/>
      <c r="D30" s="308"/>
      <c r="E30" s="308"/>
      <c r="F30" s="308"/>
      <c r="G30" s="308"/>
      <c r="H30" s="308"/>
      <c r="I30" s="308"/>
      <c r="J30" s="307"/>
      <c r="K30" s="306"/>
      <c r="L30" s="306"/>
      <c r="M30" s="308"/>
      <c r="N30" s="308"/>
      <c r="O30" s="308"/>
      <c r="P30" s="308"/>
      <c r="Q30" s="308"/>
      <c r="R30" s="308"/>
      <c r="S30" s="299"/>
      <c r="T30" s="299"/>
      <c r="U30" s="299"/>
      <c r="V30" s="299"/>
      <c r="W30" s="309"/>
      <c r="X30" s="299"/>
      <c r="Y30" s="299"/>
      <c r="Z30" s="299"/>
      <c r="AA30" s="299"/>
      <c r="AB30" s="299"/>
      <c r="AC30" s="299"/>
    </row>
    <row r="31" spans="2:29" ht="11.25" customHeight="1">
      <c r="B31" s="306"/>
      <c r="C31" s="306"/>
      <c r="D31" s="308"/>
      <c r="E31" s="308"/>
      <c r="F31" s="308"/>
      <c r="G31" s="308"/>
      <c r="H31" s="308"/>
      <c r="I31" s="308"/>
      <c r="J31" s="307"/>
      <c r="K31" s="306"/>
      <c r="L31" s="306"/>
      <c r="M31" s="308"/>
      <c r="N31" s="308"/>
      <c r="O31" s="308"/>
      <c r="P31" s="308"/>
      <c r="Q31" s="308"/>
      <c r="R31" s="308"/>
      <c r="S31" s="299"/>
      <c r="T31" s="299"/>
      <c r="U31" s="299"/>
      <c r="V31" s="299"/>
      <c r="W31" s="309"/>
      <c r="X31" s="299"/>
      <c r="Y31" s="299"/>
      <c r="Z31" s="299"/>
      <c r="AA31" s="299"/>
      <c r="AB31" s="299"/>
      <c r="AC31" s="299"/>
    </row>
    <row r="32" spans="2:29" ht="11.25" customHeight="1">
      <c r="B32" s="306"/>
      <c r="C32" s="306"/>
      <c r="D32" s="308"/>
      <c r="E32" s="308"/>
      <c r="F32" s="308"/>
      <c r="G32" s="308"/>
      <c r="H32" s="308"/>
      <c r="I32" s="308"/>
      <c r="J32" s="307"/>
      <c r="K32" s="306"/>
      <c r="L32" s="306"/>
      <c r="M32" s="308"/>
      <c r="N32" s="308"/>
      <c r="O32" s="308"/>
      <c r="P32" s="308"/>
      <c r="Q32" s="308"/>
      <c r="R32" s="308"/>
      <c r="S32" s="299"/>
      <c r="T32" s="299"/>
      <c r="U32" s="299"/>
      <c r="V32" s="299"/>
      <c r="W32" s="309"/>
      <c r="X32" s="299"/>
      <c r="Y32" s="299"/>
      <c r="Z32" s="299"/>
      <c r="AA32" s="299"/>
      <c r="AB32" s="299"/>
      <c r="AC32" s="299"/>
    </row>
    <row r="33" spans="2:29" ht="11.25" customHeight="1">
      <c r="B33" s="306"/>
      <c r="C33" s="306"/>
      <c r="D33" s="308"/>
      <c r="E33" s="308"/>
      <c r="F33" s="308"/>
      <c r="G33" s="308"/>
      <c r="H33" s="308"/>
      <c r="I33" s="308"/>
      <c r="J33" s="307"/>
      <c r="K33" s="306"/>
      <c r="L33" s="306"/>
      <c r="M33" s="308"/>
      <c r="N33" s="308"/>
      <c r="O33" s="308"/>
      <c r="P33" s="308"/>
      <c r="Q33" s="308"/>
      <c r="R33" s="308"/>
      <c r="S33" s="299"/>
      <c r="T33" s="299"/>
      <c r="U33" s="299"/>
      <c r="V33" s="299"/>
      <c r="W33" s="309"/>
      <c r="X33" s="299"/>
      <c r="Y33" s="299"/>
      <c r="Z33" s="299"/>
      <c r="AA33" s="299"/>
      <c r="AB33" s="299"/>
      <c r="AC33" s="299"/>
    </row>
    <row r="34" spans="2:29" ht="3.75" customHeight="1">
      <c r="S34" s="299"/>
      <c r="T34" s="299"/>
      <c r="U34" s="299"/>
      <c r="V34" s="299"/>
      <c r="W34" s="309"/>
      <c r="X34" s="299"/>
      <c r="Y34" s="299"/>
      <c r="Z34" s="299"/>
      <c r="AA34" s="299"/>
      <c r="AB34" s="299"/>
      <c r="AC34" s="299"/>
    </row>
    <row r="35" spans="2:29" ht="12.75" customHeight="1">
      <c r="B35" s="669" t="str">
        <f>K10</f>
        <v/>
      </c>
      <c r="C35" s="670"/>
      <c r="D35" s="670"/>
      <c r="E35" s="673" t="str">
        <f>'VKr Mask'!E35&amp;'LKr Mask'!E35</f>
        <v/>
      </c>
      <c r="F35" s="673"/>
      <c r="G35" s="673"/>
      <c r="H35" s="661" t="str">
        <f>'VKr Mask'!H35&amp;'LKr Mask'!H35</f>
        <v/>
      </c>
      <c r="I35" s="662"/>
      <c r="J35" s="307"/>
      <c r="K35" s="310"/>
      <c r="L35" s="311"/>
      <c r="M35" s="312"/>
      <c r="N35" s="312"/>
      <c r="O35" s="312"/>
      <c r="P35" s="312"/>
      <c r="Q35" s="312"/>
      <c r="R35" s="313"/>
      <c r="S35" s="299"/>
      <c r="T35" s="299"/>
      <c r="U35" s="299"/>
      <c r="V35" s="299"/>
      <c r="W35" s="309"/>
      <c r="X35" s="299"/>
      <c r="Y35" s="299"/>
      <c r="Z35" s="299"/>
      <c r="AA35" s="299"/>
      <c r="AB35" s="299"/>
      <c r="AC35" s="299"/>
    </row>
    <row r="36" spans="2:29" ht="12.75" customHeight="1">
      <c r="B36" s="674" t="str">
        <f>IF(OR(Umse!$B$11="3.1.",Umse!$B$11="3.2.",Umse!$B$11="3.5.",Umse!$B$11="3.6.",Umse!$B$11="3.9.",Umse!$B$11="3.10.",Umse!$B$11="4.1.",Umse!$B$11="4.2.",Umse!$B$11="4.3.",Umse!$B$11="4.4.",Umse!$B$11="4.5.",Umse!$B$11="4.6."),'VKr Mask'!B36,IF(OR(Umse!$B$11="6.1.",Umse!$B$11="6.2.",Umse!$B$11="6.3.",Umse!$B$11="6.4.",$A$1="6.5.",$A$1="6.6."),'LKr Mask'!B36,""))</f>
        <v/>
      </c>
      <c r="C36" s="675"/>
      <c r="D36" s="671" t="str">
        <f>IF(OR(Umse!$B$11="3.1.",Umse!$B$11="3.2.",Umse!$B$11="3.5.",Umse!$B$11="3.6.",Umse!$B$11="3.9.",Umse!$B$11="3.10.",Umse!$B$11="4.1.",Umse!$B$11="4.2.",Umse!$B$11="4.3.",Umse!$B$11="4.4.",Umse!$B$11="4.5.",Umse!$B$11="4.6."),'VKr Mask'!D36,IF(OR(Umse!$B$11="6.1.",Umse!$B$11="6.2.",Umse!$B$11="6.3.",Umse!$B$11="6.4.",$A$1="6.5.",$A$1="6.6."),'LKr Mask'!D36,""))</f>
        <v/>
      </c>
      <c r="E36" s="671" t="str">
        <f>IF(OR(Umse!$B$11="3.1.",Umse!$B$11="3.2.",Umse!$B$11="3.5.",Umse!$B$11="3.6.",Umse!$B$11="3.9.",Umse!$B$11="3.10.",Umse!$B$11="4.1.",Umse!$B$11="4.2.",Umse!$B$11="4.3.",Umse!$B$11="4.4.",Umse!$B$11="4.5.",Umse!$B$11="4.6."),'VKr Mask'!E36,IF(OR(Umse!$B$11="6.1.",Umse!$B$11="6.2.",Umse!$B$11="6.3.",Umse!$B$11="6.4.",$A$1="6.5.",$A$1="6.6."),'LKr Mask'!E36,""))</f>
        <v/>
      </c>
      <c r="F36" s="671" t="str">
        <f>IF(OR(Umse!$B$11="3.1.",Umse!$B$11="3.2.",Umse!$B$11="3.5.",Umse!$B$11="3.6.",Umse!$B$11="3.9.",Umse!$B$11="3.10.",Umse!$B$11="4.1.",Umse!$B$11="4.2.",Umse!$B$11="4.3.",Umse!$B$11="4.4.",Umse!$B$11="4.5.",Umse!$B$11="4.6."),'VKr Mask'!F36,IF(OR(Umse!$B$11="6.1.",Umse!$B$11="6.2.",Umse!$B$11="6.3.",Umse!$B$11="6.4.",$A$1="6.5.",$A$1="6.6."),'LKr Mask'!F36,""))</f>
        <v/>
      </c>
      <c r="G36" s="671" t="str">
        <f>IF(OR(Umse!$B$11="3.1.",Umse!$B$11="3.2.",Umse!$B$11="3.5.",Umse!$B$11="3.6.",Umse!$B$11="3.9.",Umse!$B$11="3.10.",Umse!$B$11="4.1.",Umse!$B$11="4.2.",Umse!$B$11="4.3.",Umse!$B$11="4.4.",Umse!$B$11="4.5.",Umse!$B$11="4.6."),'VKr Mask'!G36,IF(OR(Umse!$B$11="6.1.",Umse!$B$11="6.2.",Umse!$B$11="6.3.",Umse!$B$11="6.4.",$A$1="6.5.",$A$1="6.6."),'LKr Mask'!G36,""))</f>
        <v/>
      </c>
      <c r="H36" s="671" t="str">
        <f>IF(OR(Umse!$B$11="3.1.",Umse!$B$11="3.2.",Umse!$B$11="3.5.",Umse!$B$11="3.6.",Umse!$B$11="3.9.",Umse!$B$11="3.10.",Umse!$B$11="4.1.",Umse!$B$11="4.2.",Umse!$B$11="4.3.",Umse!$B$11="4.4.",Umse!$B$11="4.5.",Umse!$B$11="4.6."),'VKr Mask'!H36,IF(OR(Umse!$B$11="6.1.",Umse!$B$11="6.2.",Umse!$B$11="6.3.",Umse!$B$11="6.4.",$A$1="6.5.",$A$1="6.6."),'LKr Mask'!H36,""))</f>
        <v/>
      </c>
      <c r="I36" s="671" t="str">
        <f>IF(OR(Umse!$B$11="3.1.",Umse!$B$11="3.2.",Umse!$B$11="3.5.",Umse!$B$11="3.6.",Umse!$B$11="3.9.",Umse!$B$11="3.10.",Umse!$B$11="4.1.",Umse!$B$11="4.2.",Umse!$B$11="4.3.",Umse!$B$11="4.4.",Umse!$B$11="4.5.",Umse!$B$11="4.6."),'VKr Mask'!I36,IF(OR(Umse!$B$11="6.1.",Umse!$B$11="6.2.",Umse!$B$11="6.3.",Umse!$B$11="6.4.",$A$1="6.5.",$A$1="6.6."),'LKr Mask'!I36,""))</f>
        <v/>
      </c>
      <c r="J36" s="307"/>
      <c r="K36" s="668"/>
      <c r="L36" s="668"/>
      <c r="M36" s="668"/>
      <c r="N36" s="668"/>
      <c r="O36" s="668"/>
      <c r="P36" s="668"/>
      <c r="Q36" s="668"/>
      <c r="R36" s="668"/>
      <c r="S36" s="299"/>
      <c r="T36" s="299"/>
      <c r="U36" s="299"/>
      <c r="V36" s="299"/>
      <c r="W36" s="309"/>
      <c r="X36" s="299"/>
      <c r="Y36" s="299"/>
      <c r="Z36" s="299"/>
      <c r="AA36" s="299"/>
      <c r="AB36" s="299"/>
      <c r="AC36" s="299"/>
    </row>
    <row r="37" spans="2:29" ht="12.75" customHeight="1">
      <c r="B37" s="672"/>
      <c r="C37" s="676"/>
      <c r="D37" s="672"/>
      <c r="E37" s="672"/>
      <c r="F37" s="672"/>
      <c r="G37" s="672"/>
      <c r="H37" s="672"/>
      <c r="I37" s="672"/>
      <c r="J37" s="307"/>
      <c r="K37" s="668"/>
      <c r="L37" s="668"/>
      <c r="M37" s="668"/>
      <c r="N37" s="668"/>
      <c r="O37" s="668"/>
      <c r="P37" s="668"/>
      <c r="Q37" s="668"/>
      <c r="R37" s="668"/>
      <c r="S37" s="299"/>
      <c r="T37" s="299"/>
      <c r="U37" s="299"/>
      <c r="V37" s="299"/>
      <c r="W37" s="309"/>
      <c r="X37" s="299"/>
      <c r="Y37" s="299"/>
      <c r="Z37" s="299"/>
      <c r="AA37" s="299"/>
      <c r="AB37" s="299"/>
      <c r="AC37" s="299"/>
    </row>
    <row r="38" spans="2:29" ht="12.75" customHeight="1">
      <c r="B38" s="672"/>
      <c r="C38" s="676"/>
      <c r="D38" s="672"/>
      <c r="E38" s="672"/>
      <c r="F38" s="672"/>
      <c r="G38" s="672"/>
      <c r="H38" s="672"/>
      <c r="I38" s="672"/>
      <c r="J38" s="307"/>
      <c r="K38" s="668"/>
      <c r="L38" s="668"/>
      <c r="M38" s="668"/>
      <c r="N38" s="668"/>
      <c r="O38" s="668"/>
      <c r="P38" s="668"/>
      <c r="Q38" s="668"/>
      <c r="R38" s="668"/>
      <c r="S38" s="299"/>
      <c r="T38" s="299"/>
      <c r="U38" s="299"/>
      <c r="V38" s="299"/>
      <c r="W38" s="309"/>
      <c r="X38" s="299"/>
      <c r="Y38" s="299"/>
      <c r="Z38" s="299"/>
      <c r="AA38" s="299"/>
      <c r="AB38" s="299"/>
      <c r="AC38" s="299"/>
    </row>
    <row r="39" spans="2:29" ht="12.75" customHeight="1">
      <c r="B39" s="672"/>
      <c r="C39" s="676"/>
      <c r="D39" s="672"/>
      <c r="E39" s="672"/>
      <c r="F39" s="672"/>
      <c r="G39" s="672"/>
      <c r="H39" s="672"/>
      <c r="I39" s="672"/>
      <c r="J39" s="307"/>
      <c r="K39" s="668"/>
      <c r="L39" s="668"/>
      <c r="M39" s="668"/>
      <c r="N39" s="668"/>
      <c r="O39" s="668"/>
      <c r="P39" s="668"/>
      <c r="Q39" s="668"/>
      <c r="R39" s="668"/>
      <c r="S39" s="299"/>
      <c r="T39" s="299"/>
      <c r="U39" s="299"/>
      <c r="V39" s="299"/>
      <c r="W39" s="299"/>
      <c r="X39" s="299"/>
      <c r="Y39" s="299"/>
      <c r="Z39" s="299"/>
      <c r="AA39" s="299"/>
      <c r="AB39" s="299"/>
      <c r="AC39" s="299"/>
    </row>
    <row r="40" spans="2:29" ht="12.75" customHeight="1">
      <c r="B40" s="672"/>
      <c r="C40" s="676"/>
      <c r="D40" s="672"/>
      <c r="E40" s="672"/>
      <c r="F40" s="672"/>
      <c r="G40" s="672"/>
      <c r="H40" s="672"/>
      <c r="I40" s="672"/>
      <c r="J40" s="307"/>
      <c r="K40" s="668"/>
      <c r="L40" s="668"/>
      <c r="M40" s="668"/>
      <c r="N40" s="668"/>
      <c r="O40" s="668"/>
      <c r="P40" s="668"/>
      <c r="Q40" s="668"/>
      <c r="R40" s="668"/>
      <c r="S40" s="299"/>
      <c r="T40" s="299"/>
      <c r="U40" s="299"/>
      <c r="V40" s="299"/>
      <c r="W40" s="299"/>
      <c r="X40" s="299"/>
      <c r="Y40" s="299"/>
      <c r="Z40" s="299"/>
      <c r="AA40" s="299"/>
      <c r="AB40" s="299"/>
      <c r="AC40" s="299"/>
    </row>
    <row r="41" spans="2:29" ht="12.75" customHeight="1">
      <c r="B41" s="672"/>
      <c r="C41" s="676"/>
      <c r="D41" s="672"/>
      <c r="E41" s="672"/>
      <c r="F41" s="672"/>
      <c r="G41" s="672"/>
      <c r="H41" s="672"/>
      <c r="I41" s="672"/>
      <c r="J41" s="307"/>
      <c r="K41" s="668"/>
      <c r="L41" s="668"/>
      <c r="M41" s="668"/>
      <c r="N41" s="668"/>
      <c r="O41" s="668"/>
      <c r="P41" s="668"/>
      <c r="Q41" s="668"/>
      <c r="R41" s="668"/>
      <c r="S41" s="299"/>
      <c r="W41" s="299"/>
      <c r="X41" s="299"/>
      <c r="Y41" s="299"/>
      <c r="Z41" s="299"/>
      <c r="AA41" s="299"/>
      <c r="AB41" s="299"/>
      <c r="AC41" s="299"/>
    </row>
    <row r="42" spans="2:29" ht="12.75" customHeight="1">
      <c r="B42" s="672"/>
      <c r="C42" s="676"/>
      <c r="D42" s="672"/>
      <c r="E42" s="672"/>
      <c r="F42" s="672"/>
      <c r="G42" s="672"/>
      <c r="H42" s="672"/>
      <c r="I42" s="672"/>
      <c r="J42" s="307"/>
      <c r="K42" s="668"/>
      <c r="L42" s="668"/>
      <c r="M42" s="668"/>
      <c r="N42" s="668"/>
      <c r="O42" s="668"/>
      <c r="P42" s="668"/>
      <c r="Q42" s="668"/>
      <c r="R42" s="668"/>
      <c r="S42" s="299"/>
      <c r="W42" s="299"/>
      <c r="X42" s="299"/>
      <c r="Y42" s="299"/>
      <c r="Z42" s="299"/>
      <c r="AA42" s="299"/>
      <c r="AB42" s="299"/>
      <c r="AC42" s="299"/>
    </row>
    <row r="43" spans="2:29" ht="12.75" customHeight="1">
      <c r="B43" s="672"/>
      <c r="C43" s="676"/>
      <c r="D43" s="672"/>
      <c r="E43" s="672"/>
      <c r="F43" s="672"/>
      <c r="G43" s="672"/>
      <c r="H43" s="672"/>
      <c r="I43" s="672"/>
      <c r="J43" s="307"/>
      <c r="K43" s="299"/>
      <c r="L43" s="299"/>
      <c r="M43" s="299"/>
      <c r="N43" s="299"/>
      <c r="O43" s="299"/>
      <c r="P43" s="299"/>
      <c r="Q43" s="299"/>
      <c r="R43" s="299"/>
      <c r="S43" s="299"/>
      <c r="W43" s="299"/>
      <c r="X43" s="299"/>
      <c r="Y43" s="299"/>
      <c r="Z43" s="299"/>
      <c r="AA43" s="299"/>
      <c r="AB43" s="299"/>
      <c r="AC43" s="299"/>
    </row>
    <row r="44" spans="2:29" ht="11.25" customHeight="1">
      <c r="B44" s="672"/>
      <c r="C44" s="676"/>
      <c r="D44" s="672"/>
      <c r="E44" s="672"/>
      <c r="F44" s="672"/>
      <c r="G44" s="672"/>
      <c r="H44" s="672"/>
      <c r="I44" s="672"/>
      <c r="J44" s="307"/>
    </row>
    <row r="45" spans="2:29" ht="12.75" customHeight="1">
      <c r="B45" s="672"/>
      <c r="C45" s="676"/>
      <c r="D45" s="672"/>
      <c r="E45" s="672"/>
      <c r="F45" s="672"/>
      <c r="G45" s="672"/>
      <c r="H45" s="672"/>
      <c r="I45" s="672"/>
      <c r="J45" s="307"/>
      <c r="K45" s="669" t="str">
        <f>K10</f>
        <v/>
      </c>
      <c r="L45" s="670"/>
      <c r="M45" s="670"/>
      <c r="N45" s="673" t="str">
        <f>'VKr Mask'!N45&amp;'LKr Mask'!N45</f>
        <v/>
      </c>
      <c r="O45" s="673"/>
      <c r="P45" s="673"/>
      <c r="Q45" s="661" t="str">
        <f>'VKr Mask'!Q45&amp;'LKr Mask'!Q45</f>
        <v/>
      </c>
      <c r="R45" s="662"/>
    </row>
    <row r="46" spans="2:29" ht="22.5" customHeight="1">
      <c r="B46" s="302" t="str">
        <f>IF(OR(Umse!$B$11="3.1.",Umse!$B$11="3.2.",Umse!$B$11="3.5.",Umse!$B$11="3.6.",Umse!$B$11="3.9.",Umse!$B$11="3.10.",Umse!$B$11="4.1.",Umse!$B$11="4.2.",Umse!$B$11="4.3.",Umse!$B$11="4.4.",Umse!$B$11="4.5.",Umse!$B$11="4.6."),'VKr Mask'!B46,IF(OR(Umse!$B$11="6.1.",Umse!$B$11="6.2.",Umse!$B$11="6.3.",Umse!$B$11="6.4.",$A$1="6.5.",$A$1="6.6."),'LKr Mask'!B46,""))</f>
        <v/>
      </c>
      <c r="C46" s="306"/>
      <c r="D46" s="314" t="str">
        <f>IF(OR(Umse!$B$11="3.1.",Umse!$B$11="3.2.",Umse!$B$11="3.5.",Umse!$B$11="3.6.",Umse!$B$11="3.9.",Umse!$B$11="3.10.",Umse!$B$11="4.1.",Umse!$B$11="4.2.",Umse!$B$11="4.3.",Umse!$B$11="4.4.",Umse!$B$11="4.5.",Umse!$B$11="4.6."),'VKr Mask'!D46,IF(OR(Umse!$B$11="6.1.",Umse!$B$11="6.2.",Umse!$B$11="6.3.",Umse!$B$11="6.4.",$A$1="6.5.",$A$1="6.6."),'LKr Mask'!D46,""))</f>
        <v/>
      </c>
      <c r="E46" s="315" t="str">
        <f>IF(OR(Umse!$B$11="3.1.",Umse!$B$11="3.2.",Umse!$B$11="3.5.",Umse!$B$11="3.6.",Umse!$B$11="3.9.",Umse!$B$11="3.10.",Umse!$B$11="4.1.",Umse!$B$11="4.2.",Umse!$B$11="4.3.",Umse!$B$11="4.4.",Umse!$B$11="4.5.",Umse!$B$11="4.6."),'VKr Mask'!E46,IF(OR(Umse!$B$11="6.1.",Umse!$B$11="6.2.",Umse!$B$11="6.3.",Umse!$B$11="6.4.",$A$1="6.5.",$A$1="6.6."),'LKr Mask'!E46,""))</f>
        <v/>
      </c>
      <c r="F46" s="315" t="str">
        <f>IF(OR(Umse!$B$11="3.1.",Umse!$B$11="3.2.",Umse!$B$11="3.5.",Umse!$B$11="3.6.",Umse!$B$11="3.9.",Umse!$B$11="3.10.",Umse!$B$11="4.1.",Umse!$B$11="4.2.",Umse!$B$11="4.3.",Umse!$B$11="4.4.",Umse!$B$11="4.5.",Umse!$B$11="4.6."),'VKr Mask'!F46,IF(OR(Umse!$B$11="6.1.",Umse!$B$11="6.2.",Umse!$B$11="6.3.",Umse!$B$11="6.4.",$A$1="6.5.",$A$1="6.6."),'LKr Mask'!F46,""))</f>
        <v/>
      </c>
      <c r="G46" s="315" t="str">
        <f>IF(OR(Umse!$B$11="3.1.",Umse!$B$11="3.2.",Umse!$B$11="3.5.",Umse!$B$11="3.6.",Umse!$B$11="3.9.",Umse!$B$11="3.10.",Umse!$B$11="4.1.",Umse!$B$11="4.2.",Umse!$B$11="4.3.",Umse!$B$11="4.4.",Umse!$B$11="4.5.",Umse!$B$11="4.6."),'VKr Mask'!G46,IF(OR(Umse!$B$11="6.1.",Umse!$B$11="6.2.",Umse!$B$11="6.3.",Umse!$B$11="6.4.",$A$1="6.5.",$A$1="6.6."),'LKr Mask'!G46,""))</f>
        <v/>
      </c>
      <c r="H46" s="315" t="str">
        <f>IF(OR(Umse!$B$11="3.1.",Umse!$B$11="3.2.",Umse!$B$11="3.5.",Umse!$B$11="3.6.",Umse!$B$11="3.9.",Umse!$B$11="3.10.",Umse!$B$11="4.1.",Umse!$B$11="4.2.",Umse!$B$11="4.3.",Umse!$B$11="4.4.",Umse!$B$11="4.5.",Umse!$B$11="4.6."),'VKr Mask'!H46,IF(OR(Umse!$B$11="6.1.",Umse!$B$11="6.2.",Umse!$B$11="6.3.",Umse!$B$11="6.4.",$A$1="6.5.",$A$1="6.6."),'LKr Mask'!H46,""))</f>
        <v/>
      </c>
      <c r="I46" s="315" t="str">
        <f>IF(OR(Umse!$B$11="3.1.",Umse!$B$11="3.2.",Umse!$B$11="3.5.",Umse!$B$11="3.6.",Umse!$B$11="3.9.",Umse!$B$11="3.10.",Umse!$B$11="4.1.",Umse!$B$11="4.2.",Umse!$B$11="4.3.",Umse!$B$11="4.4.",Umse!$B$11="4.5.",Umse!$B$11="4.6."),'VKr Mask'!I46,IF(OR(Umse!$B$11="6.1.",Umse!$B$11="6.2.",Umse!$B$11="6.3.",Umse!$B$11="6.4.",$A$1="6.5.",$A$1="6.6."),'LKr Mask'!I46,""))</f>
        <v/>
      </c>
      <c r="J46" s="307"/>
      <c r="K46" s="302" t="str">
        <f>IF(OR(Umse!$B$11="3.1.",Umse!$B$11="3.2.",Umse!$B$11="3.5.",Umse!$B$11="3.6.",Umse!$B$11="3.9.",Umse!$B$11="3.10.",Umse!$B$11="4.1.",Umse!$B$11="4.2.",Umse!$B$11="4.3.",Umse!$B$11="4.4.",Umse!$B$11="4.5.",Umse!$B$11="4.6."),'VKr Mask'!K46,IF(OR(Umse!$B$11="6.1.",Umse!$B$11="6.2.",Umse!$B$11="6.3.",Umse!$B$11="6.4.",$A$1="6.5.",$A$1="6.6."),'LKr Mask'!K46,""))</f>
        <v/>
      </c>
      <c r="L46" s="306"/>
      <c r="M46" s="306" t="str">
        <f>IF(OR(Umse!$B$11="3.1.",Umse!$B$11="3.2.",Umse!$B$11="3.5.",Umse!$B$11="3.6.",Umse!$B$11="3.9.",Umse!$B$11="3.10.",Umse!$B$11="4.1.",Umse!$B$11="4.2.",Umse!$B$11="4.3.",Umse!$B$11="4.4.",Umse!$B$11="4.5.",Umse!$B$11="4.6."),'VKr Mask'!M46,IF(OR(Umse!$B$11="6.1.",Umse!$B$11="6.2.",Umse!$B$11="6.3.",Umse!$B$11="6.4.",$A$1="6.5.",$A$1="6.6."),'LKr Mask'!M46,""))</f>
        <v/>
      </c>
      <c r="N46" s="306" t="str">
        <f>IF(OR(Umse!$B$11="3.1.",Umse!$B$11="3.2.",Umse!$B$11="3.5.",Umse!$B$11="3.6.",Umse!$B$11="3.9.",Umse!$B$11="3.10.",Umse!$B$11="4.1.",Umse!$B$11="4.2.",Umse!$B$11="4.3.",Umse!$B$11="4.4.",Umse!$B$11="4.5.",Umse!$B$11="4.6."),'VKr Mask'!N46,IF(OR(Umse!$B$11="6.1.",Umse!$B$11="6.2.",Umse!$B$11="6.3.",Umse!$B$11="6.4.",$A$1="6.5.",$A$1="6.6."),'LKr Mask'!N46,""))</f>
        <v/>
      </c>
      <c r="O46" s="306" t="str">
        <f>IF(OR(Umse!$B$11="3.1.",Umse!$B$11="3.2.",Umse!$B$11="3.5.",Umse!$B$11="3.6.",Umse!$B$11="3.9.",Umse!$B$11="3.10.",Umse!$B$11="4.1.",Umse!$B$11="4.2.",Umse!$B$11="4.3.",Umse!$B$11="4.4.",Umse!$B$11="4.5.",Umse!$B$11="4.6."),'VKr Mask'!O46,IF(OR(Umse!$B$11="6.1.",Umse!$B$11="6.2.",Umse!$B$11="6.3.",Umse!$B$11="6.4.",$A$1="6.5.",$A$1="6.6."),'LKr Mask'!O46,""))</f>
        <v/>
      </c>
      <c r="P46" s="306" t="str">
        <f>IF(OR(Umse!$B$11="3.1.",Umse!$B$11="3.2.",Umse!$B$11="3.5.",Umse!$B$11="3.6.",Umse!$B$11="3.9.",Umse!$B$11="3.10.",Umse!$B$11="4.1.",Umse!$B$11="4.2.",Umse!$B$11="4.3.",Umse!$B$11="4.4.",Umse!$B$11="4.5.",Umse!$B$11="4.6."),'VKr Mask'!P46,IF(OR(Umse!$B$11="6.1.",Umse!$B$11="6.2.",Umse!$B$11="6.3.",Umse!$B$11="6.4.",$A$1="6.5.",$A$1="6.6."),'LKr Mask'!P46,""))</f>
        <v/>
      </c>
      <c r="Q46" s="306" t="str">
        <f>IF(OR(Umse!$B$11="3.1.",Umse!$B$11="3.2.",Umse!$B$11="3.5.",Umse!$B$11="3.6.",Umse!$B$11="3.9.",Umse!$B$11="3.10.",Umse!$B$11="4.1.",Umse!$B$11="4.2.",Umse!$B$11="4.3.",Umse!$B$11="4.4.",Umse!$B$11="4.5.",Umse!$B$11="4.6."),'VKr Mask'!Q46,IF(OR(Umse!$B$11="6.1.",Umse!$B$11="6.2.",Umse!$B$11="6.3.",Umse!$B$11="6.4.",$A$1="6.5.",$A$1="6.6."),'LKr Mask'!Q46,""))</f>
        <v/>
      </c>
      <c r="R46" s="306" t="str">
        <f>IF(OR(Umse!$B$11="3.1.",Umse!$B$11="3.2.",Umse!$B$11="3.5.",Umse!$B$11="3.6.",Umse!$B$11="3.9.",Umse!$B$11="3.10.",Umse!$B$11="4.1.",Umse!$B$11="4.2.",Umse!$B$11="4.3.",Umse!$B$11="4.4.",Umse!$B$11="4.5.",Umse!$B$11="4.6."),'VKr Mask'!R46,IF(OR(Umse!$B$11="6.1.",Umse!$B$11="6.2.",Umse!$B$11="6.3.",Umse!$B$11="6.4.",$A$1="6.5.",$A$1="6.6."),'LKr Mask'!R46,""))</f>
        <v/>
      </c>
      <c r="S46" s="307"/>
    </row>
    <row r="47" spans="2:29" ht="11.25" customHeight="1">
      <c r="B47" s="306" t="str">
        <f>IF(OR(Umse!$B$11="3.1.",Umse!$B$11="3.2.",Umse!$B$11="3.5.",Umse!$B$11="3.6.",Umse!$B$11="3.9.",Umse!$B$11="3.10.",Umse!$B$11="4.1.",Umse!$B$11="4.2.",Umse!$B$11="4.3.",Umse!$B$11="4.4.",Umse!$B$11="4.5.",Umse!$B$11="4.6."),'VKr Mask'!B47,IF(OR(Umse!$B$11="6.1.",Umse!$B$11="6.2.",Umse!$B$11="6.3.",Umse!$B$11="6.4.",$A$1="6.5.",$A$1="6.6."),'LKr Mask'!B47,""))</f>
        <v/>
      </c>
      <c r="C47" s="322" t="str">
        <f>IF(OR(Umse!$B$11="3.1.",Umse!$B$11="3.2.",Umse!$B$11="3.5.",Umse!$B$11="3.6.",Umse!$B$11="3.9.",Umse!$B$11="3.10.",Umse!$B$11="4.1.",Umse!$B$11="4.2.",Umse!$B$11="4.3.",Umse!$B$11="4.4.",Umse!$B$11="4.5.",Umse!$B$11="4.6."),'VKr Mask'!C47,IF(OR(Umse!$B$11="6.1.",Umse!$B$11="6.2.",Umse!$B$11="6.3.",Umse!$B$11="6.4.",$A$1="6.5.",$A$1="6.6."),'LKr Mask'!C47,""))</f>
        <v/>
      </c>
      <c r="D47" s="308">
        <f>IF(OR(Umse!$B$11="3.1.",Umse!$B$11="3.2.",Umse!$B$11="3.5.",Umse!$B$11="3.6.",Umse!$B$11="3.9.",Umse!$B$11="3.10.",Umse!$B$11="4.1.",Umse!$B$11="4.2.",Umse!$B$11="4.3.",Umse!$B$11="4.4.",Umse!$B$11="4.5.",Umse!$B$11="4.6."),'VKr Mask'!D47,IF(OR(Umse!$B$11="6.1.",Umse!$B$11="6.2.",Umse!$B$11="6.3.",Umse!$B$11="6.4.",$A$1="6.5.",$A$1="6.6."),'LKr Mask'!D47,0))</f>
        <v>0</v>
      </c>
      <c r="E47" s="308">
        <f>IF(OR(Umse!$B$11="3.1.",Umse!$B$11="3.2.",Umse!$B$11="3.5.",Umse!$B$11="3.6.",Umse!$B$11="3.9.",Umse!$B$11="3.10.",Umse!$B$11="4.1.",Umse!$B$11="4.2.",Umse!$B$11="4.3.",Umse!$B$11="4.4.",Umse!$B$11="4.5.",Umse!$B$11="4.6."),'VKr Mask'!E47,IF(OR(Umse!$B$11="6.1.",Umse!$B$11="6.2.",Umse!$B$11="6.3.",Umse!$B$11="6.4.",$A$1="6.5.",$A$1="6.6."),'LKr Mask'!E47,0))</f>
        <v>0</v>
      </c>
      <c r="F47" s="308">
        <f>IF(OR(Umse!$B$11="3.1.",Umse!$B$11="3.2.",Umse!$B$11="3.5.",Umse!$B$11="3.6.",Umse!$B$11="3.9.",Umse!$B$11="3.10.",Umse!$B$11="4.1.",Umse!$B$11="4.2.",Umse!$B$11="4.3.",Umse!$B$11="4.4.",Umse!$B$11="4.5.",Umse!$B$11="4.6."),'VKr Mask'!F47,IF(OR(Umse!$B$11="6.1.",Umse!$B$11="6.2.",Umse!$B$11="6.3.",Umse!$B$11="6.4.",$A$1="6.5.",$A$1="6.6."),'LKr Mask'!F47,0))</f>
        <v>0</v>
      </c>
      <c r="G47" s="308">
        <f>IF(OR(Umse!$B$11="3.1.",Umse!$B$11="3.2.",Umse!$B$11="3.5.",Umse!$B$11="3.6.",Umse!$B$11="3.9.",Umse!$B$11="3.10.",Umse!$B$11="4.1.",Umse!$B$11="4.2.",Umse!$B$11="4.3.",Umse!$B$11="4.4.",Umse!$B$11="4.5.",Umse!$B$11="4.6."),'VKr Mask'!G47,IF(OR(Umse!$B$11="6.1.",Umse!$B$11="6.2.",Umse!$B$11="6.3.",Umse!$B$11="6.4.",$A$1="6.5.",$A$1="6.6."),'LKr Mask'!G47,0))</f>
        <v>0</v>
      </c>
      <c r="H47" s="308">
        <f>IF(OR(Umse!$B$11="3.1.",Umse!$B$11="3.2.",Umse!$B$11="3.5.",Umse!$B$11="3.6.",Umse!$B$11="3.9.",Umse!$B$11="3.10.",Umse!$B$11="4.1.",Umse!$B$11="4.2.",Umse!$B$11="4.3.",Umse!$B$11="4.4.",Umse!$B$11="4.5.",Umse!$B$11="4.6."),'VKr Mask'!H47,IF(OR(Umse!$B$11="6.1.",Umse!$B$11="6.2.",Umse!$B$11="6.3.",Umse!$B$11="6.4.",$A$1="6.5.",$A$1="6.6."),'LKr Mask'!H47,0))</f>
        <v>0</v>
      </c>
      <c r="I47" s="308">
        <f>IF(OR(Umse!$B$11="3.1.",Umse!$B$11="3.2.",Umse!$B$11="3.5.",Umse!$B$11="3.6.",Umse!$B$11="3.9.",Umse!$B$11="3.10.",Umse!$B$11="4.1.",Umse!$B$11="4.2.",Umse!$B$11="4.3.",Umse!$B$11="4.4.",Umse!$B$11="4.5.",Umse!$B$11="4.6."),'VKr Mask'!I47,IF(OR(Umse!$B$11="6.1.",Umse!$B$11="6.2.",Umse!$B$11="6.3.",Umse!$B$11="6.4.",$A$1="6.5.",$A$1="6.6."),'LKr Mask'!I47,0))</f>
        <v>0</v>
      </c>
      <c r="J47" s="307"/>
      <c r="K47" s="306" t="str">
        <f>IF(OR(Umse!$B$11="3.1.",Umse!$B$11="3.2.",Umse!$B$11="3.5.",Umse!$B$11="3.6.",Umse!$B$11="3.9.",Umse!$B$11="3.10.",Umse!$B$11="4.1.",Umse!$B$11="4.2.",Umse!$B$11="4.3.",Umse!$B$11="4.4.",Umse!$B$11="4.5.",Umse!$B$11="4.6."),'VKr Mask'!K47,IF(OR(Umse!$B$11="6.1.",Umse!$B$11="6.2.",Umse!$B$11="6.3.",Umse!$B$11="6.4.",$A$1="6.5.",$A$1="6.6."),'LKr Mask'!K47,""))</f>
        <v/>
      </c>
      <c r="L47" s="322" t="str">
        <f>IF(OR(Umse!$B$11="3.1.",Umse!$B$11="3.2.",Umse!$B$11="3.5.",Umse!$B$11="3.6.",Umse!$B$11="3.9.",Umse!$B$11="3.10.",Umse!$B$11="4.1.",Umse!$B$11="4.2.",Umse!$B$11="4.3.",Umse!$B$11="4.4.",Umse!$B$11="4.5.",Umse!$B$11="4.6."),'VKr Mask'!L47,IF(OR(Umse!$B$11="6.1.",Umse!$B$11="6.2.",Umse!$B$11="6.3.",Umse!$B$11="6.4.",$A$1="6.5.",$A$1="6.6."),'LKr Mask'!L47,""))</f>
        <v/>
      </c>
      <c r="M47" s="308" t="str">
        <f>IF(OR(Umse!$B$11="3.1.",Umse!$B$11="3.2.",Umse!$B$11="3.5.",Umse!$B$11="3.6.",Umse!$B$11="3.9.",Umse!$B$11="3.10.",Umse!$B$11="4.1.",Umse!$B$11="4.2.",Umse!$B$11="4.3.",Umse!$B$11="4.4.",Umse!$B$11="4.5.",Umse!$B$11="4.6."),'VKr Mask'!M47,IF(OR(Umse!$B$11="6.1.",Umse!$B$11="6.2.",Umse!$B$11="6.3.",Umse!$B$11="6.4.",$A$1="6.5.",$A$1="6.6."),'LKr Mask'!M47,""))</f>
        <v/>
      </c>
      <c r="N47" s="308" t="str">
        <f>IF(OR(Umse!$B$11="3.1.",Umse!$B$11="3.2.",Umse!$B$11="3.5.",Umse!$B$11="3.6.",Umse!$B$11="3.9.",Umse!$B$11="3.10.",Umse!$B$11="4.1.",Umse!$B$11="4.2.",Umse!$B$11="4.3.",Umse!$B$11="4.4.",Umse!$B$11="4.5.",Umse!$B$11="4.6."),'VKr Mask'!N47,IF(OR(Umse!$B$11="6.1.",Umse!$B$11="6.2.",Umse!$B$11="6.3.",Umse!$B$11="6.4.",$A$1="6.5.",$A$1="6.6."),'LKr Mask'!N47,""))</f>
        <v/>
      </c>
      <c r="O47" s="308" t="str">
        <f>IF(OR(Umse!$B$11="3.1.",Umse!$B$11="3.2.",Umse!$B$11="3.5.",Umse!$B$11="3.6.",Umse!$B$11="3.9.",Umse!$B$11="3.10.",Umse!$B$11="4.1.",Umse!$B$11="4.2.",Umse!$B$11="4.3.",Umse!$B$11="4.4.",Umse!$B$11="4.5.",Umse!$B$11="4.6."),'VKr Mask'!O47,IF(OR(Umse!$B$11="6.1.",Umse!$B$11="6.2.",Umse!$B$11="6.3.",Umse!$B$11="6.4.",$A$1="6.5.",$A$1="6.6."),'LKr Mask'!O47,""))</f>
        <v/>
      </c>
      <c r="P47" s="308" t="str">
        <f>IF(OR(Umse!$B$11="3.1.",Umse!$B$11="3.2.",Umse!$B$11="3.5.",Umse!$B$11="3.6.",Umse!$B$11="3.9.",Umse!$B$11="3.10.",Umse!$B$11="4.1.",Umse!$B$11="4.2.",Umse!$B$11="4.3.",Umse!$B$11="4.4.",Umse!$B$11="4.5.",Umse!$B$11="4.6."),'VKr Mask'!P47,IF(OR(Umse!$B$11="6.1.",Umse!$B$11="6.2.",Umse!$B$11="6.3.",Umse!$B$11="6.4.",$A$1="6.5.",$A$1="6.6."),'LKr Mask'!P47,""))</f>
        <v/>
      </c>
      <c r="Q47" s="308" t="str">
        <f>IF(OR(Umse!$B$11="3.1.",Umse!$B$11="3.2.",Umse!$B$11="3.5.",Umse!$B$11="3.6.",Umse!$B$11="3.9.",Umse!$B$11="3.10.",Umse!$B$11="4.1.",Umse!$B$11="4.2.",Umse!$B$11="4.3.",Umse!$B$11="4.4.",Umse!$B$11="4.5.",Umse!$B$11="4.6."),'VKr Mask'!Q47,IF(OR(Umse!$B$11="6.1.",Umse!$B$11="6.2.",Umse!$B$11="6.3.",Umse!$B$11="6.4.",$A$1="6.5.",$A$1="6.6."),'LKr Mask'!Q47,""))</f>
        <v/>
      </c>
      <c r="R47" s="308" t="str">
        <f>IF(OR(Umse!$B$11="3.1.",Umse!$B$11="3.2.",Umse!$B$11="3.5.",Umse!$B$11="3.6.",Umse!$B$11="3.9.",Umse!$B$11="3.10.",Umse!$B$11="4.1.",Umse!$B$11="4.2.",Umse!$B$11="4.3.",Umse!$B$11="4.4.",Umse!$B$11="4.5.",Umse!$B$11="4.6."),'VKr Mask'!R47,IF(OR(Umse!$B$11="6.1.",Umse!$B$11="6.2.",Umse!$B$11="6.3.",Umse!$B$11="6.4.",$A$1="6.5.",$A$1="6.6."),'LKr Mask'!R47,""))</f>
        <v/>
      </c>
    </row>
    <row r="48" spans="2:29" ht="11.25" customHeight="1">
      <c r="B48" s="306" t="str">
        <f>IF(OR(Umse!$B$11="3.1.",Umse!$B$11="3.2.",Umse!$B$11="3.5.",Umse!$B$11="3.6.",Umse!$B$11="3.9.",Umse!$B$11="3.10.",Umse!$B$11="4.1.",Umse!$B$11="4.2.",Umse!$B$11="4.3.",Umse!$B$11="4.4.",Umse!$B$11="4.5.",Umse!$B$11="4.6."),'VKr Mask'!B48,IF(OR(Umse!$B$11="6.1.",Umse!$B$11="6.2.",Umse!$B$11="6.3.",Umse!$B$11="6.4.",$A$1="6.5.",$A$1="6.6."),'LKr Mask'!B48,""))</f>
        <v/>
      </c>
      <c r="C48" s="322" t="str">
        <f>IF(OR(Umse!$B$11="3.1.",Umse!$B$11="3.2.",Umse!$B$11="3.5.",Umse!$B$11="3.6.",Umse!$B$11="3.9.",Umse!$B$11="3.10.",Umse!$B$11="4.1.",Umse!$B$11="4.2.",Umse!$B$11="4.3.",Umse!$B$11="4.4.",Umse!$B$11="4.5.",Umse!$B$11="4.6."),'VKr Mask'!C48,IF(OR(Umse!$B$11="6.1.",Umse!$B$11="6.2.",Umse!$B$11="6.3.",Umse!$B$11="6.4.",$A$1="6.5.",$A$1="6.6."),'LKr Mask'!C48,""))</f>
        <v/>
      </c>
      <c r="D48" s="308">
        <f>IF(OR(Umse!$B$11="3.1.",Umse!$B$11="3.2.",Umse!$B$11="3.5.",Umse!$B$11="3.6.",Umse!$B$11="3.9.",Umse!$B$11="3.10.",Umse!$B$11="4.1.",Umse!$B$11="4.2.",Umse!$B$11="4.3.",Umse!$B$11="4.4.",Umse!$B$11="4.5.",Umse!$B$11="4.6."),'VKr Mask'!D48,IF(OR(Umse!$B$11="6.1.",Umse!$B$11="6.2.",Umse!$B$11="6.3.",Umse!$B$11="6.4.",$A$1="6.5.",$A$1="6.6."),'LKr Mask'!D48,0))</f>
        <v>0</v>
      </c>
      <c r="E48" s="308">
        <f>IF(OR(Umse!$B$11="3.1.",Umse!$B$11="3.2.",Umse!$B$11="3.5.",Umse!$B$11="3.6.",Umse!$B$11="3.9.",Umse!$B$11="3.10.",Umse!$B$11="4.1.",Umse!$B$11="4.2.",Umse!$B$11="4.3.",Umse!$B$11="4.4.",Umse!$B$11="4.5.",Umse!$B$11="4.6."),'VKr Mask'!E48,IF(OR(Umse!$B$11="6.1.",Umse!$B$11="6.2.",Umse!$B$11="6.3.",Umse!$B$11="6.4.",$A$1="6.5.",$A$1="6.6."),'LKr Mask'!E48,0))</f>
        <v>0</v>
      </c>
      <c r="F48" s="308">
        <f>IF(OR(Umse!$B$11="3.1.",Umse!$B$11="3.2.",Umse!$B$11="3.5.",Umse!$B$11="3.6.",Umse!$B$11="3.9.",Umse!$B$11="3.10.",Umse!$B$11="4.1.",Umse!$B$11="4.2.",Umse!$B$11="4.3.",Umse!$B$11="4.4.",Umse!$B$11="4.5.",Umse!$B$11="4.6."),'VKr Mask'!F48,IF(OR(Umse!$B$11="6.1.",Umse!$B$11="6.2.",Umse!$B$11="6.3.",Umse!$B$11="6.4.",$A$1="6.5.",$A$1="6.6."),'LKr Mask'!F48,0))</f>
        <v>0</v>
      </c>
      <c r="G48" s="308">
        <f>IF(OR(Umse!$B$11="3.1.",Umse!$B$11="3.2.",Umse!$B$11="3.5.",Umse!$B$11="3.6.",Umse!$B$11="3.9.",Umse!$B$11="3.10.",Umse!$B$11="4.1.",Umse!$B$11="4.2.",Umse!$B$11="4.3.",Umse!$B$11="4.4.",Umse!$B$11="4.5.",Umse!$B$11="4.6."),'VKr Mask'!G48,IF(OR(Umse!$B$11="6.1.",Umse!$B$11="6.2.",Umse!$B$11="6.3.",Umse!$B$11="6.4.",$A$1="6.5.",$A$1="6.6."),'LKr Mask'!G48,0))</f>
        <v>0</v>
      </c>
      <c r="H48" s="308">
        <f>IF(OR(Umse!$B$11="3.1.",Umse!$B$11="3.2.",Umse!$B$11="3.5.",Umse!$B$11="3.6.",Umse!$B$11="3.9.",Umse!$B$11="3.10.",Umse!$B$11="4.1.",Umse!$B$11="4.2.",Umse!$B$11="4.3.",Umse!$B$11="4.4.",Umse!$B$11="4.5.",Umse!$B$11="4.6."),'VKr Mask'!H48,IF(OR(Umse!$B$11="6.1.",Umse!$B$11="6.2.",Umse!$B$11="6.3.",Umse!$B$11="6.4.",$A$1="6.5.",$A$1="6.6."),'LKr Mask'!H48,0))</f>
        <v>0</v>
      </c>
      <c r="I48" s="308">
        <f>IF(OR(Umse!$B$11="3.1.",Umse!$B$11="3.2.",Umse!$B$11="3.5.",Umse!$B$11="3.6.",Umse!$B$11="3.9.",Umse!$B$11="3.10.",Umse!$B$11="4.1.",Umse!$B$11="4.2.",Umse!$B$11="4.3.",Umse!$B$11="4.4.",Umse!$B$11="4.5.",Umse!$B$11="4.6."),'VKr Mask'!I48,IF(OR(Umse!$B$11="6.1.",Umse!$B$11="6.2.",Umse!$B$11="6.3.",Umse!$B$11="6.4.",$A$1="6.5.",$A$1="6.6."),'LKr Mask'!I48,0))</f>
        <v>0</v>
      </c>
      <c r="J48" s="307"/>
      <c r="K48" s="306" t="str">
        <f>IF(OR(Umse!$B$11="3.1.",Umse!$B$11="3.2.",Umse!$B$11="3.5.",Umse!$B$11="3.6.",Umse!$B$11="3.9.",Umse!$B$11="3.10.",Umse!$B$11="4.1.",Umse!$B$11="4.2.",Umse!$B$11="4.3.",Umse!$B$11="4.4.",Umse!$B$11="4.5.",Umse!$B$11="4.6."),'VKr Mask'!K48,IF(OR(Umse!$B$11="6.1.",Umse!$B$11="6.2.",Umse!$B$11="6.3.",Umse!$B$11="6.4.",$A$1="6.5.",$A$1="6.6."),'LKr Mask'!K48,""))</f>
        <v/>
      </c>
      <c r="L48" s="322" t="str">
        <f>IF(OR(Umse!$B$11="3.1.",Umse!$B$11="3.2.",Umse!$B$11="3.5.",Umse!$B$11="3.6.",Umse!$B$11="3.9.",Umse!$B$11="3.10.",Umse!$B$11="4.1.",Umse!$B$11="4.2.",Umse!$B$11="4.3.",Umse!$B$11="4.4.",Umse!$B$11="4.5.",Umse!$B$11="4.6."),'VKr Mask'!L48,IF(OR(Umse!$B$11="6.1.",Umse!$B$11="6.2.",Umse!$B$11="6.3.",Umse!$B$11="6.4.",$A$1="6.5.",$A$1="6.6."),'LKr Mask'!L48,""))</f>
        <v/>
      </c>
      <c r="M48" s="308" t="str">
        <f>IF(OR(Umse!$B$11="3.1.",Umse!$B$11="3.2.",Umse!$B$11="3.5.",Umse!$B$11="3.6.",Umse!$B$11="3.9.",Umse!$B$11="3.10.",Umse!$B$11="4.1.",Umse!$B$11="4.2.",Umse!$B$11="4.3.",Umse!$B$11="4.4.",Umse!$B$11="4.5.",Umse!$B$11="4.6."),'VKr Mask'!M48,IF(OR(Umse!$B$11="6.1.",Umse!$B$11="6.2.",Umse!$B$11="6.3.",Umse!$B$11="6.4.",$A$1="6.5.",$A$1="6.6."),'LKr Mask'!M48,""))</f>
        <v/>
      </c>
      <c r="N48" s="308" t="str">
        <f>IF(OR(Umse!$B$11="3.1.",Umse!$B$11="3.2.",Umse!$B$11="3.5.",Umse!$B$11="3.6.",Umse!$B$11="3.9.",Umse!$B$11="3.10.",Umse!$B$11="4.1.",Umse!$B$11="4.2.",Umse!$B$11="4.3.",Umse!$B$11="4.4.",Umse!$B$11="4.5.",Umse!$B$11="4.6."),'VKr Mask'!N48,IF(OR(Umse!$B$11="6.1.",Umse!$B$11="6.2.",Umse!$B$11="6.3.",Umse!$B$11="6.4.",$A$1="6.5.",$A$1="6.6."),'LKr Mask'!N48,""))</f>
        <v/>
      </c>
      <c r="O48" s="308" t="str">
        <f>IF(OR(Umse!$B$11="3.1.",Umse!$B$11="3.2.",Umse!$B$11="3.5.",Umse!$B$11="3.6.",Umse!$B$11="3.9.",Umse!$B$11="3.10.",Umse!$B$11="4.1.",Umse!$B$11="4.2.",Umse!$B$11="4.3.",Umse!$B$11="4.4.",Umse!$B$11="4.5.",Umse!$B$11="4.6."),'VKr Mask'!O48,IF(OR(Umse!$B$11="6.1.",Umse!$B$11="6.2.",Umse!$B$11="6.3.",Umse!$B$11="6.4.",$A$1="6.5.",$A$1="6.6."),'LKr Mask'!O48,""))</f>
        <v/>
      </c>
      <c r="P48" s="308" t="str">
        <f>IF(OR(Umse!$B$11="3.1.",Umse!$B$11="3.2.",Umse!$B$11="3.5.",Umse!$B$11="3.6.",Umse!$B$11="3.9.",Umse!$B$11="3.10.",Umse!$B$11="4.1.",Umse!$B$11="4.2.",Umse!$B$11="4.3.",Umse!$B$11="4.4.",Umse!$B$11="4.5.",Umse!$B$11="4.6."),'VKr Mask'!P48,IF(OR(Umse!$B$11="6.1.",Umse!$B$11="6.2.",Umse!$B$11="6.3.",Umse!$B$11="6.4.",$A$1="6.5.",$A$1="6.6."),'LKr Mask'!P48,""))</f>
        <v/>
      </c>
      <c r="Q48" s="308" t="str">
        <f>IF(OR(Umse!$B$11="3.1.",Umse!$B$11="3.2.",Umse!$B$11="3.5.",Umse!$B$11="3.6.",Umse!$B$11="3.9.",Umse!$B$11="3.10.",Umse!$B$11="4.1.",Umse!$B$11="4.2.",Umse!$B$11="4.3.",Umse!$B$11="4.4.",Umse!$B$11="4.5.",Umse!$B$11="4.6."),'VKr Mask'!Q48,IF(OR(Umse!$B$11="6.1.",Umse!$B$11="6.2.",Umse!$B$11="6.3.",Umse!$B$11="6.4.",$A$1="6.5.",$A$1="6.6."),'LKr Mask'!Q48,""))</f>
        <v/>
      </c>
      <c r="R48" s="308" t="str">
        <f>IF(OR(Umse!$B$11="3.1.",Umse!$B$11="3.2.",Umse!$B$11="3.5.",Umse!$B$11="3.6.",Umse!$B$11="3.9.",Umse!$B$11="3.10.",Umse!$B$11="4.1.",Umse!$B$11="4.2.",Umse!$B$11="4.3.",Umse!$B$11="4.4.",Umse!$B$11="4.5.",Umse!$B$11="4.6."),'VKr Mask'!R48,IF(OR(Umse!$B$11="6.1.",Umse!$B$11="6.2.",Umse!$B$11="6.3.",Umse!$B$11="6.4.",$A$1="6.5.",$A$1="6.6."),'LKr Mask'!R48,""))</f>
        <v/>
      </c>
    </row>
    <row r="49" spans="2:18" ht="11.25" customHeight="1">
      <c r="B49" s="306" t="str">
        <f>IF(OR(Umse!$B$11="3.1.",Umse!$B$11="3.2.",Umse!$B$11="3.5.",Umse!$B$11="3.6.",Umse!$B$11="3.9.",Umse!$B$11="3.10.",Umse!$B$11="4.1.",Umse!$B$11="4.2.",Umse!$B$11="4.3.",Umse!$B$11="4.4.",Umse!$B$11="4.5.",Umse!$B$11="4.6."),'VKr Mask'!B49,IF(OR(Umse!$B$11="6.1.",Umse!$B$11="6.2.",Umse!$B$11="6.3.",Umse!$B$11="6.4.",$A$1="6.5.",$A$1="6.6."),'LKr Mask'!B49,""))</f>
        <v/>
      </c>
      <c r="C49" s="322" t="str">
        <f>IF(OR(Umse!$B$11="3.1.",Umse!$B$11="3.2.",Umse!$B$11="3.5.",Umse!$B$11="3.6.",Umse!$B$11="3.9.",Umse!$B$11="3.10.",Umse!$B$11="4.1.",Umse!$B$11="4.2.",Umse!$B$11="4.3.",Umse!$B$11="4.4.",Umse!$B$11="4.5.",Umse!$B$11="4.6."),'VKr Mask'!C49,IF(OR(Umse!$B$11="6.1.",Umse!$B$11="6.2.",Umse!$B$11="6.3.",Umse!$B$11="6.4.",$A$1="6.5.",$A$1="6.6."),'LKr Mask'!C49,""))</f>
        <v/>
      </c>
      <c r="D49" s="308">
        <f>IF(OR(Umse!$B$11="3.1.",Umse!$B$11="3.2.",Umse!$B$11="3.5.",Umse!$B$11="3.6.",Umse!$B$11="3.9.",Umse!$B$11="3.10.",Umse!$B$11="4.1.",Umse!$B$11="4.2.",Umse!$B$11="4.3.",Umse!$B$11="4.4.",Umse!$B$11="4.5.",Umse!$B$11="4.6."),'VKr Mask'!D49,IF(OR(Umse!$B$11="6.1.",Umse!$B$11="6.2.",Umse!$B$11="6.3.",Umse!$B$11="6.4.",$A$1="6.5.",$A$1="6.6."),'LKr Mask'!D49,0))</f>
        <v>0</v>
      </c>
      <c r="E49" s="308">
        <f>IF(OR(Umse!$B$11="3.1.",Umse!$B$11="3.2.",Umse!$B$11="3.5.",Umse!$B$11="3.6.",Umse!$B$11="3.9.",Umse!$B$11="3.10.",Umse!$B$11="4.1.",Umse!$B$11="4.2.",Umse!$B$11="4.3.",Umse!$B$11="4.4.",Umse!$B$11="4.5.",Umse!$B$11="4.6."),'VKr Mask'!E49,IF(OR(Umse!$B$11="6.1.",Umse!$B$11="6.2.",Umse!$B$11="6.3.",Umse!$B$11="6.4.",$A$1="6.5.",$A$1="6.6."),'LKr Mask'!E49,0))</f>
        <v>0</v>
      </c>
      <c r="F49" s="308">
        <f>IF(OR(Umse!$B$11="3.1.",Umse!$B$11="3.2.",Umse!$B$11="3.5.",Umse!$B$11="3.6.",Umse!$B$11="3.9.",Umse!$B$11="3.10.",Umse!$B$11="4.1.",Umse!$B$11="4.2.",Umse!$B$11="4.3.",Umse!$B$11="4.4.",Umse!$B$11="4.5.",Umse!$B$11="4.6."),'VKr Mask'!F49,IF(OR(Umse!$B$11="6.1.",Umse!$B$11="6.2.",Umse!$B$11="6.3.",Umse!$B$11="6.4.",$A$1="6.5.",$A$1="6.6."),'LKr Mask'!F49,0))</f>
        <v>0</v>
      </c>
      <c r="G49" s="308">
        <f>IF(OR(Umse!$B$11="3.1.",Umse!$B$11="3.2.",Umse!$B$11="3.5.",Umse!$B$11="3.6.",Umse!$B$11="3.9.",Umse!$B$11="3.10.",Umse!$B$11="4.1.",Umse!$B$11="4.2.",Umse!$B$11="4.3.",Umse!$B$11="4.4.",Umse!$B$11="4.5.",Umse!$B$11="4.6."),'VKr Mask'!G49,IF(OR(Umse!$B$11="6.1.",Umse!$B$11="6.2.",Umse!$B$11="6.3.",Umse!$B$11="6.4.",$A$1="6.5.",$A$1="6.6."),'LKr Mask'!G49,0))</f>
        <v>0</v>
      </c>
      <c r="H49" s="308">
        <f>IF(OR(Umse!$B$11="3.1.",Umse!$B$11="3.2.",Umse!$B$11="3.5.",Umse!$B$11="3.6.",Umse!$B$11="3.9.",Umse!$B$11="3.10.",Umse!$B$11="4.1.",Umse!$B$11="4.2.",Umse!$B$11="4.3.",Umse!$B$11="4.4.",Umse!$B$11="4.5.",Umse!$B$11="4.6."),'VKr Mask'!H49,IF(OR(Umse!$B$11="6.1.",Umse!$B$11="6.2.",Umse!$B$11="6.3.",Umse!$B$11="6.4.",$A$1="6.5.",$A$1="6.6."),'LKr Mask'!H49,0))</f>
        <v>0</v>
      </c>
      <c r="I49" s="308">
        <f>IF(OR(Umse!$B$11="3.1.",Umse!$B$11="3.2.",Umse!$B$11="3.5.",Umse!$B$11="3.6.",Umse!$B$11="3.9.",Umse!$B$11="3.10.",Umse!$B$11="4.1.",Umse!$B$11="4.2.",Umse!$B$11="4.3.",Umse!$B$11="4.4.",Umse!$B$11="4.5.",Umse!$B$11="4.6."),'VKr Mask'!I49,IF(OR(Umse!$B$11="6.1.",Umse!$B$11="6.2.",Umse!$B$11="6.3.",Umse!$B$11="6.4.",$A$1="6.5.",$A$1="6.6."),'LKr Mask'!I49,0))</f>
        <v>0</v>
      </c>
      <c r="J49" s="307"/>
      <c r="K49" s="306" t="str">
        <f>IF(OR(Umse!$B$11="3.1.",Umse!$B$11="3.2.",Umse!$B$11="3.5.",Umse!$B$11="3.6.",Umse!$B$11="3.9.",Umse!$B$11="3.10.",Umse!$B$11="4.1.",Umse!$B$11="4.2.",Umse!$B$11="4.3.",Umse!$B$11="4.4.",Umse!$B$11="4.5.",Umse!$B$11="4.6."),'VKr Mask'!K49,IF(OR(Umse!$B$11="6.1.",Umse!$B$11="6.2.",Umse!$B$11="6.3.",Umse!$B$11="6.4.",$A$1="6.5.",$A$1="6.6."),'LKr Mask'!K49,""))</f>
        <v/>
      </c>
      <c r="L49" s="322" t="str">
        <f>IF(OR(Umse!$B$11="3.1.",Umse!$B$11="3.2.",Umse!$B$11="3.5.",Umse!$B$11="3.6.",Umse!$B$11="3.9.",Umse!$B$11="3.10.",Umse!$B$11="4.1.",Umse!$B$11="4.2.",Umse!$B$11="4.3.",Umse!$B$11="4.4.",Umse!$B$11="4.5.",Umse!$B$11="4.6."),'VKr Mask'!L49,IF(OR(Umse!$B$11="6.1.",Umse!$B$11="6.2.",Umse!$B$11="6.3.",Umse!$B$11="6.4.",$A$1="6.5.",$A$1="6.6."),'LKr Mask'!L49,""))</f>
        <v/>
      </c>
      <c r="M49" s="308" t="str">
        <f>IF(OR(Umse!$B$11="3.1.",Umse!$B$11="3.2.",Umse!$B$11="3.5.",Umse!$B$11="3.6.",Umse!$B$11="3.9.",Umse!$B$11="3.10.",Umse!$B$11="4.1.",Umse!$B$11="4.2.",Umse!$B$11="4.3.",Umse!$B$11="4.4.",Umse!$B$11="4.5.",Umse!$B$11="4.6."),'VKr Mask'!M49,IF(OR(Umse!$B$11="6.1.",Umse!$B$11="6.2.",Umse!$B$11="6.3.",Umse!$B$11="6.4.",$A$1="6.5.",$A$1="6.6."),'LKr Mask'!M49,""))</f>
        <v/>
      </c>
      <c r="N49" s="308" t="str">
        <f>IF(OR(Umse!$B$11="3.1.",Umse!$B$11="3.2.",Umse!$B$11="3.5.",Umse!$B$11="3.6.",Umse!$B$11="3.9.",Umse!$B$11="3.10.",Umse!$B$11="4.1.",Umse!$B$11="4.2.",Umse!$B$11="4.3.",Umse!$B$11="4.4.",Umse!$B$11="4.5.",Umse!$B$11="4.6."),'VKr Mask'!N49,IF(OR(Umse!$B$11="6.1.",Umse!$B$11="6.2.",Umse!$B$11="6.3.",Umse!$B$11="6.4.",$A$1="6.5.",$A$1="6.6."),'LKr Mask'!N49,""))</f>
        <v/>
      </c>
      <c r="O49" s="308" t="str">
        <f>IF(OR(Umse!$B$11="3.1.",Umse!$B$11="3.2.",Umse!$B$11="3.5.",Umse!$B$11="3.6.",Umse!$B$11="3.9.",Umse!$B$11="3.10.",Umse!$B$11="4.1.",Umse!$B$11="4.2.",Umse!$B$11="4.3.",Umse!$B$11="4.4.",Umse!$B$11="4.5.",Umse!$B$11="4.6."),'VKr Mask'!O49,IF(OR(Umse!$B$11="6.1.",Umse!$B$11="6.2.",Umse!$B$11="6.3.",Umse!$B$11="6.4.",$A$1="6.5.",$A$1="6.6."),'LKr Mask'!O49,""))</f>
        <v/>
      </c>
      <c r="P49" s="308" t="str">
        <f>IF(OR(Umse!$B$11="3.1.",Umse!$B$11="3.2.",Umse!$B$11="3.5.",Umse!$B$11="3.6.",Umse!$B$11="3.9.",Umse!$B$11="3.10.",Umse!$B$11="4.1.",Umse!$B$11="4.2.",Umse!$B$11="4.3.",Umse!$B$11="4.4.",Umse!$B$11="4.5.",Umse!$B$11="4.6."),'VKr Mask'!P49,IF(OR(Umse!$B$11="6.1.",Umse!$B$11="6.2.",Umse!$B$11="6.3.",Umse!$B$11="6.4.",$A$1="6.5.",$A$1="6.6."),'LKr Mask'!P49,""))</f>
        <v/>
      </c>
      <c r="Q49" s="308" t="str">
        <f>IF(OR(Umse!$B$11="3.1.",Umse!$B$11="3.2.",Umse!$B$11="3.5.",Umse!$B$11="3.6.",Umse!$B$11="3.9.",Umse!$B$11="3.10.",Umse!$B$11="4.1.",Umse!$B$11="4.2.",Umse!$B$11="4.3.",Umse!$B$11="4.4.",Umse!$B$11="4.5.",Umse!$B$11="4.6."),'VKr Mask'!Q49,IF(OR(Umse!$B$11="6.1.",Umse!$B$11="6.2.",Umse!$B$11="6.3.",Umse!$B$11="6.4.",$A$1="6.5.",$A$1="6.6."),'LKr Mask'!Q49,""))</f>
        <v/>
      </c>
      <c r="R49" s="308" t="str">
        <f>IF(OR(Umse!$B$11="3.1.",Umse!$B$11="3.2.",Umse!$B$11="3.5.",Umse!$B$11="3.6.",Umse!$B$11="3.9.",Umse!$B$11="3.10.",Umse!$B$11="4.1.",Umse!$B$11="4.2.",Umse!$B$11="4.3.",Umse!$B$11="4.4.",Umse!$B$11="4.5.",Umse!$B$11="4.6."),'VKr Mask'!R49,IF(OR(Umse!$B$11="6.1.",Umse!$B$11="6.2.",Umse!$B$11="6.3.",Umse!$B$11="6.4.",$A$1="6.5.",$A$1="6.6."),'LKr Mask'!R49,""))</f>
        <v/>
      </c>
    </row>
    <row r="50" spans="2:18" ht="11.25" customHeight="1">
      <c r="B50" s="306" t="str">
        <f>IF(OR(Umse!$B$11="3.1.",Umse!$B$11="3.2.",Umse!$B$11="3.5.",Umse!$B$11="3.6.",Umse!$B$11="3.9.",Umse!$B$11="3.10.",Umse!$B$11="4.1.",Umse!$B$11="4.2.",Umse!$B$11="4.3.",Umse!$B$11="4.4.",Umse!$B$11="4.5.",Umse!$B$11="4.6."),'VKr Mask'!B50,IF(OR(Umse!$B$11="6.1.",Umse!$B$11="6.2.",Umse!$B$11="6.3.",Umse!$B$11="6.4.",$A$1="6.5.",$A$1="6.6."),'LKr Mask'!B50,""))</f>
        <v/>
      </c>
      <c r="C50" s="322" t="str">
        <f>IF(OR(Umse!$B$11="3.1.",Umse!$B$11="3.2.",Umse!$B$11="3.5.",Umse!$B$11="3.6.",Umse!$B$11="3.9.",Umse!$B$11="3.10.",Umse!$B$11="4.1.",Umse!$B$11="4.2.",Umse!$B$11="4.3.",Umse!$B$11="4.4.",Umse!$B$11="4.5.",Umse!$B$11="4.6."),'VKr Mask'!C50,IF(OR(Umse!$B$11="6.1.",Umse!$B$11="6.2.",Umse!$B$11="6.3.",Umse!$B$11="6.4.",$A$1="6.5.",$A$1="6.6."),'LKr Mask'!C50,""))</f>
        <v/>
      </c>
      <c r="D50" s="308">
        <f>IF(OR(Umse!$B$11="3.1.",Umse!$B$11="3.2.",Umse!$B$11="3.5.",Umse!$B$11="3.6.",Umse!$B$11="3.9.",Umse!$B$11="3.10.",Umse!$B$11="4.1.",Umse!$B$11="4.2.",Umse!$B$11="4.3.",Umse!$B$11="4.4.",Umse!$B$11="4.5.",Umse!$B$11="4.6."),'VKr Mask'!D50,IF(OR(Umse!$B$11="6.1.",Umse!$B$11="6.2.",Umse!$B$11="6.3.",Umse!$B$11="6.4.",$A$1="6.5.",$A$1="6.6."),'LKr Mask'!D50,0))</f>
        <v>0</v>
      </c>
      <c r="E50" s="308">
        <f>IF(OR(Umse!$B$11="3.1.",Umse!$B$11="3.2.",Umse!$B$11="3.5.",Umse!$B$11="3.6.",Umse!$B$11="3.9.",Umse!$B$11="3.10.",Umse!$B$11="4.1.",Umse!$B$11="4.2.",Umse!$B$11="4.3.",Umse!$B$11="4.4.",Umse!$B$11="4.5.",Umse!$B$11="4.6."),'VKr Mask'!E50,IF(OR(Umse!$B$11="6.1.",Umse!$B$11="6.2.",Umse!$B$11="6.3.",Umse!$B$11="6.4.",$A$1="6.5.",$A$1="6.6."),'LKr Mask'!E50,0))</f>
        <v>0</v>
      </c>
      <c r="F50" s="308">
        <f>IF(OR(Umse!$B$11="3.1.",Umse!$B$11="3.2.",Umse!$B$11="3.5.",Umse!$B$11="3.6.",Umse!$B$11="3.9.",Umse!$B$11="3.10.",Umse!$B$11="4.1.",Umse!$B$11="4.2.",Umse!$B$11="4.3.",Umse!$B$11="4.4.",Umse!$B$11="4.5.",Umse!$B$11="4.6."),'VKr Mask'!F50,IF(OR(Umse!$B$11="6.1.",Umse!$B$11="6.2.",Umse!$B$11="6.3.",Umse!$B$11="6.4.",$A$1="6.5.",$A$1="6.6."),'LKr Mask'!F50,0))</f>
        <v>0</v>
      </c>
      <c r="G50" s="308">
        <f>IF(OR(Umse!$B$11="3.1.",Umse!$B$11="3.2.",Umse!$B$11="3.5.",Umse!$B$11="3.6.",Umse!$B$11="3.9.",Umse!$B$11="3.10.",Umse!$B$11="4.1.",Umse!$B$11="4.2.",Umse!$B$11="4.3.",Umse!$B$11="4.4.",Umse!$B$11="4.5.",Umse!$B$11="4.6."),'VKr Mask'!G50,IF(OR(Umse!$B$11="6.1.",Umse!$B$11="6.2.",Umse!$B$11="6.3.",Umse!$B$11="6.4.",$A$1="6.5.",$A$1="6.6."),'LKr Mask'!G50,0))</f>
        <v>0</v>
      </c>
      <c r="H50" s="308">
        <f>IF(OR(Umse!$B$11="3.1.",Umse!$B$11="3.2.",Umse!$B$11="3.5.",Umse!$B$11="3.6.",Umse!$B$11="3.9.",Umse!$B$11="3.10.",Umse!$B$11="4.1.",Umse!$B$11="4.2.",Umse!$B$11="4.3.",Umse!$B$11="4.4.",Umse!$B$11="4.5.",Umse!$B$11="4.6."),'VKr Mask'!H50,IF(OR(Umse!$B$11="6.1.",Umse!$B$11="6.2.",Umse!$B$11="6.3.",Umse!$B$11="6.4.",$A$1="6.5.",$A$1="6.6."),'LKr Mask'!H50,0))</f>
        <v>0</v>
      </c>
      <c r="I50" s="308">
        <f>IF(OR(Umse!$B$11="3.1.",Umse!$B$11="3.2.",Umse!$B$11="3.5.",Umse!$B$11="3.6.",Umse!$B$11="3.9.",Umse!$B$11="3.10.",Umse!$B$11="4.1.",Umse!$B$11="4.2.",Umse!$B$11="4.3.",Umse!$B$11="4.4.",Umse!$B$11="4.5.",Umse!$B$11="4.6."),'VKr Mask'!I50,IF(OR(Umse!$B$11="6.1.",Umse!$B$11="6.2.",Umse!$B$11="6.3.",Umse!$B$11="6.4.",$A$1="6.5.",$A$1="6.6."),'LKr Mask'!I50,0))</f>
        <v>0</v>
      </c>
      <c r="J50" s="307"/>
      <c r="K50" s="306" t="str">
        <f>IF(OR(Umse!$B$11="3.1.",Umse!$B$11="3.2.",Umse!$B$11="3.5.",Umse!$B$11="3.6.",Umse!$B$11="3.9.",Umse!$B$11="3.10.",Umse!$B$11="4.1.",Umse!$B$11="4.2.",Umse!$B$11="4.3.",Umse!$B$11="4.4.",Umse!$B$11="4.5.",Umse!$B$11="4.6."),'VKr Mask'!K50,IF(OR(Umse!$B$11="6.1.",Umse!$B$11="6.2.",Umse!$B$11="6.3.",Umse!$B$11="6.4.",$A$1="6.5.",$A$1="6.6."),'LKr Mask'!K50,""))</f>
        <v/>
      </c>
      <c r="L50" s="322" t="str">
        <f>IF(OR(Umse!$B$11="3.1.",Umse!$B$11="3.2.",Umse!$B$11="3.5.",Umse!$B$11="3.6.",Umse!$B$11="3.9.",Umse!$B$11="3.10.",Umse!$B$11="4.1.",Umse!$B$11="4.2.",Umse!$B$11="4.3.",Umse!$B$11="4.4.",Umse!$B$11="4.5.",Umse!$B$11="4.6."),'VKr Mask'!L50,IF(OR(Umse!$B$11="6.1.",Umse!$B$11="6.2.",Umse!$B$11="6.3.",Umse!$B$11="6.4.",$A$1="6.5.",$A$1="6.6."),'LKr Mask'!L50,""))</f>
        <v/>
      </c>
      <c r="M50" s="308" t="str">
        <f>IF(OR(Umse!$B$11="3.1.",Umse!$B$11="3.2.",Umse!$B$11="3.5.",Umse!$B$11="3.6.",Umse!$B$11="3.9.",Umse!$B$11="3.10.",Umse!$B$11="4.1.",Umse!$B$11="4.2.",Umse!$B$11="4.3.",Umse!$B$11="4.4.",Umse!$B$11="4.5.",Umse!$B$11="4.6."),'VKr Mask'!M50,IF(OR(Umse!$B$11="6.1.",Umse!$B$11="6.2.",Umse!$B$11="6.3.",Umse!$B$11="6.4.",$A$1="6.5.",$A$1="6.6."),'LKr Mask'!M50,""))</f>
        <v/>
      </c>
      <c r="N50" s="308" t="str">
        <f>IF(OR(Umse!$B$11="3.1.",Umse!$B$11="3.2.",Umse!$B$11="3.5.",Umse!$B$11="3.6.",Umse!$B$11="3.9.",Umse!$B$11="3.10.",Umse!$B$11="4.1.",Umse!$B$11="4.2.",Umse!$B$11="4.3.",Umse!$B$11="4.4.",Umse!$B$11="4.5.",Umse!$B$11="4.6."),'VKr Mask'!N50,IF(OR(Umse!$B$11="6.1.",Umse!$B$11="6.2.",Umse!$B$11="6.3.",Umse!$B$11="6.4.",$A$1="6.5.",$A$1="6.6."),'LKr Mask'!N50,""))</f>
        <v/>
      </c>
      <c r="O50" s="308" t="str">
        <f>IF(OR(Umse!$B$11="3.1.",Umse!$B$11="3.2.",Umse!$B$11="3.5.",Umse!$B$11="3.6.",Umse!$B$11="3.9.",Umse!$B$11="3.10.",Umse!$B$11="4.1.",Umse!$B$11="4.2.",Umse!$B$11="4.3.",Umse!$B$11="4.4.",Umse!$B$11="4.5.",Umse!$B$11="4.6."),'VKr Mask'!O50,IF(OR(Umse!$B$11="6.1.",Umse!$B$11="6.2.",Umse!$B$11="6.3.",Umse!$B$11="6.4.",$A$1="6.5.",$A$1="6.6."),'LKr Mask'!O50,""))</f>
        <v/>
      </c>
      <c r="P50" s="308" t="str">
        <f>IF(OR(Umse!$B$11="3.1.",Umse!$B$11="3.2.",Umse!$B$11="3.5.",Umse!$B$11="3.6.",Umse!$B$11="3.9.",Umse!$B$11="3.10.",Umse!$B$11="4.1.",Umse!$B$11="4.2.",Umse!$B$11="4.3.",Umse!$B$11="4.4.",Umse!$B$11="4.5.",Umse!$B$11="4.6."),'VKr Mask'!P50,IF(OR(Umse!$B$11="6.1.",Umse!$B$11="6.2.",Umse!$B$11="6.3.",Umse!$B$11="6.4.",$A$1="6.5.",$A$1="6.6."),'LKr Mask'!P50,""))</f>
        <v/>
      </c>
      <c r="Q50" s="308" t="str">
        <f>IF(OR(Umse!$B$11="3.1.",Umse!$B$11="3.2.",Umse!$B$11="3.5.",Umse!$B$11="3.6.",Umse!$B$11="3.9.",Umse!$B$11="3.10.",Umse!$B$11="4.1.",Umse!$B$11="4.2.",Umse!$B$11="4.3.",Umse!$B$11="4.4.",Umse!$B$11="4.5.",Umse!$B$11="4.6."),'VKr Mask'!Q50,IF(OR(Umse!$B$11="6.1.",Umse!$B$11="6.2.",Umse!$B$11="6.3.",Umse!$B$11="6.4.",$A$1="6.5.",$A$1="6.6."),'LKr Mask'!Q50,""))</f>
        <v/>
      </c>
      <c r="R50" s="308" t="str">
        <f>IF(OR(Umse!$B$11="3.1.",Umse!$B$11="3.2.",Umse!$B$11="3.5.",Umse!$B$11="3.6.",Umse!$B$11="3.9.",Umse!$B$11="3.10.",Umse!$B$11="4.1.",Umse!$B$11="4.2.",Umse!$B$11="4.3.",Umse!$B$11="4.4.",Umse!$B$11="4.5.",Umse!$B$11="4.6."),'VKr Mask'!R50,IF(OR(Umse!$B$11="6.1.",Umse!$B$11="6.2.",Umse!$B$11="6.3.",Umse!$B$11="6.4.",$A$1="6.5.",$A$1="6.6."),'LKr Mask'!R50,""))</f>
        <v/>
      </c>
    </row>
    <row r="51" spans="2:18" ht="11.25" customHeight="1">
      <c r="B51" s="306" t="str">
        <f>IF(OR(Umse!$B$11="3.1.",Umse!$B$11="3.2.",Umse!$B$11="3.5.",Umse!$B$11="3.6.",Umse!$B$11="3.9.",Umse!$B$11="3.10.",Umse!$B$11="4.1.",Umse!$B$11="4.2.",Umse!$B$11="4.3.",Umse!$B$11="4.4.",Umse!$B$11="4.5.",Umse!$B$11="4.6."),'VKr Mask'!B51,IF(OR(Umse!$B$11="6.1.",Umse!$B$11="6.2.",Umse!$B$11="6.3.",Umse!$B$11="6.4.",$A$1="6.5.",$A$1="6.6."),'LKr Mask'!B51,""))</f>
        <v/>
      </c>
      <c r="C51" s="322" t="str">
        <f>IF(OR(Umse!$B$11="3.1.",Umse!$B$11="3.2.",Umse!$B$11="3.5.",Umse!$B$11="3.6.",Umse!$B$11="3.9.",Umse!$B$11="3.10.",Umse!$B$11="4.1.",Umse!$B$11="4.2.",Umse!$B$11="4.3.",Umse!$B$11="4.4.",Umse!$B$11="4.5.",Umse!$B$11="4.6."),'VKr Mask'!C51,IF(OR(Umse!$B$11="6.1.",Umse!$B$11="6.2.",Umse!$B$11="6.3.",Umse!$B$11="6.4.",$A$1="6.5.",$A$1="6.6."),'LKr Mask'!C51,""))</f>
        <v/>
      </c>
      <c r="D51" s="308">
        <f>IF(OR(Umse!$B$11="3.1.",Umse!$B$11="3.2.",Umse!$B$11="3.5.",Umse!$B$11="3.6.",Umse!$B$11="3.9.",Umse!$B$11="3.10.",Umse!$B$11="4.1.",Umse!$B$11="4.2.",Umse!$B$11="4.3.",Umse!$B$11="4.4.",Umse!$B$11="4.5.",Umse!$B$11="4.6."),'VKr Mask'!D51,IF(OR(Umse!$B$11="6.1.",Umse!$B$11="6.2.",Umse!$B$11="6.3.",Umse!$B$11="6.4.",$A$1="6.5.",$A$1="6.6."),'LKr Mask'!D51,0))</f>
        <v>0</v>
      </c>
      <c r="E51" s="308">
        <f>IF(OR(Umse!$B$11="3.1.",Umse!$B$11="3.2.",Umse!$B$11="3.5.",Umse!$B$11="3.6.",Umse!$B$11="3.9.",Umse!$B$11="3.10.",Umse!$B$11="4.1.",Umse!$B$11="4.2.",Umse!$B$11="4.3.",Umse!$B$11="4.4.",Umse!$B$11="4.5.",Umse!$B$11="4.6."),'VKr Mask'!E51,IF(OR(Umse!$B$11="6.1.",Umse!$B$11="6.2.",Umse!$B$11="6.3.",Umse!$B$11="6.4.",$A$1="6.5.",$A$1="6.6."),'LKr Mask'!E51,0))</f>
        <v>0</v>
      </c>
      <c r="F51" s="308">
        <f>IF(OR(Umse!$B$11="3.1.",Umse!$B$11="3.2.",Umse!$B$11="3.5.",Umse!$B$11="3.6.",Umse!$B$11="3.9.",Umse!$B$11="3.10.",Umse!$B$11="4.1.",Umse!$B$11="4.2.",Umse!$B$11="4.3.",Umse!$B$11="4.4.",Umse!$B$11="4.5.",Umse!$B$11="4.6."),'VKr Mask'!F51,IF(OR(Umse!$B$11="6.1.",Umse!$B$11="6.2.",Umse!$B$11="6.3.",Umse!$B$11="6.4.",$A$1="6.5.",$A$1="6.6."),'LKr Mask'!F51,0))</f>
        <v>0</v>
      </c>
      <c r="G51" s="308">
        <f>IF(OR(Umse!$B$11="3.1.",Umse!$B$11="3.2.",Umse!$B$11="3.5.",Umse!$B$11="3.6.",Umse!$B$11="3.9.",Umse!$B$11="3.10.",Umse!$B$11="4.1.",Umse!$B$11="4.2.",Umse!$B$11="4.3.",Umse!$B$11="4.4.",Umse!$B$11="4.5.",Umse!$B$11="4.6."),'VKr Mask'!G51,IF(OR(Umse!$B$11="6.1.",Umse!$B$11="6.2.",Umse!$B$11="6.3.",Umse!$B$11="6.4.",$A$1="6.5.",$A$1="6.6."),'LKr Mask'!G51,0))</f>
        <v>0</v>
      </c>
      <c r="H51" s="308">
        <f>IF(OR(Umse!$B$11="3.1.",Umse!$B$11="3.2.",Umse!$B$11="3.5.",Umse!$B$11="3.6.",Umse!$B$11="3.9.",Umse!$B$11="3.10.",Umse!$B$11="4.1.",Umse!$B$11="4.2.",Umse!$B$11="4.3.",Umse!$B$11="4.4.",Umse!$B$11="4.5.",Umse!$B$11="4.6."),'VKr Mask'!H51,IF(OR(Umse!$B$11="6.1.",Umse!$B$11="6.2.",Umse!$B$11="6.3.",Umse!$B$11="6.4.",$A$1="6.5.",$A$1="6.6."),'LKr Mask'!H51,0))</f>
        <v>0</v>
      </c>
      <c r="I51" s="308">
        <f>IF(OR(Umse!$B$11="3.1.",Umse!$B$11="3.2.",Umse!$B$11="3.5.",Umse!$B$11="3.6.",Umse!$B$11="3.9.",Umse!$B$11="3.10.",Umse!$B$11="4.1.",Umse!$B$11="4.2.",Umse!$B$11="4.3.",Umse!$B$11="4.4.",Umse!$B$11="4.5.",Umse!$B$11="4.6."),'VKr Mask'!I51,IF(OR(Umse!$B$11="6.1.",Umse!$B$11="6.2.",Umse!$B$11="6.3.",Umse!$B$11="6.4.",$A$1="6.5.",$A$1="6.6."),'LKr Mask'!I51,0))</f>
        <v>0</v>
      </c>
      <c r="J51" s="307"/>
      <c r="K51" s="306" t="str">
        <f>IF(OR(Umse!$B$11="3.1.",Umse!$B$11="3.2.",Umse!$B$11="3.5.",Umse!$B$11="3.6.",Umse!$B$11="3.9.",Umse!$B$11="3.10.",Umse!$B$11="4.1.",Umse!$B$11="4.2.",Umse!$B$11="4.3.",Umse!$B$11="4.4.",Umse!$B$11="4.5.",Umse!$B$11="4.6."),'VKr Mask'!K51,IF(OR(Umse!$B$11="6.1.",Umse!$B$11="6.2.",Umse!$B$11="6.3.",Umse!$B$11="6.4.",$A$1="6.5.",$A$1="6.6."),'LKr Mask'!K51,""))</f>
        <v/>
      </c>
      <c r="L51" s="322" t="str">
        <f>IF(OR(Umse!$B$11="3.1.",Umse!$B$11="3.2.",Umse!$B$11="3.5.",Umse!$B$11="3.6.",Umse!$B$11="3.9.",Umse!$B$11="3.10.",Umse!$B$11="4.1.",Umse!$B$11="4.2.",Umse!$B$11="4.3.",Umse!$B$11="4.4.",Umse!$B$11="4.5.",Umse!$B$11="4.6."),'VKr Mask'!L51,IF(OR(Umse!$B$11="6.1.",Umse!$B$11="6.2.",Umse!$B$11="6.3.",Umse!$B$11="6.4.",$A$1="6.5.",$A$1="6.6."),'LKr Mask'!L51,""))</f>
        <v/>
      </c>
      <c r="M51" s="308" t="str">
        <f>IF(OR(Umse!$B$11="3.1.",Umse!$B$11="3.2.",Umse!$B$11="3.5.",Umse!$B$11="3.6.",Umse!$B$11="3.9.",Umse!$B$11="3.10.",Umse!$B$11="4.1.",Umse!$B$11="4.2.",Umse!$B$11="4.3.",Umse!$B$11="4.4.",Umse!$B$11="4.5.",Umse!$B$11="4.6."),'VKr Mask'!M51,IF(OR(Umse!$B$11="6.1.",Umse!$B$11="6.2.",Umse!$B$11="6.3.",Umse!$B$11="6.4.",$A$1="6.5.",$A$1="6.6."),'LKr Mask'!M51,""))</f>
        <v/>
      </c>
      <c r="N51" s="308" t="str">
        <f>IF(OR(Umse!$B$11="3.1.",Umse!$B$11="3.2.",Umse!$B$11="3.5.",Umse!$B$11="3.6.",Umse!$B$11="3.9.",Umse!$B$11="3.10.",Umse!$B$11="4.1.",Umse!$B$11="4.2.",Umse!$B$11="4.3.",Umse!$B$11="4.4.",Umse!$B$11="4.5.",Umse!$B$11="4.6."),'VKr Mask'!N51,IF(OR(Umse!$B$11="6.1.",Umse!$B$11="6.2.",Umse!$B$11="6.3.",Umse!$B$11="6.4.",$A$1="6.5.",$A$1="6.6."),'LKr Mask'!N51,""))</f>
        <v/>
      </c>
      <c r="O51" s="308" t="str">
        <f>IF(OR(Umse!$B$11="3.1.",Umse!$B$11="3.2.",Umse!$B$11="3.5.",Umse!$B$11="3.6.",Umse!$B$11="3.9.",Umse!$B$11="3.10.",Umse!$B$11="4.1.",Umse!$B$11="4.2.",Umse!$B$11="4.3.",Umse!$B$11="4.4.",Umse!$B$11="4.5.",Umse!$B$11="4.6."),'VKr Mask'!O51,IF(OR(Umse!$B$11="6.1.",Umse!$B$11="6.2.",Umse!$B$11="6.3.",Umse!$B$11="6.4.",$A$1="6.5.",$A$1="6.6."),'LKr Mask'!O51,""))</f>
        <v/>
      </c>
      <c r="P51" s="308" t="str">
        <f>IF(OR(Umse!$B$11="3.1.",Umse!$B$11="3.2.",Umse!$B$11="3.5.",Umse!$B$11="3.6.",Umse!$B$11="3.9.",Umse!$B$11="3.10.",Umse!$B$11="4.1.",Umse!$B$11="4.2.",Umse!$B$11="4.3.",Umse!$B$11="4.4.",Umse!$B$11="4.5.",Umse!$B$11="4.6."),'VKr Mask'!P51,IF(OR(Umse!$B$11="6.1.",Umse!$B$11="6.2.",Umse!$B$11="6.3.",Umse!$B$11="6.4.",$A$1="6.5.",$A$1="6.6."),'LKr Mask'!P51,""))</f>
        <v/>
      </c>
      <c r="Q51" s="308" t="str">
        <f>IF(OR(Umse!$B$11="3.1.",Umse!$B$11="3.2.",Umse!$B$11="3.5.",Umse!$B$11="3.6.",Umse!$B$11="3.9.",Umse!$B$11="3.10.",Umse!$B$11="4.1.",Umse!$B$11="4.2.",Umse!$B$11="4.3.",Umse!$B$11="4.4.",Umse!$B$11="4.5.",Umse!$B$11="4.6."),'VKr Mask'!Q51,IF(OR(Umse!$B$11="6.1.",Umse!$B$11="6.2.",Umse!$B$11="6.3.",Umse!$B$11="6.4.",$A$1="6.5.",$A$1="6.6."),'LKr Mask'!Q51,""))</f>
        <v/>
      </c>
      <c r="R51" s="308" t="str">
        <f>IF(OR(Umse!$B$11="3.1.",Umse!$B$11="3.2.",Umse!$B$11="3.5.",Umse!$B$11="3.6.",Umse!$B$11="3.9.",Umse!$B$11="3.10.",Umse!$B$11="4.1.",Umse!$B$11="4.2.",Umse!$B$11="4.3.",Umse!$B$11="4.4.",Umse!$B$11="4.5.",Umse!$B$11="4.6."),'VKr Mask'!R51,IF(OR(Umse!$B$11="6.1.",Umse!$B$11="6.2.",Umse!$B$11="6.3.",Umse!$B$11="6.4.",$A$1="6.5.",$A$1="6.6."),'LKr Mask'!R51,""))</f>
        <v/>
      </c>
    </row>
    <row r="52" spans="2:18" ht="11.25" customHeight="1">
      <c r="B52" s="306" t="str">
        <f>IF(OR(Umse!$B$11="3.1.",Umse!$B$11="3.2.",Umse!$B$11="3.5.",Umse!$B$11="3.6.",Umse!$B$11="3.9.",Umse!$B$11="3.10.",Umse!$B$11="4.1.",Umse!$B$11="4.2.",Umse!$B$11="4.3.",Umse!$B$11="4.4.",Umse!$B$11="4.5.",Umse!$B$11="4.6."),'VKr Mask'!B52,IF(OR(Umse!$B$11="6.1.",Umse!$B$11="6.2.",Umse!$B$11="6.3.",Umse!$B$11="6.4.",$A$1="6.5.",$A$1="6.6."),'LKr Mask'!B52,""))</f>
        <v/>
      </c>
      <c r="C52" s="322" t="str">
        <f>IF(OR(Umse!$B$11="3.1.",Umse!$B$11="3.2.",Umse!$B$11="3.5.",Umse!$B$11="3.6.",Umse!$B$11="3.9.",Umse!$B$11="3.10.",Umse!$B$11="4.1.",Umse!$B$11="4.2.",Umse!$B$11="4.3.",Umse!$B$11="4.4.",Umse!$B$11="4.5.",Umse!$B$11="4.6."),'VKr Mask'!C52,IF(OR(Umse!$B$11="6.1.",Umse!$B$11="6.2.",Umse!$B$11="6.3.",Umse!$B$11="6.4.",$A$1="6.5.",$A$1="6.6."),'LKr Mask'!C52,""))</f>
        <v/>
      </c>
      <c r="D52" s="308">
        <f>IF(OR(Umse!$B$11="3.1.",Umse!$B$11="3.2.",Umse!$B$11="3.5.",Umse!$B$11="3.6.",Umse!$B$11="3.9.",Umse!$B$11="3.10.",Umse!$B$11="4.1.",Umse!$B$11="4.2.",Umse!$B$11="4.3.",Umse!$B$11="4.4.",Umse!$B$11="4.5.",Umse!$B$11="4.6."),'VKr Mask'!D52,IF(OR(Umse!$B$11="6.1.",Umse!$B$11="6.2.",Umse!$B$11="6.3.",Umse!$B$11="6.4.",$A$1="6.5.",$A$1="6.6."),'LKr Mask'!D52,0))</f>
        <v>0</v>
      </c>
      <c r="E52" s="308">
        <f>IF(OR(Umse!$B$11="3.1.",Umse!$B$11="3.2.",Umse!$B$11="3.5.",Umse!$B$11="3.6.",Umse!$B$11="3.9.",Umse!$B$11="3.10.",Umse!$B$11="4.1.",Umse!$B$11="4.2.",Umse!$B$11="4.3.",Umse!$B$11="4.4.",Umse!$B$11="4.5.",Umse!$B$11="4.6."),'VKr Mask'!E52,IF(OR(Umse!$B$11="6.1.",Umse!$B$11="6.2.",Umse!$B$11="6.3.",Umse!$B$11="6.4.",$A$1="6.5.",$A$1="6.6."),'LKr Mask'!E52,0))</f>
        <v>0</v>
      </c>
      <c r="F52" s="308">
        <f>IF(OR(Umse!$B$11="3.1.",Umse!$B$11="3.2.",Umse!$B$11="3.5.",Umse!$B$11="3.6.",Umse!$B$11="3.9.",Umse!$B$11="3.10.",Umse!$B$11="4.1.",Umse!$B$11="4.2.",Umse!$B$11="4.3.",Umse!$B$11="4.4.",Umse!$B$11="4.5.",Umse!$B$11="4.6."),'VKr Mask'!F52,IF(OR(Umse!$B$11="6.1.",Umse!$B$11="6.2.",Umse!$B$11="6.3.",Umse!$B$11="6.4.",$A$1="6.5.",$A$1="6.6."),'LKr Mask'!F52,0))</f>
        <v>0</v>
      </c>
      <c r="G52" s="308">
        <f>IF(OR(Umse!$B$11="3.1.",Umse!$B$11="3.2.",Umse!$B$11="3.5.",Umse!$B$11="3.6.",Umse!$B$11="3.9.",Umse!$B$11="3.10.",Umse!$B$11="4.1.",Umse!$B$11="4.2.",Umse!$B$11="4.3.",Umse!$B$11="4.4.",Umse!$B$11="4.5.",Umse!$B$11="4.6."),'VKr Mask'!G52,IF(OR(Umse!$B$11="6.1.",Umse!$B$11="6.2.",Umse!$B$11="6.3.",Umse!$B$11="6.4.",$A$1="6.5.",$A$1="6.6."),'LKr Mask'!G52,0))</f>
        <v>0</v>
      </c>
      <c r="H52" s="308">
        <f>IF(OR(Umse!$B$11="3.1.",Umse!$B$11="3.2.",Umse!$B$11="3.5.",Umse!$B$11="3.6.",Umse!$B$11="3.9.",Umse!$B$11="3.10.",Umse!$B$11="4.1.",Umse!$B$11="4.2.",Umse!$B$11="4.3.",Umse!$B$11="4.4.",Umse!$B$11="4.5.",Umse!$B$11="4.6."),'VKr Mask'!H52,IF(OR(Umse!$B$11="6.1.",Umse!$B$11="6.2.",Umse!$B$11="6.3.",Umse!$B$11="6.4.",$A$1="6.5.",$A$1="6.6."),'LKr Mask'!H52,0))</f>
        <v>0</v>
      </c>
      <c r="I52" s="308">
        <f>IF(OR(Umse!$B$11="3.1.",Umse!$B$11="3.2.",Umse!$B$11="3.5.",Umse!$B$11="3.6.",Umse!$B$11="3.9.",Umse!$B$11="3.10.",Umse!$B$11="4.1.",Umse!$B$11="4.2.",Umse!$B$11="4.3.",Umse!$B$11="4.4.",Umse!$B$11="4.5.",Umse!$B$11="4.6."),'VKr Mask'!I52,IF(OR(Umse!$B$11="6.1.",Umse!$B$11="6.2.",Umse!$B$11="6.3.",Umse!$B$11="6.4.",$A$1="6.5.",$A$1="6.6."),'LKr Mask'!I52,0))</f>
        <v>0</v>
      </c>
      <c r="J52" s="307"/>
      <c r="K52" s="306" t="str">
        <f>IF(OR(Umse!$B$11="3.1.",Umse!$B$11="3.2.",Umse!$B$11="3.5.",Umse!$B$11="3.6.",Umse!$B$11="3.9.",Umse!$B$11="3.10.",Umse!$B$11="4.1.",Umse!$B$11="4.2.",Umse!$B$11="4.3.",Umse!$B$11="4.4.",Umse!$B$11="4.5.",Umse!$B$11="4.6."),'VKr Mask'!K52,IF(OR(Umse!$B$11="6.1.",Umse!$B$11="6.2.",Umse!$B$11="6.3.",Umse!$B$11="6.4.",$A$1="6.5.",$A$1="6.6."),'LKr Mask'!K52,""))</f>
        <v/>
      </c>
      <c r="L52" s="322" t="str">
        <f>IF(OR(Umse!$B$11="3.1.",Umse!$B$11="3.2.",Umse!$B$11="3.5.",Umse!$B$11="3.6.",Umse!$B$11="3.9.",Umse!$B$11="3.10.",Umse!$B$11="4.1.",Umse!$B$11="4.2.",Umse!$B$11="4.3.",Umse!$B$11="4.4.",Umse!$B$11="4.5.",Umse!$B$11="4.6."),'VKr Mask'!L52,IF(OR(Umse!$B$11="6.1.",Umse!$B$11="6.2.",Umse!$B$11="6.3.",Umse!$B$11="6.4.",$A$1="6.5.",$A$1="6.6."),'LKr Mask'!L52,""))</f>
        <v/>
      </c>
      <c r="M52" s="308" t="str">
        <f>IF(OR(Umse!$B$11="3.1.",Umse!$B$11="3.2.",Umse!$B$11="3.5.",Umse!$B$11="3.6.",Umse!$B$11="3.9.",Umse!$B$11="3.10.",Umse!$B$11="4.1.",Umse!$B$11="4.2.",Umse!$B$11="4.3.",Umse!$B$11="4.4.",Umse!$B$11="4.5.",Umse!$B$11="4.6."),'VKr Mask'!M52,IF(OR(Umse!$B$11="6.1.",Umse!$B$11="6.2.",Umse!$B$11="6.3.",Umse!$B$11="6.4.",$A$1="6.5.",$A$1="6.6."),'LKr Mask'!M52,""))</f>
        <v/>
      </c>
      <c r="N52" s="308" t="str">
        <f>IF(OR(Umse!$B$11="3.1.",Umse!$B$11="3.2.",Umse!$B$11="3.5.",Umse!$B$11="3.6.",Umse!$B$11="3.9.",Umse!$B$11="3.10.",Umse!$B$11="4.1.",Umse!$B$11="4.2.",Umse!$B$11="4.3.",Umse!$B$11="4.4.",Umse!$B$11="4.5.",Umse!$B$11="4.6."),'VKr Mask'!N52,IF(OR(Umse!$B$11="6.1.",Umse!$B$11="6.2.",Umse!$B$11="6.3.",Umse!$B$11="6.4.",$A$1="6.5.",$A$1="6.6."),'LKr Mask'!N52,""))</f>
        <v/>
      </c>
      <c r="O52" s="308" t="str">
        <f>IF(OR(Umse!$B$11="3.1.",Umse!$B$11="3.2.",Umse!$B$11="3.5.",Umse!$B$11="3.6.",Umse!$B$11="3.9.",Umse!$B$11="3.10.",Umse!$B$11="4.1.",Umse!$B$11="4.2.",Umse!$B$11="4.3.",Umse!$B$11="4.4.",Umse!$B$11="4.5.",Umse!$B$11="4.6."),'VKr Mask'!O52,IF(OR(Umse!$B$11="6.1.",Umse!$B$11="6.2.",Umse!$B$11="6.3.",Umse!$B$11="6.4.",$A$1="6.5.",$A$1="6.6."),'LKr Mask'!O52,""))</f>
        <v/>
      </c>
      <c r="P52" s="308" t="str">
        <f>IF(OR(Umse!$B$11="3.1.",Umse!$B$11="3.2.",Umse!$B$11="3.5.",Umse!$B$11="3.6.",Umse!$B$11="3.9.",Umse!$B$11="3.10.",Umse!$B$11="4.1.",Umse!$B$11="4.2.",Umse!$B$11="4.3.",Umse!$B$11="4.4.",Umse!$B$11="4.5.",Umse!$B$11="4.6."),'VKr Mask'!P52,IF(OR(Umse!$B$11="6.1.",Umse!$B$11="6.2.",Umse!$B$11="6.3.",Umse!$B$11="6.4.",$A$1="6.5.",$A$1="6.6."),'LKr Mask'!P52,""))</f>
        <v/>
      </c>
      <c r="Q52" s="308" t="str">
        <f>IF(OR(Umse!$B$11="3.1.",Umse!$B$11="3.2.",Umse!$B$11="3.5.",Umse!$B$11="3.6.",Umse!$B$11="3.9.",Umse!$B$11="3.10.",Umse!$B$11="4.1.",Umse!$B$11="4.2.",Umse!$B$11="4.3.",Umse!$B$11="4.4.",Umse!$B$11="4.5.",Umse!$B$11="4.6."),'VKr Mask'!Q52,IF(OR(Umse!$B$11="6.1.",Umse!$B$11="6.2.",Umse!$B$11="6.3.",Umse!$B$11="6.4.",$A$1="6.5.",$A$1="6.6."),'LKr Mask'!Q52,""))</f>
        <v/>
      </c>
      <c r="R52" s="308" t="str">
        <f>IF(OR(Umse!$B$11="3.1.",Umse!$B$11="3.2.",Umse!$B$11="3.5.",Umse!$B$11="3.6.",Umse!$B$11="3.9.",Umse!$B$11="3.10.",Umse!$B$11="4.1.",Umse!$B$11="4.2.",Umse!$B$11="4.3.",Umse!$B$11="4.4.",Umse!$B$11="4.5.",Umse!$B$11="4.6."),'VKr Mask'!R52,IF(OR(Umse!$B$11="6.1.",Umse!$B$11="6.2.",Umse!$B$11="6.3.",Umse!$B$11="6.4.",$A$1="6.5.",$A$1="6.6."),'LKr Mask'!R52,""))</f>
        <v/>
      </c>
    </row>
    <row r="53" spans="2:18" ht="11.25" customHeight="1">
      <c r="B53" s="306" t="str">
        <f>IF(OR(Umse!$B$11="3.1.",Umse!$B$11="3.2.",Umse!$B$11="3.5.",Umse!$B$11="3.6.",Umse!$B$11="3.9.",Umse!$B$11="3.10.",Umse!$B$11="4.1.",Umse!$B$11="4.2.",Umse!$B$11="4.3.",Umse!$B$11="4.4.",Umse!$B$11="4.5.",Umse!$B$11="4.6."),'VKr Mask'!B53,IF(OR(Umse!$B$11="6.1.",Umse!$B$11="6.2.",Umse!$B$11="6.3.",Umse!$B$11="6.4.",$A$1="6.5.",$A$1="6.6."),'LKr Mask'!B53,""))</f>
        <v/>
      </c>
      <c r="C53" s="322" t="str">
        <f>IF(OR(Umse!$B$11="3.1.",Umse!$B$11="3.2.",Umse!$B$11="3.5.",Umse!$B$11="3.6.",Umse!$B$11="3.9.",Umse!$B$11="3.10.",Umse!$B$11="4.1.",Umse!$B$11="4.2.",Umse!$B$11="4.3.",Umse!$B$11="4.4.",Umse!$B$11="4.5.",Umse!$B$11="4.6."),'VKr Mask'!C53,IF(OR(Umse!$B$11="6.1.",Umse!$B$11="6.2.",Umse!$B$11="6.3.",Umse!$B$11="6.4.",$A$1="6.5.",$A$1="6.6."),'LKr Mask'!C53,""))</f>
        <v/>
      </c>
      <c r="D53" s="308">
        <f>IF(OR(Umse!$B$11="3.1.",Umse!$B$11="3.2.",Umse!$B$11="3.5.",Umse!$B$11="3.6.",Umse!$B$11="3.9.",Umse!$B$11="3.10.",Umse!$B$11="4.1.",Umse!$B$11="4.2.",Umse!$B$11="4.3.",Umse!$B$11="4.4.",Umse!$B$11="4.5.",Umse!$B$11="4.6."),'VKr Mask'!D53,IF(OR(Umse!$B$11="6.1.",Umse!$B$11="6.2.",Umse!$B$11="6.3.",Umse!$B$11="6.4.",$A$1="6.5.",$A$1="6.6."),'LKr Mask'!D53,0))</f>
        <v>0</v>
      </c>
      <c r="E53" s="308">
        <f>IF(OR(Umse!$B$11="3.1.",Umse!$B$11="3.2.",Umse!$B$11="3.5.",Umse!$B$11="3.6.",Umse!$B$11="3.9.",Umse!$B$11="3.10.",Umse!$B$11="4.1.",Umse!$B$11="4.2.",Umse!$B$11="4.3.",Umse!$B$11="4.4.",Umse!$B$11="4.5.",Umse!$B$11="4.6."),'VKr Mask'!E53,IF(OR(Umse!$B$11="6.1.",Umse!$B$11="6.2.",Umse!$B$11="6.3.",Umse!$B$11="6.4.",$A$1="6.5.",$A$1="6.6."),'LKr Mask'!E53,0))</f>
        <v>0</v>
      </c>
      <c r="F53" s="308">
        <f>IF(OR(Umse!$B$11="3.1.",Umse!$B$11="3.2.",Umse!$B$11="3.5.",Umse!$B$11="3.6.",Umse!$B$11="3.9.",Umse!$B$11="3.10.",Umse!$B$11="4.1.",Umse!$B$11="4.2.",Umse!$B$11="4.3.",Umse!$B$11="4.4.",Umse!$B$11="4.5.",Umse!$B$11="4.6."),'VKr Mask'!F53,IF(OR(Umse!$B$11="6.1.",Umse!$B$11="6.2.",Umse!$B$11="6.3.",Umse!$B$11="6.4.",$A$1="6.5.",$A$1="6.6."),'LKr Mask'!F53,0))</f>
        <v>0</v>
      </c>
      <c r="G53" s="308">
        <f>IF(OR(Umse!$B$11="3.1.",Umse!$B$11="3.2.",Umse!$B$11="3.5.",Umse!$B$11="3.6.",Umse!$B$11="3.9.",Umse!$B$11="3.10.",Umse!$B$11="4.1.",Umse!$B$11="4.2.",Umse!$B$11="4.3.",Umse!$B$11="4.4.",Umse!$B$11="4.5.",Umse!$B$11="4.6."),'VKr Mask'!G53,IF(OR(Umse!$B$11="6.1.",Umse!$B$11="6.2.",Umse!$B$11="6.3.",Umse!$B$11="6.4.",$A$1="6.5.",$A$1="6.6."),'LKr Mask'!G53,0))</f>
        <v>0</v>
      </c>
      <c r="H53" s="308">
        <f>IF(OR(Umse!$B$11="3.1.",Umse!$B$11="3.2.",Umse!$B$11="3.5.",Umse!$B$11="3.6.",Umse!$B$11="3.9.",Umse!$B$11="3.10.",Umse!$B$11="4.1.",Umse!$B$11="4.2.",Umse!$B$11="4.3.",Umse!$B$11="4.4.",Umse!$B$11="4.5.",Umse!$B$11="4.6."),'VKr Mask'!H53,IF(OR(Umse!$B$11="6.1.",Umse!$B$11="6.2.",Umse!$B$11="6.3.",Umse!$B$11="6.4.",$A$1="6.5.",$A$1="6.6."),'LKr Mask'!H53,0))</f>
        <v>0</v>
      </c>
      <c r="I53" s="308">
        <f>IF(OR(Umse!$B$11="3.1.",Umse!$B$11="3.2.",Umse!$B$11="3.5.",Umse!$B$11="3.6.",Umse!$B$11="3.9.",Umse!$B$11="3.10.",Umse!$B$11="4.1.",Umse!$B$11="4.2.",Umse!$B$11="4.3.",Umse!$B$11="4.4.",Umse!$B$11="4.5.",Umse!$B$11="4.6."),'VKr Mask'!I53,IF(OR(Umse!$B$11="6.1.",Umse!$B$11="6.2.",Umse!$B$11="6.3.",Umse!$B$11="6.4.",$A$1="6.5.",$A$1="6.6."),'LKr Mask'!I53,0))</f>
        <v>0</v>
      </c>
      <c r="J53" s="307"/>
      <c r="K53" s="306" t="str">
        <f>IF(OR(Umse!$B$11="3.1.",Umse!$B$11="3.2.",Umse!$B$11="3.5.",Umse!$B$11="3.6.",Umse!$B$11="3.9.",Umse!$B$11="3.10.",Umse!$B$11="4.1.",Umse!$B$11="4.2.",Umse!$B$11="4.3.",Umse!$B$11="4.4.",Umse!$B$11="4.5.",Umse!$B$11="4.6."),'VKr Mask'!K53,IF(OR(Umse!$B$11="6.1.",Umse!$B$11="6.2.",Umse!$B$11="6.3.",Umse!$B$11="6.4.",$A$1="6.5.",$A$1="6.6."),'LKr Mask'!K53,""))</f>
        <v/>
      </c>
      <c r="L53" s="322" t="str">
        <f>IF(OR(Umse!$B$11="3.1.",Umse!$B$11="3.2.",Umse!$B$11="3.5.",Umse!$B$11="3.6.",Umse!$B$11="3.9.",Umse!$B$11="3.10.",Umse!$B$11="4.1.",Umse!$B$11="4.2.",Umse!$B$11="4.3.",Umse!$B$11="4.4.",Umse!$B$11="4.5.",Umse!$B$11="4.6."),'VKr Mask'!L53,IF(OR(Umse!$B$11="6.1.",Umse!$B$11="6.2.",Umse!$B$11="6.3.",Umse!$B$11="6.4.",$A$1="6.5.",$A$1="6.6."),'LKr Mask'!L53,""))</f>
        <v/>
      </c>
      <c r="M53" s="308" t="str">
        <f>IF(OR(Umse!$B$11="3.1.",Umse!$B$11="3.2.",Umse!$B$11="3.5.",Umse!$B$11="3.6.",Umse!$B$11="3.9.",Umse!$B$11="3.10.",Umse!$B$11="4.1.",Umse!$B$11="4.2.",Umse!$B$11="4.3.",Umse!$B$11="4.4.",Umse!$B$11="4.5.",Umse!$B$11="4.6."),'VKr Mask'!M53,IF(OR(Umse!$B$11="6.1.",Umse!$B$11="6.2.",Umse!$B$11="6.3.",Umse!$B$11="6.4.",$A$1="6.5.",$A$1="6.6."),'LKr Mask'!M53,""))</f>
        <v/>
      </c>
      <c r="N53" s="308" t="str">
        <f>IF(OR(Umse!$B$11="3.1.",Umse!$B$11="3.2.",Umse!$B$11="3.5.",Umse!$B$11="3.6.",Umse!$B$11="3.9.",Umse!$B$11="3.10.",Umse!$B$11="4.1.",Umse!$B$11="4.2.",Umse!$B$11="4.3.",Umse!$B$11="4.4.",Umse!$B$11="4.5.",Umse!$B$11="4.6."),'VKr Mask'!N53,IF(OR(Umse!$B$11="6.1.",Umse!$B$11="6.2.",Umse!$B$11="6.3.",Umse!$B$11="6.4.",$A$1="6.5.",$A$1="6.6."),'LKr Mask'!N53,""))</f>
        <v/>
      </c>
      <c r="O53" s="308" t="str">
        <f>IF(OR(Umse!$B$11="3.1.",Umse!$B$11="3.2.",Umse!$B$11="3.5.",Umse!$B$11="3.6.",Umse!$B$11="3.9.",Umse!$B$11="3.10.",Umse!$B$11="4.1.",Umse!$B$11="4.2.",Umse!$B$11="4.3.",Umse!$B$11="4.4.",Umse!$B$11="4.5.",Umse!$B$11="4.6."),'VKr Mask'!O53,IF(OR(Umse!$B$11="6.1.",Umse!$B$11="6.2.",Umse!$B$11="6.3.",Umse!$B$11="6.4.",$A$1="6.5.",$A$1="6.6."),'LKr Mask'!O53,""))</f>
        <v/>
      </c>
      <c r="P53" s="308" t="str">
        <f>IF(OR(Umse!$B$11="3.1.",Umse!$B$11="3.2.",Umse!$B$11="3.5.",Umse!$B$11="3.6.",Umse!$B$11="3.9.",Umse!$B$11="3.10.",Umse!$B$11="4.1.",Umse!$B$11="4.2.",Umse!$B$11="4.3.",Umse!$B$11="4.4.",Umse!$B$11="4.5.",Umse!$B$11="4.6."),'VKr Mask'!P53,IF(OR(Umse!$B$11="6.1.",Umse!$B$11="6.2.",Umse!$B$11="6.3.",Umse!$B$11="6.4.",$A$1="6.5.",$A$1="6.6."),'LKr Mask'!P53,""))</f>
        <v/>
      </c>
      <c r="Q53" s="308" t="str">
        <f>IF(OR(Umse!$B$11="3.1.",Umse!$B$11="3.2.",Umse!$B$11="3.5.",Umse!$B$11="3.6.",Umse!$B$11="3.9.",Umse!$B$11="3.10.",Umse!$B$11="4.1.",Umse!$B$11="4.2.",Umse!$B$11="4.3.",Umse!$B$11="4.4.",Umse!$B$11="4.5.",Umse!$B$11="4.6."),'VKr Mask'!Q53,IF(OR(Umse!$B$11="6.1.",Umse!$B$11="6.2.",Umse!$B$11="6.3.",Umse!$B$11="6.4.",$A$1="6.5.",$A$1="6.6."),'LKr Mask'!Q53,""))</f>
        <v/>
      </c>
      <c r="R53" s="308" t="str">
        <f>IF(OR(Umse!$B$11="3.1.",Umse!$B$11="3.2.",Umse!$B$11="3.5.",Umse!$B$11="3.6.",Umse!$B$11="3.9.",Umse!$B$11="3.10.",Umse!$B$11="4.1.",Umse!$B$11="4.2.",Umse!$B$11="4.3.",Umse!$B$11="4.4.",Umse!$B$11="4.5.",Umse!$B$11="4.6."),'VKr Mask'!R53,IF(OR(Umse!$B$11="6.1.",Umse!$B$11="6.2.",Umse!$B$11="6.3.",Umse!$B$11="6.4.",$A$1="6.5.",$A$1="6.6."),'LKr Mask'!R53,""))</f>
        <v/>
      </c>
    </row>
    <row r="54" spans="2:18" ht="11.25" customHeight="1">
      <c r="B54" s="306" t="str">
        <f>IF(OR(Umse!$B$11="3.1.",Umse!$B$11="3.2.",Umse!$B$11="3.5.",Umse!$B$11="3.6.",Umse!$B$11="3.9.",Umse!$B$11="3.10.",Umse!$B$11="4.1.",Umse!$B$11="4.2.",Umse!$B$11="4.3.",Umse!$B$11="4.4.",Umse!$B$11="4.5.",Umse!$B$11="4.6."),'VKr Mask'!B54,IF(OR(Umse!$B$11="6.1.",Umse!$B$11="6.2.",Umse!$B$11="6.3.",Umse!$B$11="6.4.",$A$1="6.5.",$A$1="6.6."),'LKr Mask'!B54,""))</f>
        <v/>
      </c>
      <c r="C54" s="322" t="str">
        <f>IF(OR(Umse!$B$11="3.1.",Umse!$B$11="3.2.",Umse!$B$11="3.5.",Umse!$B$11="3.6.",Umse!$B$11="3.9.",Umse!$B$11="3.10.",Umse!$B$11="4.1.",Umse!$B$11="4.2.",Umse!$B$11="4.3.",Umse!$B$11="4.4.",Umse!$B$11="4.5.",Umse!$B$11="4.6."),'VKr Mask'!C54,IF(OR(Umse!$B$11="6.1.",Umse!$B$11="6.2.",Umse!$B$11="6.3.",Umse!$B$11="6.4.",$A$1="6.5.",$A$1="6.6."),'LKr Mask'!C54,""))</f>
        <v/>
      </c>
      <c r="D54" s="308">
        <f>IF(OR(Umse!$B$11="3.1.",Umse!$B$11="3.2.",Umse!$B$11="3.5.",Umse!$B$11="3.6.",Umse!$B$11="3.9.",Umse!$B$11="3.10.",Umse!$B$11="4.1.",Umse!$B$11="4.2.",Umse!$B$11="4.3.",Umse!$B$11="4.4.",Umse!$B$11="4.5.",Umse!$B$11="4.6."),'VKr Mask'!D54,IF(OR(Umse!$B$11="6.1.",Umse!$B$11="6.2.",Umse!$B$11="6.3.",Umse!$B$11="6.4.",$A$1="6.5.",$A$1="6.6."),'LKr Mask'!D54,0))</f>
        <v>0</v>
      </c>
      <c r="E54" s="308">
        <f>IF(OR(Umse!$B$11="3.1.",Umse!$B$11="3.2.",Umse!$B$11="3.5.",Umse!$B$11="3.6.",Umse!$B$11="3.9.",Umse!$B$11="3.10.",Umse!$B$11="4.1.",Umse!$B$11="4.2.",Umse!$B$11="4.3.",Umse!$B$11="4.4.",Umse!$B$11="4.5.",Umse!$B$11="4.6."),'VKr Mask'!E54,IF(OR(Umse!$B$11="6.1.",Umse!$B$11="6.2.",Umse!$B$11="6.3.",Umse!$B$11="6.4.",$A$1="6.5.",$A$1="6.6."),'LKr Mask'!E54,0))</f>
        <v>0</v>
      </c>
      <c r="F54" s="308">
        <f>IF(OR(Umse!$B$11="3.1.",Umse!$B$11="3.2.",Umse!$B$11="3.5.",Umse!$B$11="3.6.",Umse!$B$11="3.9.",Umse!$B$11="3.10.",Umse!$B$11="4.1.",Umse!$B$11="4.2.",Umse!$B$11="4.3.",Umse!$B$11="4.4.",Umse!$B$11="4.5.",Umse!$B$11="4.6."),'VKr Mask'!F54,IF(OR(Umse!$B$11="6.1.",Umse!$B$11="6.2.",Umse!$B$11="6.3.",Umse!$B$11="6.4.",$A$1="6.5.",$A$1="6.6."),'LKr Mask'!F54,0))</f>
        <v>0</v>
      </c>
      <c r="G54" s="308">
        <f>IF(OR(Umse!$B$11="3.1.",Umse!$B$11="3.2.",Umse!$B$11="3.5.",Umse!$B$11="3.6.",Umse!$B$11="3.9.",Umse!$B$11="3.10.",Umse!$B$11="4.1.",Umse!$B$11="4.2.",Umse!$B$11="4.3.",Umse!$B$11="4.4.",Umse!$B$11="4.5.",Umse!$B$11="4.6."),'VKr Mask'!G54,IF(OR(Umse!$B$11="6.1.",Umse!$B$11="6.2.",Umse!$B$11="6.3.",Umse!$B$11="6.4.",$A$1="6.5.",$A$1="6.6."),'LKr Mask'!G54,0))</f>
        <v>0</v>
      </c>
      <c r="H54" s="308">
        <f>IF(OR(Umse!$B$11="3.1.",Umse!$B$11="3.2.",Umse!$B$11="3.5.",Umse!$B$11="3.6.",Umse!$B$11="3.9.",Umse!$B$11="3.10.",Umse!$B$11="4.1.",Umse!$B$11="4.2.",Umse!$B$11="4.3.",Umse!$B$11="4.4.",Umse!$B$11="4.5.",Umse!$B$11="4.6."),'VKr Mask'!H54,IF(OR(Umse!$B$11="6.1.",Umse!$B$11="6.2.",Umse!$B$11="6.3.",Umse!$B$11="6.4.",$A$1="6.5.",$A$1="6.6."),'LKr Mask'!H54,0))</f>
        <v>0</v>
      </c>
      <c r="I54" s="308">
        <f>IF(OR(Umse!$B$11="3.1.",Umse!$B$11="3.2.",Umse!$B$11="3.5.",Umse!$B$11="3.6.",Umse!$B$11="3.9.",Umse!$B$11="3.10.",Umse!$B$11="4.1.",Umse!$B$11="4.2.",Umse!$B$11="4.3.",Umse!$B$11="4.4.",Umse!$B$11="4.5.",Umse!$B$11="4.6."),'VKr Mask'!I54,IF(OR(Umse!$B$11="6.1.",Umse!$B$11="6.2.",Umse!$B$11="6.3.",Umse!$B$11="6.4.",$A$1="6.5.",$A$1="6.6."),'LKr Mask'!I54,0))</f>
        <v>0</v>
      </c>
      <c r="J54" s="307"/>
      <c r="K54" s="306" t="str">
        <f>IF(OR(Umse!$B$11="3.1.",Umse!$B$11="3.2.",Umse!$B$11="3.5.",Umse!$B$11="3.6.",Umse!$B$11="3.9.",Umse!$B$11="3.10.",Umse!$B$11="4.1.",Umse!$B$11="4.2.",Umse!$B$11="4.3.",Umse!$B$11="4.4.",Umse!$B$11="4.5.",Umse!$B$11="4.6."),'VKr Mask'!K54,IF(OR(Umse!$B$11="6.1.",Umse!$B$11="6.2.",Umse!$B$11="6.3.",Umse!$B$11="6.4.",$A$1="6.5.",$A$1="6.6."),'LKr Mask'!K54,""))</f>
        <v/>
      </c>
      <c r="L54" s="322" t="str">
        <f>IF(OR(Umse!$B$11="3.1.",Umse!$B$11="3.2.",Umse!$B$11="3.5.",Umse!$B$11="3.6.",Umse!$B$11="3.9.",Umse!$B$11="3.10.",Umse!$B$11="4.1.",Umse!$B$11="4.2.",Umse!$B$11="4.3.",Umse!$B$11="4.4.",Umse!$B$11="4.5.",Umse!$B$11="4.6."),'VKr Mask'!L54,IF(OR(Umse!$B$11="6.1.",Umse!$B$11="6.2.",Umse!$B$11="6.3.",Umse!$B$11="6.4.",$A$1="6.5.",$A$1="6.6."),'LKr Mask'!L54,""))</f>
        <v/>
      </c>
      <c r="M54" s="308" t="str">
        <f>IF(OR(Umse!$B$11="3.1.",Umse!$B$11="3.2.",Umse!$B$11="3.5.",Umse!$B$11="3.6.",Umse!$B$11="3.9.",Umse!$B$11="3.10.",Umse!$B$11="4.1.",Umse!$B$11="4.2.",Umse!$B$11="4.3.",Umse!$B$11="4.4.",Umse!$B$11="4.5.",Umse!$B$11="4.6."),'VKr Mask'!M54,IF(OR(Umse!$B$11="6.1.",Umse!$B$11="6.2.",Umse!$B$11="6.3.",Umse!$B$11="6.4.",$A$1="6.5.",$A$1="6.6."),'LKr Mask'!M54,""))</f>
        <v/>
      </c>
      <c r="N54" s="308" t="str">
        <f>IF(OR(Umse!$B$11="3.1.",Umse!$B$11="3.2.",Umse!$B$11="3.5.",Umse!$B$11="3.6.",Umse!$B$11="3.9.",Umse!$B$11="3.10.",Umse!$B$11="4.1.",Umse!$B$11="4.2.",Umse!$B$11="4.3.",Umse!$B$11="4.4.",Umse!$B$11="4.5.",Umse!$B$11="4.6."),'VKr Mask'!N54,IF(OR(Umse!$B$11="6.1.",Umse!$B$11="6.2.",Umse!$B$11="6.3.",Umse!$B$11="6.4.",$A$1="6.5.",$A$1="6.6."),'LKr Mask'!N54,""))</f>
        <v/>
      </c>
      <c r="O54" s="308" t="str">
        <f>IF(OR(Umse!$B$11="3.1.",Umse!$B$11="3.2.",Umse!$B$11="3.5.",Umse!$B$11="3.6.",Umse!$B$11="3.9.",Umse!$B$11="3.10.",Umse!$B$11="4.1.",Umse!$B$11="4.2.",Umse!$B$11="4.3.",Umse!$B$11="4.4.",Umse!$B$11="4.5.",Umse!$B$11="4.6."),'VKr Mask'!O54,IF(OR(Umse!$B$11="6.1.",Umse!$B$11="6.2.",Umse!$B$11="6.3.",Umse!$B$11="6.4.",$A$1="6.5.",$A$1="6.6."),'LKr Mask'!O54,""))</f>
        <v/>
      </c>
      <c r="P54" s="308" t="str">
        <f>IF(OR(Umse!$B$11="3.1.",Umse!$B$11="3.2.",Umse!$B$11="3.5.",Umse!$B$11="3.6.",Umse!$B$11="3.9.",Umse!$B$11="3.10.",Umse!$B$11="4.1.",Umse!$B$11="4.2.",Umse!$B$11="4.3.",Umse!$B$11="4.4.",Umse!$B$11="4.5.",Umse!$B$11="4.6."),'VKr Mask'!P54,IF(OR(Umse!$B$11="6.1.",Umse!$B$11="6.2.",Umse!$B$11="6.3.",Umse!$B$11="6.4.",$A$1="6.5.",$A$1="6.6."),'LKr Mask'!P54,""))</f>
        <v/>
      </c>
      <c r="Q54" s="308" t="str">
        <f>IF(OR(Umse!$B$11="3.1.",Umse!$B$11="3.2.",Umse!$B$11="3.5.",Umse!$B$11="3.6.",Umse!$B$11="3.9.",Umse!$B$11="3.10.",Umse!$B$11="4.1.",Umse!$B$11="4.2.",Umse!$B$11="4.3.",Umse!$B$11="4.4.",Umse!$B$11="4.5.",Umse!$B$11="4.6."),'VKr Mask'!Q54,IF(OR(Umse!$B$11="6.1.",Umse!$B$11="6.2.",Umse!$B$11="6.3.",Umse!$B$11="6.4.",$A$1="6.5.",$A$1="6.6."),'LKr Mask'!Q54,""))</f>
        <v/>
      </c>
      <c r="R54" s="308" t="str">
        <f>IF(OR(Umse!$B$11="3.1.",Umse!$B$11="3.2.",Umse!$B$11="3.5.",Umse!$B$11="3.6.",Umse!$B$11="3.9.",Umse!$B$11="3.10.",Umse!$B$11="4.1.",Umse!$B$11="4.2.",Umse!$B$11="4.3.",Umse!$B$11="4.4.",Umse!$B$11="4.5.",Umse!$B$11="4.6."),'VKr Mask'!R54,IF(OR(Umse!$B$11="6.1.",Umse!$B$11="6.2.",Umse!$B$11="6.3.",Umse!$B$11="6.4.",$A$1="6.5.",$A$1="6.6."),'LKr Mask'!R54,""))</f>
        <v/>
      </c>
    </row>
    <row r="55" spans="2:18" ht="11.25" customHeight="1">
      <c r="B55" s="306" t="str">
        <f>IF(OR(Umse!$B$11="3.1.",Umse!$B$11="3.2.",Umse!$B$11="3.5.",Umse!$B$11="3.6.",Umse!$B$11="3.9.",Umse!$B$11="3.10.",Umse!$B$11="4.1.",Umse!$B$11="4.2.",Umse!$B$11="4.3.",Umse!$B$11="4.4.",Umse!$B$11="4.5.",Umse!$B$11="4.6."),'VKr Mask'!B55,IF(OR(Umse!$B$11="6.1.",Umse!$B$11="6.2.",Umse!$B$11="6.3.",Umse!$B$11="6.4.",$A$1="6.5.",$A$1="6.6."),'LKr Mask'!B55,""))</f>
        <v/>
      </c>
      <c r="C55" s="322" t="str">
        <f>IF(OR(Umse!$B$11="3.1.",Umse!$B$11="3.2.",Umse!$B$11="3.5.",Umse!$B$11="3.6.",Umse!$B$11="3.9.",Umse!$B$11="3.10.",Umse!$B$11="4.1.",Umse!$B$11="4.2.",Umse!$B$11="4.3.",Umse!$B$11="4.4.",Umse!$B$11="4.5.",Umse!$B$11="4.6."),'VKr Mask'!C55,IF(OR(Umse!$B$11="6.1.",Umse!$B$11="6.2.",Umse!$B$11="6.3.",Umse!$B$11="6.4.",$A$1="6.5.",$A$1="6.6."),'LKr Mask'!C55,""))</f>
        <v/>
      </c>
      <c r="D55" s="308">
        <f>IF(OR(Umse!$B$11="3.1.",Umse!$B$11="3.2.",Umse!$B$11="3.5.",Umse!$B$11="3.6.",Umse!$B$11="3.9.",Umse!$B$11="3.10.",Umse!$B$11="4.1.",Umse!$B$11="4.2.",Umse!$B$11="4.3.",Umse!$B$11="4.4.",Umse!$B$11="4.5.",Umse!$B$11="4.6."),'VKr Mask'!D55,IF(OR(Umse!$B$11="6.1.",Umse!$B$11="6.2.",Umse!$B$11="6.3.",Umse!$B$11="6.4.",$A$1="6.5.",$A$1="6.6."),'LKr Mask'!D55,0))</f>
        <v>0</v>
      </c>
      <c r="E55" s="308">
        <f>IF(OR(Umse!$B$11="3.1.",Umse!$B$11="3.2.",Umse!$B$11="3.5.",Umse!$B$11="3.6.",Umse!$B$11="3.9.",Umse!$B$11="3.10.",Umse!$B$11="4.1.",Umse!$B$11="4.2.",Umse!$B$11="4.3.",Umse!$B$11="4.4.",Umse!$B$11="4.5.",Umse!$B$11="4.6."),'VKr Mask'!E55,IF(OR(Umse!$B$11="6.1.",Umse!$B$11="6.2.",Umse!$B$11="6.3.",Umse!$B$11="6.4.",$A$1="6.5.",$A$1="6.6."),'LKr Mask'!E55,0))</f>
        <v>0</v>
      </c>
      <c r="F55" s="308">
        <f>IF(OR(Umse!$B$11="3.1.",Umse!$B$11="3.2.",Umse!$B$11="3.5.",Umse!$B$11="3.6.",Umse!$B$11="3.9.",Umse!$B$11="3.10.",Umse!$B$11="4.1.",Umse!$B$11="4.2.",Umse!$B$11="4.3.",Umse!$B$11="4.4.",Umse!$B$11="4.5.",Umse!$B$11="4.6."),'VKr Mask'!F55,IF(OR(Umse!$B$11="6.1.",Umse!$B$11="6.2.",Umse!$B$11="6.3.",Umse!$B$11="6.4.",$A$1="6.5.",$A$1="6.6."),'LKr Mask'!F55,0))</f>
        <v>0</v>
      </c>
      <c r="G55" s="308">
        <f>IF(OR(Umse!$B$11="3.1.",Umse!$B$11="3.2.",Umse!$B$11="3.5.",Umse!$B$11="3.6.",Umse!$B$11="3.9.",Umse!$B$11="3.10.",Umse!$B$11="4.1.",Umse!$B$11="4.2.",Umse!$B$11="4.3.",Umse!$B$11="4.4.",Umse!$B$11="4.5.",Umse!$B$11="4.6."),'VKr Mask'!G55,IF(OR(Umse!$B$11="6.1.",Umse!$B$11="6.2.",Umse!$B$11="6.3.",Umse!$B$11="6.4.",$A$1="6.5.",$A$1="6.6."),'LKr Mask'!G55,0))</f>
        <v>0</v>
      </c>
      <c r="H55" s="308">
        <f>IF(OR(Umse!$B$11="3.1.",Umse!$B$11="3.2.",Umse!$B$11="3.5.",Umse!$B$11="3.6.",Umse!$B$11="3.9.",Umse!$B$11="3.10.",Umse!$B$11="4.1.",Umse!$B$11="4.2.",Umse!$B$11="4.3.",Umse!$B$11="4.4.",Umse!$B$11="4.5.",Umse!$B$11="4.6."),'VKr Mask'!H55,IF(OR(Umse!$B$11="6.1.",Umse!$B$11="6.2.",Umse!$B$11="6.3.",Umse!$B$11="6.4.",$A$1="6.5.",$A$1="6.6."),'LKr Mask'!H55,0))</f>
        <v>0</v>
      </c>
      <c r="I55" s="308">
        <f>IF(OR(Umse!$B$11="3.1.",Umse!$B$11="3.2.",Umse!$B$11="3.5.",Umse!$B$11="3.6.",Umse!$B$11="3.9.",Umse!$B$11="3.10.",Umse!$B$11="4.1.",Umse!$B$11="4.2.",Umse!$B$11="4.3.",Umse!$B$11="4.4.",Umse!$B$11="4.5.",Umse!$B$11="4.6."),'VKr Mask'!I55,IF(OR(Umse!$B$11="6.1.",Umse!$B$11="6.2.",Umse!$B$11="6.3.",Umse!$B$11="6.4.",$A$1="6.5.",$A$1="6.6."),'LKr Mask'!I55,0))</f>
        <v>0</v>
      </c>
      <c r="J55" s="307"/>
      <c r="K55" s="306" t="str">
        <f>IF(OR(Umse!$B$11="3.1.",Umse!$B$11="3.2.",Umse!$B$11="3.5.",Umse!$B$11="3.6.",Umse!$B$11="3.9.",Umse!$B$11="3.10.",Umse!$B$11="4.1.",Umse!$B$11="4.2.",Umse!$B$11="4.3.",Umse!$B$11="4.4.",Umse!$B$11="4.5.",Umse!$B$11="4.6."),'VKr Mask'!K55,IF(OR(Umse!$B$11="6.1.",Umse!$B$11="6.2.",Umse!$B$11="6.3.",Umse!$B$11="6.4.",$A$1="6.5.",$A$1="6.6."),'LKr Mask'!K55,""))</f>
        <v/>
      </c>
      <c r="L55" s="322" t="str">
        <f>IF(OR(Umse!$B$11="3.1.",Umse!$B$11="3.2.",Umse!$B$11="3.5.",Umse!$B$11="3.6.",Umse!$B$11="3.9.",Umse!$B$11="3.10.",Umse!$B$11="4.1.",Umse!$B$11="4.2.",Umse!$B$11="4.3.",Umse!$B$11="4.4.",Umse!$B$11="4.5.",Umse!$B$11="4.6."),'VKr Mask'!L55,IF(OR(Umse!$B$11="6.1.",Umse!$B$11="6.2.",Umse!$B$11="6.3.",Umse!$B$11="6.4.",$A$1="6.5.",$A$1="6.6."),'LKr Mask'!L55,""))</f>
        <v/>
      </c>
      <c r="M55" s="308" t="str">
        <f>IF(OR(Umse!$B$11="3.1.",Umse!$B$11="3.2.",Umse!$B$11="3.5.",Umse!$B$11="3.6.",Umse!$B$11="3.9.",Umse!$B$11="3.10.",Umse!$B$11="4.1.",Umse!$B$11="4.2.",Umse!$B$11="4.3.",Umse!$B$11="4.4.",Umse!$B$11="4.5.",Umse!$B$11="4.6."),'VKr Mask'!M55,IF(OR(Umse!$B$11="6.1.",Umse!$B$11="6.2.",Umse!$B$11="6.3.",Umse!$B$11="6.4.",$A$1="6.5.",$A$1="6.6."),'LKr Mask'!M55,""))</f>
        <v/>
      </c>
      <c r="N55" s="308" t="str">
        <f>IF(OR(Umse!$B$11="3.1.",Umse!$B$11="3.2.",Umse!$B$11="3.5.",Umse!$B$11="3.6.",Umse!$B$11="3.9.",Umse!$B$11="3.10.",Umse!$B$11="4.1.",Umse!$B$11="4.2.",Umse!$B$11="4.3.",Umse!$B$11="4.4.",Umse!$B$11="4.5.",Umse!$B$11="4.6."),'VKr Mask'!N55,IF(OR(Umse!$B$11="6.1.",Umse!$B$11="6.2.",Umse!$B$11="6.3.",Umse!$B$11="6.4.",$A$1="6.5.",$A$1="6.6."),'LKr Mask'!N55,""))</f>
        <v/>
      </c>
      <c r="O55" s="308" t="str">
        <f>IF(OR(Umse!$B$11="3.1.",Umse!$B$11="3.2.",Umse!$B$11="3.5.",Umse!$B$11="3.6.",Umse!$B$11="3.9.",Umse!$B$11="3.10.",Umse!$B$11="4.1.",Umse!$B$11="4.2.",Umse!$B$11="4.3.",Umse!$B$11="4.4.",Umse!$B$11="4.5.",Umse!$B$11="4.6."),'VKr Mask'!O55,IF(OR(Umse!$B$11="6.1.",Umse!$B$11="6.2.",Umse!$B$11="6.3.",Umse!$B$11="6.4.",$A$1="6.5.",$A$1="6.6."),'LKr Mask'!O55,""))</f>
        <v/>
      </c>
      <c r="P55" s="308" t="str">
        <f>IF(OR(Umse!$B$11="3.1.",Umse!$B$11="3.2.",Umse!$B$11="3.5.",Umse!$B$11="3.6.",Umse!$B$11="3.9.",Umse!$B$11="3.10.",Umse!$B$11="4.1.",Umse!$B$11="4.2.",Umse!$B$11="4.3.",Umse!$B$11="4.4.",Umse!$B$11="4.5.",Umse!$B$11="4.6."),'VKr Mask'!P55,IF(OR(Umse!$B$11="6.1.",Umse!$B$11="6.2.",Umse!$B$11="6.3.",Umse!$B$11="6.4.",$A$1="6.5.",$A$1="6.6."),'LKr Mask'!P55,""))</f>
        <v/>
      </c>
      <c r="Q55" s="308" t="str">
        <f>IF(OR(Umse!$B$11="3.1.",Umse!$B$11="3.2.",Umse!$B$11="3.5.",Umse!$B$11="3.6.",Umse!$B$11="3.9.",Umse!$B$11="3.10.",Umse!$B$11="4.1.",Umse!$B$11="4.2.",Umse!$B$11="4.3.",Umse!$B$11="4.4.",Umse!$B$11="4.5.",Umse!$B$11="4.6."),'VKr Mask'!Q55,IF(OR(Umse!$B$11="6.1.",Umse!$B$11="6.2.",Umse!$B$11="6.3.",Umse!$B$11="6.4.",$A$1="6.5.",$A$1="6.6."),'LKr Mask'!Q55,""))</f>
        <v/>
      </c>
      <c r="R55" s="308" t="str">
        <f>IF(OR(Umse!$B$11="3.1.",Umse!$B$11="3.2.",Umse!$B$11="3.5.",Umse!$B$11="3.6.",Umse!$B$11="3.9.",Umse!$B$11="3.10.",Umse!$B$11="4.1.",Umse!$B$11="4.2.",Umse!$B$11="4.3.",Umse!$B$11="4.4.",Umse!$B$11="4.5.",Umse!$B$11="4.6."),'VKr Mask'!R55,IF(OR(Umse!$B$11="6.1.",Umse!$B$11="6.2.",Umse!$B$11="6.3.",Umse!$B$11="6.4.",$A$1="6.5.",$A$1="6.6."),'LKr Mask'!R55,""))</f>
        <v/>
      </c>
    </row>
    <row r="56" spans="2:18" ht="11.25" customHeight="1">
      <c r="B56" s="306" t="str">
        <f>IF(OR(Umse!$B$11="3.1.",Umse!$B$11="3.2.",Umse!$B$11="3.5.",Umse!$B$11="3.6.",Umse!$B$11="3.9.",Umse!$B$11="3.10.",Umse!$B$11="4.1.",Umse!$B$11="4.2.",Umse!$B$11="4.3.",Umse!$B$11="4.4.",Umse!$B$11="4.5.",Umse!$B$11="4.6."),'VKr Mask'!B56,IF(OR(Umse!$B$11="6.1.",Umse!$B$11="6.2.",Umse!$B$11="6.3.",Umse!$B$11="6.4.",$A$1="6.5.",$A$1="6.6."),'LKr Mask'!B56,""))</f>
        <v/>
      </c>
      <c r="C56" s="322" t="str">
        <f>IF(OR(Umse!$B$11="3.1.",Umse!$B$11="3.2.",Umse!$B$11="3.5.",Umse!$B$11="3.6.",Umse!$B$11="3.9.",Umse!$B$11="3.10.",Umse!$B$11="4.1.",Umse!$B$11="4.2.",Umse!$B$11="4.3.",Umse!$B$11="4.4.",Umse!$B$11="4.5.",Umse!$B$11="4.6."),'VKr Mask'!C56,IF(OR(Umse!$B$11="6.1.",Umse!$B$11="6.2.",Umse!$B$11="6.3.",Umse!$B$11="6.4.",$A$1="6.5.",$A$1="6.6."),'LKr Mask'!C56,""))</f>
        <v/>
      </c>
      <c r="D56" s="308">
        <f>IF(OR(Umse!$B$11="3.1.",Umse!$B$11="3.2.",Umse!$B$11="3.5.",Umse!$B$11="3.6.",Umse!$B$11="3.9.",Umse!$B$11="3.10.",Umse!$B$11="4.1.",Umse!$B$11="4.2.",Umse!$B$11="4.3.",Umse!$B$11="4.4.",Umse!$B$11="4.5.",Umse!$B$11="4.6."),'VKr Mask'!D56,IF(OR(Umse!$B$11="6.1.",Umse!$B$11="6.2.",Umse!$B$11="6.3.",Umse!$B$11="6.4.",$A$1="6.5.",$A$1="6.6."),'LKr Mask'!D56,0))</f>
        <v>0</v>
      </c>
      <c r="E56" s="308">
        <f>IF(OR(Umse!$B$11="3.1.",Umse!$B$11="3.2.",Umse!$B$11="3.5.",Umse!$B$11="3.6.",Umse!$B$11="3.9.",Umse!$B$11="3.10.",Umse!$B$11="4.1.",Umse!$B$11="4.2.",Umse!$B$11="4.3.",Umse!$B$11="4.4.",Umse!$B$11="4.5.",Umse!$B$11="4.6."),'VKr Mask'!E56,IF(OR(Umse!$B$11="6.1.",Umse!$B$11="6.2.",Umse!$B$11="6.3.",Umse!$B$11="6.4.",$A$1="6.5.",$A$1="6.6."),'LKr Mask'!E56,0))</f>
        <v>0</v>
      </c>
      <c r="F56" s="308">
        <f>IF(OR(Umse!$B$11="3.1.",Umse!$B$11="3.2.",Umse!$B$11="3.5.",Umse!$B$11="3.6.",Umse!$B$11="3.9.",Umse!$B$11="3.10.",Umse!$B$11="4.1.",Umse!$B$11="4.2.",Umse!$B$11="4.3.",Umse!$B$11="4.4.",Umse!$B$11="4.5.",Umse!$B$11="4.6."),'VKr Mask'!F56,IF(OR(Umse!$B$11="6.1.",Umse!$B$11="6.2.",Umse!$B$11="6.3.",Umse!$B$11="6.4.",$A$1="6.5.",$A$1="6.6."),'LKr Mask'!F56,0))</f>
        <v>0</v>
      </c>
      <c r="G56" s="308">
        <f>IF(OR(Umse!$B$11="3.1.",Umse!$B$11="3.2.",Umse!$B$11="3.5.",Umse!$B$11="3.6.",Umse!$B$11="3.9.",Umse!$B$11="3.10.",Umse!$B$11="4.1.",Umse!$B$11="4.2.",Umse!$B$11="4.3.",Umse!$B$11="4.4.",Umse!$B$11="4.5.",Umse!$B$11="4.6."),'VKr Mask'!G56,IF(OR(Umse!$B$11="6.1.",Umse!$B$11="6.2.",Umse!$B$11="6.3.",Umse!$B$11="6.4.",$A$1="6.5.",$A$1="6.6."),'LKr Mask'!G56,0))</f>
        <v>0</v>
      </c>
      <c r="H56" s="308">
        <f>IF(OR(Umse!$B$11="3.1.",Umse!$B$11="3.2.",Umse!$B$11="3.5.",Umse!$B$11="3.6.",Umse!$B$11="3.9.",Umse!$B$11="3.10.",Umse!$B$11="4.1.",Umse!$B$11="4.2.",Umse!$B$11="4.3.",Umse!$B$11="4.4.",Umse!$B$11="4.5.",Umse!$B$11="4.6."),'VKr Mask'!H56,IF(OR(Umse!$B$11="6.1.",Umse!$B$11="6.2.",Umse!$B$11="6.3.",Umse!$B$11="6.4.",$A$1="6.5.",$A$1="6.6."),'LKr Mask'!H56,0))</f>
        <v>0</v>
      </c>
      <c r="I56" s="308">
        <f>IF(OR(Umse!$B$11="3.1.",Umse!$B$11="3.2.",Umse!$B$11="3.5.",Umse!$B$11="3.6.",Umse!$B$11="3.9.",Umse!$B$11="3.10.",Umse!$B$11="4.1.",Umse!$B$11="4.2.",Umse!$B$11="4.3.",Umse!$B$11="4.4.",Umse!$B$11="4.5.",Umse!$B$11="4.6."),'VKr Mask'!I56,IF(OR(Umse!$B$11="6.1.",Umse!$B$11="6.2.",Umse!$B$11="6.3.",Umse!$B$11="6.4.",$A$1="6.5.",$A$1="6.6."),'LKr Mask'!I56,0))</f>
        <v>0</v>
      </c>
      <c r="J56" s="307"/>
      <c r="K56" s="306" t="str">
        <f>IF(OR(Umse!$B$11="3.1.",Umse!$B$11="3.2.",Umse!$B$11="3.5.",Umse!$B$11="3.6.",Umse!$B$11="3.9.",Umse!$B$11="3.10.",Umse!$B$11="4.1.",Umse!$B$11="4.2.",Umse!$B$11="4.3.",Umse!$B$11="4.4.",Umse!$B$11="4.5.",Umse!$B$11="4.6."),'VKr Mask'!K56,IF(OR(Umse!$B$11="6.1.",Umse!$B$11="6.2.",Umse!$B$11="6.3.",Umse!$B$11="6.4.",$A$1="6.5.",$A$1="6.6."),'LKr Mask'!K56,""))</f>
        <v/>
      </c>
      <c r="L56" s="322" t="str">
        <f>IF(OR(Umse!$B$11="3.1.",Umse!$B$11="3.2.",Umse!$B$11="3.5.",Umse!$B$11="3.6.",Umse!$B$11="3.9.",Umse!$B$11="3.10.",Umse!$B$11="4.1.",Umse!$B$11="4.2.",Umse!$B$11="4.3.",Umse!$B$11="4.4.",Umse!$B$11="4.5.",Umse!$B$11="4.6."),'VKr Mask'!L56,IF(OR(Umse!$B$11="6.1.",Umse!$B$11="6.2.",Umse!$B$11="6.3.",Umse!$B$11="6.4.",$A$1="6.5.",$A$1="6.6."),'LKr Mask'!L56,""))</f>
        <v/>
      </c>
      <c r="M56" s="308" t="str">
        <f>IF(OR(Umse!$B$11="3.1.",Umse!$B$11="3.2.",Umse!$B$11="3.5.",Umse!$B$11="3.6.",Umse!$B$11="3.9.",Umse!$B$11="3.10.",Umse!$B$11="4.1.",Umse!$B$11="4.2.",Umse!$B$11="4.3.",Umse!$B$11="4.4.",Umse!$B$11="4.5.",Umse!$B$11="4.6."),'VKr Mask'!M56,IF(OR(Umse!$B$11="6.1.",Umse!$B$11="6.2.",Umse!$B$11="6.3.",Umse!$B$11="6.4.",$A$1="6.5.",$A$1="6.6."),'LKr Mask'!M56,""))</f>
        <v/>
      </c>
      <c r="N56" s="308" t="str">
        <f>IF(OR(Umse!$B$11="3.1.",Umse!$B$11="3.2.",Umse!$B$11="3.5.",Umse!$B$11="3.6.",Umse!$B$11="3.9.",Umse!$B$11="3.10.",Umse!$B$11="4.1.",Umse!$B$11="4.2.",Umse!$B$11="4.3.",Umse!$B$11="4.4.",Umse!$B$11="4.5.",Umse!$B$11="4.6."),'VKr Mask'!N56,IF(OR(Umse!$B$11="6.1.",Umse!$B$11="6.2.",Umse!$B$11="6.3.",Umse!$B$11="6.4.",$A$1="6.5.",$A$1="6.6."),'LKr Mask'!N56,""))</f>
        <v/>
      </c>
      <c r="O56" s="308" t="str">
        <f>IF(OR(Umse!$B$11="3.1.",Umse!$B$11="3.2.",Umse!$B$11="3.5.",Umse!$B$11="3.6.",Umse!$B$11="3.9.",Umse!$B$11="3.10.",Umse!$B$11="4.1.",Umse!$B$11="4.2.",Umse!$B$11="4.3.",Umse!$B$11="4.4.",Umse!$B$11="4.5.",Umse!$B$11="4.6."),'VKr Mask'!O56,IF(OR(Umse!$B$11="6.1.",Umse!$B$11="6.2.",Umse!$B$11="6.3.",Umse!$B$11="6.4.",$A$1="6.5.",$A$1="6.6."),'LKr Mask'!O56,""))</f>
        <v/>
      </c>
      <c r="P56" s="308" t="str">
        <f>IF(OR(Umse!$B$11="3.1.",Umse!$B$11="3.2.",Umse!$B$11="3.5.",Umse!$B$11="3.6.",Umse!$B$11="3.9.",Umse!$B$11="3.10.",Umse!$B$11="4.1.",Umse!$B$11="4.2.",Umse!$B$11="4.3.",Umse!$B$11="4.4.",Umse!$B$11="4.5.",Umse!$B$11="4.6."),'VKr Mask'!P56,IF(OR(Umse!$B$11="6.1.",Umse!$B$11="6.2.",Umse!$B$11="6.3.",Umse!$B$11="6.4.",$A$1="6.5.",$A$1="6.6."),'LKr Mask'!P56,""))</f>
        <v/>
      </c>
      <c r="Q56" s="308" t="str">
        <f>IF(OR(Umse!$B$11="3.1.",Umse!$B$11="3.2.",Umse!$B$11="3.5.",Umse!$B$11="3.6.",Umse!$B$11="3.9.",Umse!$B$11="3.10.",Umse!$B$11="4.1.",Umse!$B$11="4.2.",Umse!$B$11="4.3.",Umse!$B$11="4.4.",Umse!$B$11="4.5.",Umse!$B$11="4.6."),'VKr Mask'!Q56,IF(OR(Umse!$B$11="6.1.",Umse!$B$11="6.2.",Umse!$B$11="6.3.",Umse!$B$11="6.4.",$A$1="6.5.",$A$1="6.6."),'LKr Mask'!Q56,""))</f>
        <v/>
      </c>
      <c r="R56" s="308" t="str">
        <f>IF(OR(Umse!$B$11="3.1.",Umse!$B$11="3.2.",Umse!$B$11="3.5.",Umse!$B$11="3.6.",Umse!$B$11="3.9.",Umse!$B$11="3.10.",Umse!$B$11="4.1.",Umse!$B$11="4.2.",Umse!$B$11="4.3.",Umse!$B$11="4.4.",Umse!$B$11="4.5.",Umse!$B$11="4.6."),'VKr Mask'!R56,IF(OR(Umse!$B$11="6.1.",Umse!$B$11="6.2.",Umse!$B$11="6.3.",Umse!$B$11="6.4.",$A$1="6.5.",$A$1="6.6."),'LKr Mask'!R56,""))</f>
        <v/>
      </c>
    </row>
    <row r="57" spans="2:18" ht="11.25" customHeight="1">
      <c r="B57" s="306" t="str">
        <f>IF(OR(Umse!$B$11="3.1.",Umse!$B$11="3.2.",Umse!$B$11="3.5.",Umse!$B$11="3.6.",Umse!$B$11="3.9.",Umse!$B$11="3.10.",Umse!$B$11="4.1.",Umse!$B$11="4.2.",Umse!$B$11="4.3.",Umse!$B$11="4.4.",Umse!$B$11="4.5.",Umse!$B$11="4.6."),'VKr Mask'!B57,IF(OR(Umse!$B$11="6.1.",Umse!$B$11="6.2.",Umse!$B$11="6.3.",Umse!$B$11="6.4.",$A$1="6.5.",$A$1="6.6."),'LKr Mask'!B57,""))</f>
        <v/>
      </c>
      <c r="C57" s="322" t="str">
        <f>IF(OR(Umse!$B$11="3.1.",Umse!$B$11="3.2.",Umse!$B$11="3.5.",Umse!$B$11="3.6.",Umse!$B$11="3.9.",Umse!$B$11="3.10.",Umse!$B$11="4.1.",Umse!$B$11="4.2.",Umse!$B$11="4.3.",Umse!$B$11="4.4.",Umse!$B$11="4.5.",Umse!$B$11="4.6."),'VKr Mask'!C57,IF(OR(Umse!$B$11="6.1.",Umse!$B$11="6.2.",Umse!$B$11="6.3.",Umse!$B$11="6.4.",$A$1="6.5.",$A$1="6.6."),'LKr Mask'!C57,""))</f>
        <v/>
      </c>
      <c r="D57" s="308">
        <f>IF(OR(Umse!$B$11="3.1.",Umse!$B$11="3.2.",Umse!$B$11="3.5.",Umse!$B$11="3.6.",Umse!$B$11="3.9.",Umse!$B$11="3.10.",Umse!$B$11="4.1.",Umse!$B$11="4.2.",Umse!$B$11="4.3.",Umse!$B$11="4.4.",Umse!$B$11="4.5.",Umse!$B$11="4.6."),'VKr Mask'!D57,IF(OR(Umse!$B$11="6.1.",Umse!$B$11="6.2.",Umse!$B$11="6.3.",Umse!$B$11="6.4.",$A$1="6.5.",$A$1="6.6."),'LKr Mask'!D57,0))</f>
        <v>0</v>
      </c>
      <c r="E57" s="308">
        <f>IF(OR(Umse!$B$11="3.1.",Umse!$B$11="3.2.",Umse!$B$11="3.5.",Umse!$B$11="3.6.",Umse!$B$11="3.9.",Umse!$B$11="3.10.",Umse!$B$11="4.1.",Umse!$B$11="4.2.",Umse!$B$11="4.3.",Umse!$B$11="4.4.",Umse!$B$11="4.5.",Umse!$B$11="4.6."),'VKr Mask'!E57,IF(OR(Umse!$B$11="6.1.",Umse!$B$11="6.2.",Umse!$B$11="6.3.",Umse!$B$11="6.4.",$A$1="6.5.",$A$1="6.6."),'LKr Mask'!E57,0))</f>
        <v>0</v>
      </c>
      <c r="F57" s="308">
        <f>IF(OR(Umse!$B$11="3.1.",Umse!$B$11="3.2.",Umse!$B$11="3.5.",Umse!$B$11="3.6.",Umse!$B$11="3.9.",Umse!$B$11="3.10.",Umse!$B$11="4.1.",Umse!$B$11="4.2.",Umse!$B$11="4.3.",Umse!$B$11="4.4.",Umse!$B$11="4.5.",Umse!$B$11="4.6."),'VKr Mask'!F57,IF(OR(Umse!$B$11="6.1.",Umse!$B$11="6.2.",Umse!$B$11="6.3.",Umse!$B$11="6.4.",$A$1="6.5.",$A$1="6.6."),'LKr Mask'!F57,0))</f>
        <v>0</v>
      </c>
      <c r="G57" s="308">
        <f>IF(OR(Umse!$B$11="3.1.",Umse!$B$11="3.2.",Umse!$B$11="3.5.",Umse!$B$11="3.6.",Umse!$B$11="3.9.",Umse!$B$11="3.10.",Umse!$B$11="4.1.",Umse!$B$11="4.2.",Umse!$B$11="4.3.",Umse!$B$11="4.4.",Umse!$B$11="4.5.",Umse!$B$11="4.6."),'VKr Mask'!G57,IF(OR(Umse!$B$11="6.1.",Umse!$B$11="6.2.",Umse!$B$11="6.3.",Umse!$B$11="6.4.",$A$1="6.5.",$A$1="6.6."),'LKr Mask'!G57,0))</f>
        <v>0</v>
      </c>
      <c r="H57" s="308">
        <f>IF(OR(Umse!$B$11="3.1.",Umse!$B$11="3.2.",Umse!$B$11="3.5.",Umse!$B$11="3.6.",Umse!$B$11="3.9.",Umse!$B$11="3.10.",Umse!$B$11="4.1.",Umse!$B$11="4.2.",Umse!$B$11="4.3.",Umse!$B$11="4.4.",Umse!$B$11="4.5.",Umse!$B$11="4.6."),'VKr Mask'!H57,IF(OR(Umse!$B$11="6.1.",Umse!$B$11="6.2.",Umse!$B$11="6.3.",Umse!$B$11="6.4.",$A$1="6.5.",$A$1="6.6."),'LKr Mask'!H57,0))</f>
        <v>0</v>
      </c>
      <c r="I57" s="308">
        <f>IF(OR(Umse!$B$11="3.1.",Umse!$B$11="3.2.",Umse!$B$11="3.5.",Umse!$B$11="3.6.",Umse!$B$11="3.9.",Umse!$B$11="3.10.",Umse!$B$11="4.1.",Umse!$B$11="4.2.",Umse!$B$11="4.3.",Umse!$B$11="4.4.",Umse!$B$11="4.5.",Umse!$B$11="4.6."),'VKr Mask'!I57,IF(OR(Umse!$B$11="6.1.",Umse!$B$11="6.2.",Umse!$B$11="6.3.",Umse!$B$11="6.4.",$A$1="6.5.",$A$1="6.6."),'LKr Mask'!I57,0))</f>
        <v>0</v>
      </c>
      <c r="J57" s="307"/>
      <c r="K57" s="306" t="str">
        <f>IF(OR(Umse!$B$11="3.1.",Umse!$B$11="3.2.",Umse!$B$11="3.5.",Umse!$B$11="3.6.",Umse!$B$11="3.9.",Umse!$B$11="3.10.",Umse!$B$11="4.1.",Umse!$B$11="4.2.",Umse!$B$11="4.3.",Umse!$B$11="4.4.",Umse!$B$11="4.5.",Umse!$B$11="4.6."),'VKr Mask'!K57,IF(OR(Umse!$B$11="6.1.",Umse!$B$11="6.2.",Umse!$B$11="6.3.",Umse!$B$11="6.4.",$A$1="6.5.",$A$1="6.6."),'LKr Mask'!K57,""))</f>
        <v/>
      </c>
      <c r="L57" s="322" t="str">
        <f>IF(OR(Umse!$B$11="3.1.",Umse!$B$11="3.2.",Umse!$B$11="3.5.",Umse!$B$11="3.6.",Umse!$B$11="3.9.",Umse!$B$11="3.10.",Umse!$B$11="4.1.",Umse!$B$11="4.2.",Umse!$B$11="4.3.",Umse!$B$11="4.4.",Umse!$B$11="4.5.",Umse!$B$11="4.6."),'VKr Mask'!L57,IF(OR(Umse!$B$11="6.1.",Umse!$B$11="6.2.",Umse!$B$11="6.3.",Umse!$B$11="6.4.",$A$1="6.5.",$A$1="6.6."),'LKr Mask'!L57,""))</f>
        <v/>
      </c>
      <c r="M57" s="308" t="str">
        <f>IF(OR(Umse!$B$11="3.1.",Umse!$B$11="3.2.",Umse!$B$11="3.5.",Umse!$B$11="3.6.",Umse!$B$11="3.9.",Umse!$B$11="3.10.",Umse!$B$11="4.1.",Umse!$B$11="4.2.",Umse!$B$11="4.3.",Umse!$B$11="4.4.",Umse!$B$11="4.5.",Umse!$B$11="4.6."),'VKr Mask'!M57,IF(OR(Umse!$B$11="6.1.",Umse!$B$11="6.2.",Umse!$B$11="6.3.",Umse!$B$11="6.4.",$A$1="6.5.",$A$1="6.6."),'LKr Mask'!M57,""))</f>
        <v/>
      </c>
      <c r="N57" s="308" t="str">
        <f>IF(OR(Umse!$B$11="3.1.",Umse!$B$11="3.2.",Umse!$B$11="3.5.",Umse!$B$11="3.6.",Umse!$B$11="3.9.",Umse!$B$11="3.10.",Umse!$B$11="4.1.",Umse!$B$11="4.2.",Umse!$B$11="4.3.",Umse!$B$11="4.4.",Umse!$B$11="4.5.",Umse!$B$11="4.6."),'VKr Mask'!N57,IF(OR(Umse!$B$11="6.1.",Umse!$B$11="6.2.",Umse!$B$11="6.3.",Umse!$B$11="6.4.",$A$1="6.5.",$A$1="6.6."),'LKr Mask'!N57,""))</f>
        <v/>
      </c>
      <c r="O57" s="308" t="str">
        <f>IF(OR(Umse!$B$11="3.1.",Umse!$B$11="3.2.",Umse!$B$11="3.5.",Umse!$B$11="3.6.",Umse!$B$11="3.9.",Umse!$B$11="3.10.",Umse!$B$11="4.1.",Umse!$B$11="4.2.",Umse!$B$11="4.3.",Umse!$B$11="4.4.",Umse!$B$11="4.5.",Umse!$B$11="4.6."),'VKr Mask'!O57,IF(OR(Umse!$B$11="6.1.",Umse!$B$11="6.2.",Umse!$B$11="6.3.",Umse!$B$11="6.4.",$A$1="6.5.",$A$1="6.6."),'LKr Mask'!O57,""))</f>
        <v/>
      </c>
      <c r="P57" s="308" t="str">
        <f>IF(OR(Umse!$B$11="3.1.",Umse!$B$11="3.2.",Umse!$B$11="3.5.",Umse!$B$11="3.6.",Umse!$B$11="3.9.",Umse!$B$11="3.10.",Umse!$B$11="4.1.",Umse!$B$11="4.2.",Umse!$B$11="4.3.",Umse!$B$11="4.4.",Umse!$B$11="4.5.",Umse!$B$11="4.6."),'VKr Mask'!P57,IF(OR(Umse!$B$11="6.1.",Umse!$B$11="6.2.",Umse!$B$11="6.3.",Umse!$B$11="6.4.",$A$1="6.5.",$A$1="6.6."),'LKr Mask'!P57,""))</f>
        <v/>
      </c>
      <c r="Q57" s="308" t="str">
        <f>IF(OR(Umse!$B$11="3.1.",Umse!$B$11="3.2.",Umse!$B$11="3.5.",Umse!$B$11="3.6.",Umse!$B$11="3.9.",Umse!$B$11="3.10.",Umse!$B$11="4.1.",Umse!$B$11="4.2.",Umse!$B$11="4.3.",Umse!$B$11="4.4.",Umse!$B$11="4.5.",Umse!$B$11="4.6."),'VKr Mask'!Q57,IF(OR(Umse!$B$11="6.1.",Umse!$B$11="6.2.",Umse!$B$11="6.3.",Umse!$B$11="6.4.",$A$1="6.5.",$A$1="6.6."),'LKr Mask'!Q57,""))</f>
        <v/>
      </c>
      <c r="R57" s="308" t="str">
        <f>IF(OR(Umse!$B$11="3.1.",Umse!$B$11="3.2.",Umse!$B$11="3.5.",Umse!$B$11="3.6.",Umse!$B$11="3.9.",Umse!$B$11="3.10.",Umse!$B$11="4.1.",Umse!$B$11="4.2.",Umse!$B$11="4.3.",Umse!$B$11="4.4.",Umse!$B$11="4.5.",Umse!$B$11="4.6."),'VKr Mask'!R57,IF(OR(Umse!$B$11="6.1.",Umse!$B$11="6.2.",Umse!$B$11="6.3.",Umse!$B$11="6.4.",$A$1="6.5.",$A$1="6.6."),'LKr Mask'!R57,""))</f>
        <v/>
      </c>
    </row>
    <row r="58" spans="2:18" ht="11.25" customHeight="1">
      <c r="B58" s="306" t="str">
        <f>IF(OR(Umse!$B$11="3.1.",Umse!$B$11="3.2.",Umse!$B$11="3.5.",Umse!$B$11="3.6.",Umse!$B$11="3.9.",Umse!$B$11="3.10.",Umse!$B$11="4.1.",Umse!$B$11="4.2.",Umse!$B$11="4.3.",Umse!$B$11="4.4.",Umse!$B$11="4.5.",Umse!$B$11="4.6."),'VKr Mask'!B58,IF(OR(Umse!$B$11="6.1.",Umse!$B$11="6.2.",Umse!$B$11="6.3.",Umse!$B$11="6.4.",$A$1="6.5.",$A$1="6.6."),'LKr Mask'!B58,""))</f>
        <v/>
      </c>
      <c r="C58" s="322" t="str">
        <f>IF(OR(Umse!$B$11="3.1.",Umse!$B$11="3.2.",Umse!$B$11="3.5.",Umse!$B$11="3.6.",Umse!$B$11="3.9.",Umse!$B$11="3.10.",Umse!$B$11="4.1.",Umse!$B$11="4.2.",Umse!$B$11="4.3.",Umse!$B$11="4.4.",Umse!$B$11="4.5.",Umse!$B$11="4.6."),'VKr Mask'!C58,IF(OR(Umse!$B$11="6.1.",Umse!$B$11="6.2.",Umse!$B$11="6.3.",Umse!$B$11="6.4.",$A$1="6.5.",$A$1="6.6."),'LKr Mask'!C58,""))</f>
        <v/>
      </c>
      <c r="D58" s="308">
        <f>IF(OR(Umse!$B$11="3.1.",Umse!$B$11="3.2.",Umse!$B$11="3.5.",Umse!$B$11="3.6.",Umse!$B$11="3.9.",Umse!$B$11="3.10.",Umse!$B$11="4.1.",Umse!$B$11="4.2.",Umse!$B$11="4.3.",Umse!$B$11="4.4.",Umse!$B$11="4.5.",Umse!$B$11="4.6."),'VKr Mask'!D58,IF(OR(Umse!$B$11="6.1.",Umse!$B$11="6.2.",Umse!$B$11="6.3.",Umse!$B$11="6.4.",$A$1="6.5.",$A$1="6.6."),'LKr Mask'!D58,0))</f>
        <v>0</v>
      </c>
      <c r="E58" s="308">
        <f>IF(OR(Umse!$B$11="3.1.",Umse!$B$11="3.2.",Umse!$B$11="3.5.",Umse!$B$11="3.6.",Umse!$B$11="3.9.",Umse!$B$11="3.10.",Umse!$B$11="4.1.",Umse!$B$11="4.2.",Umse!$B$11="4.3.",Umse!$B$11="4.4.",Umse!$B$11="4.5.",Umse!$B$11="4.6."),'VKr Mask'!E58,IF(OR(Umse!$B$11="6.1.",Umse!$B$11="6.2.",Umse!$B$11="6.3.",Umse!$B$11="6.4.",$A$1="6.5.",$A$1="6.6."),'LKr Mask'!E58,0))</f>
        <v>0</v>
      </c>
      <c r="F58" s="308">
        <f>IF(OR(Umse!$B$11="3.1.",Umse!$B$11="3.2.",Umse!$B$11="3.5.",Umse!$B$11="3.6.",Umse!$B$11="3.9.",Umse!$B$11="3.10.",Umse!$B$11="4.1.",Umse!$B$11="4.2.",Umse!$B$11="4.3.",Umse!$B$11="4.4.",Umse!$B$11="4.5.",Umse!$B$11="4.6."),'VKr Mask'!F58,IF(OR(Umse!$B$11="6.1.",Umse!$B$11="6.2.",Umse!$B$11="6.3.",Umse!$B$11="6.4.",$A$1="6.5.",$A$1="6.6."),'LKr Mask'!F58,0))</f>
        <v>0</v>
      </c>
      <c r="G58" s="308">
        <f>IF(OR(Umse!$B$11="3.1.",Umse!$B$11="3.2.",Umse!$B$11="3.5.",Umse!$B$11="3.6.",Umse!$B$11="3.9.",Umse!$B$11="3.10.",Umse!$B$11="4.1.",Umse!$B$11="4.2.",Umse!$B$11="4.3.",Umse!$B$11="4.4.",Umse!$B$11="4.5.",Umse!$B$11="4.6."),'VKr Mask'!G58,IF(OR(Umse!$B$11="6.1.",Umse!$B$11="6.2.",Umse!$B$11="6.3.",Umse!$B$11="6.4.",$A$1="6.5.",$A$1="6.6."),'LKr Mask'!G58,0))</f>
        <v>0</v>
      </c>
      <c r="H58" s="308">
        <f>IF(OR(Umse!$B$11="3.1.",Umse!$B$11="3.2.",Umse!$B$11="3.5.",Umse!$B$11="3.6.",Umse!$B$11="3.9.",Umse!$B$11="3.10.",Umse!$B$11="4.1.",Umse!$B$11="4.2.",Umse!$B$11="4.3.",Umse!$B$11="4.4.",Umse!$B$11="4.5.",Umse!$B$11="4.6."),'VKr Mask'!H58,IF(OR(Umse!$B$11="6.1.",Umse!$B$11="6.2.",Umse!$B$11="6.3.",Umse!$B$11="6.4.",$A$1="6.5.",$A$1="6.6."),'LKr Mask'!H58,0))</f>
        <v>0</v>
      </c>
      <c r="I58" s="308">
        <f>IF(OR(Umse!$B$11="3.1.",Umse!$B$11="3.2.",Umse!$B$11="3.5.",Umse!$B$11="3.6.",Umse!$B$11="3.9.",Umse!$B$11="3.10.",Umse!$B$11="4.1.",Umse!$B$11="4.2.",Umse!$B$11="4.3.",Umse!$B$11="4.4.",Umse!$B$11="4.5.",Umse!$B$11="4.6."),'VKr Mask'!I58,IF(OR(Umse!$B$11="6.1.",Umse!$B$11="6.2.",Umse!$B$11="6.3.",Umse!$B$11="6.4.",$A$1="6.5.",$A$1="6.6."),'LKr Mask'!I58,0))</f>
        <v>0</v>
      </c>
      <c r="J58" s="307"/>
      <c r="K58" s="306" t="str">
        <f>IF(OR(Umse!$B$11="3.1.",Umse!$B$11="3.2.",Umse!$B$11="3.5.",Umse!$B$11="3.6.",Umse!$B$11="3.9.",Umse!$B$11="3.10.",Umse!$B$11="4.1.",Umse!$B$11="4.2.",Umse!$B$11="4.3.",Umse!$B$11="4.4.",Umse!$B$11="4.5.",Umse!$B$11="4.6."),'VKr Mask'!K58,IF(OR(Umse!$B$11="6.1.",Umse!$B$11="6.2.",Umse!$B$11="6.3.",Umse!$B$11="6.4.",$A$1="6.5.",$A$1="6.6."),'LKr Mask'!K58,""))</f>
        <v/>
      </c>
      <c r="L58" s="322" t="str">
        <f>IF(OR(Umse!$B$11="3.1.",Umse!$B$11="3.2.",Umse!$B$11="3.5.",Umse!$B$11="3.6.",Umse!$B$11="3.9.",Umse!$B$11="3.10.",Umse!$B$11="4.1.",Umse!$B$11="4.2.",Umse!$B$11="4.3.",Umse!$B$11="4.4.",Umse!$B$11="4.5.",Umse!$B$11="4.6."),'VKr Mask'!L58,IF(OR(Umse!$B$11="6.1.",Umse!$B$11="6.2.",Umse!$B$11="6.3.",Umse!$B$11="6.4.",$A$1="6.5.",$A$1="6.6."),'LKr Mask'!L58,""))</f>
        <v/>
      </c>
      <c r="M58" s="308" t="str">
        <f>IF(OR(Umse!$B$11="3.1.",Umse!$B$11="3.2.",Umse!$B$11="3.5.",Umse!$B$11="3.6.",Umse!$B$11="3.9.",Umse!$B$11="3.10.",Umse!$B$11="4.1.",Umse!$B$11="4.2.",Umse!$B$11="4.3.",Umse!$B$11="4.4.",Umse!$B$11="4.5.",Umse!$B$11="4.6."),'VKr Mask'!M58,IF(OR(Umse!$B$11="6.1.",Umse!$B$11="6.2.",Umse!$B$11="6.3.",Umse!$B$11="6.4.",$A$1="6.5.",$A$1="6.6."),'LKr Mask'!M58,""))</f>
        <v/>
      </c>
      <c r="N58" s="308" t="str">
        <f>IF(OR(Umse!$B$11="3.1.",Umse!$B$11="3.2.",Umse!$B$11="3.5.",Umse!$B$11="3.6.",Umse!$B$11="3.9.",Umse!$B$11="3.10.",Umse!$B$11="4.1.",Umse!$B$11="4.2.",Umse!$B$11="4.3.",Umse!$B$11="4.4.",Umse!$B$11="4.5.",Umse!$B$11="4.6."),'VKr Mask'!N58,IF(OR(Umse!$B$11="6.1.",Umse!$B$11="6.2.",Umse!$B$11="6.3.",Umse!$B$11="6.4.",$A$1="6.5.",$A$1="6.6."),'LKr Mask'!N58,""))</f>
        <v/>
      </c>
      <c r="O58" s="308" t="str">
        <f>IF(OR(Umse!$B$11="3.1.",Umse!$B$11="3.2.",Umse!$B$11="3.5.",Umse!$B$11="3.6.",Umse!$B$11="3.9.",Umse!$B$11="3.10.",Umse!$B$11="4.1.",Umse!$B$11="4.2.",Umse!$B$11="4.3.",Umse!$B$11="4.4.",Umse!$B$11="4.5.",Umse!$B$11="4.6."),'VKr Mask'!O58,IF(OR(Umse!$B$11="6.1.",Umse!$B$11="6.2.",Umse!$B$11="6.3.",Umse!$B$11="6.4.",$A$1="6.5.",$A$1="6.6."),'LKr Mask'!O58,""))</f>
        <v/>
      </c>
      <c r="P58" s="308" t="str">
        <f>IF(OR(Umse!$B$11="3.1.",Umse!$B$11="3.2.",Umse!$B$11="3.5.",Umse!$B$11="3.6.",Umse!$B$11="3.9.",Umse!$B$11="3.10.",Umse!$B$11="4.1.",Umse!$B$11="4.2.",Umse!$B$11="4.3.",Umse!$B$11="4.4.",Umse!$B$11="4.5.",Umse!$B$11="4.6."),'VKr Mask'!P58,IF(OR(Umse!$B$11="6.1.",Umse!$B$11="6.2.",Umse!$B$11="6.3.",Umse!$B$11="6.4.",$A$1="6.5.",$A$1="6.6."),'LKr Mask'!P58,""))</f>
        <v/>
      </c>
      <c r="Q58" s="308" t="str">
        <f>IF(OR(Umse!$B$11="3.1.",Umse!$B$11="3.2.",Umse!$B$11="3.5.",Umse!$B$11="3.6.",Umse!$B$11="3.9.",Umse!$B$11="3.10.",Umse!$B$11="4.1.",Umse!$B$11="4.2.",Umse!$B$11="4.3.",Umse!$B$11="4.4.",Umse!$B$11="4.5.",Umse!$B$11="4.6."),'VKr Mask'!Q58,IF(OR(Umse!$B$11="6.1.",Umse!$B$11="6.2.",Umse!$B$11="6.3.",Umse!$B$11="6.4.",$A$1="6.5.",$A$1="6.6."),'LKr Mask'!Q58,""))</f>
        <v/>
      </c>
      <c r="R58" s="308" t="str">
        <f>IF(OR(Umse!$B$11="3.1.",Umse!$B$11="3.2.",Umse!$B$11="3.5.",Umse!$B$11="3.6.",Umse!$B$11="3.9.",Umse!$B$11="3.10.",Umse!$B$11="4.1.",Umse!$B$11="4.2.",Umse!$B$11="4.3.",Umse!$B$11="4.4.",Umse!$B$11="4.5.",Umse!$B$11="4.6."),'VKr Mask'!R58,IF(OR(Umse!$B$11="6.1.",Umse!$B$11="6.2.",Umse!$B$11="6.3.",Umse!$B$11="6.4.",$A$1="6.5.",$A$1="6.6."),'LKr Mask'!R58,""))</f>
        <v/>
      </c>
    </row>
    <row r="59" spans="2:18" ht="11.25" customHeight="1">
      <c r="B59" s="306" t="str">
        <f>IF(OR(Umse!$B$11="3.1.",Umse!$B$11="3.2.",Umse!$B$11="3.5.",Umse!$B$11="3.6.",Umse!$B$11="3.9.",Umse!$B$11="3.10.",Umse!$B$11="4.1.",Umse!$B$11="4.2.",Umse!$B$11="4.3.",Umse!$B$11="4.4.",Umse!$B$11="4.5.",Umse!$B$11="4.6."),'VKr Mask'!B59,IF(OR(Umse!$B$11="6.1.",Umse!$B$11="6.2.",Umse!$B$11="6.3.",Umse!$B$11="6.4.",$A$1="6.5.",$A$1="6.6."),'LKr Mask'!B59,""))</f>
        <v/>
      </c>
      <c r="C59" s="322" t="str">
        <f>IF(OR(Umse!$B$11="3.1.",Umse!$B$11="3.2.",Umse!$B$11="3.5.",Umse!$B$11="3.6.",Umse!$B$11="3.9.",Umse!$B$11="3.10.",Umse!$B$11="4.1.",Umse!$B$11="4.2.",Umse!$B$11="4.3.",Umse!$B$11="4.4.",Umse!$B$11="4.5.",Umse!$B$11="4.6."),'VKr Mask'!C59,IF(OR(Umse!$B$11="6.1.",Umse!$B$11="6.2.",Umse!$B$11="6.3.",Umse!$B$11="6.4.",$A$1="6.5.",$A$1="6.6."),'LKr Mask'!C59,""))</f>
        <v/>
      </c>
      <c r="D59" s="308">
        <f>IF(OR(Umse!$B$11="3.1.",Umse!$B$11="3.2.",Umse!$B$11="3.5.",Umse!$B$11="3.6.",Umse!$B$11="3.9.",Umse!$B$11="3.10.",Umse!$B$11="4.1.",Umse!$B$11="4.2.",Umse!$B$11="4.3.",Umse!$B$11="4.4.",Umse!$B$11="4.5.",Umse!$B$11="4.6."),'VKr Mask'!D59,IF(OR(Umse!$B$11="6.1.",Umse!$B$11="6.2.",Umse!$B$11="6.3.",Umse!$B$11="6.4.",$A$1="6.5.",$A$1="6.6."),'LKr Mask'!D59,0))</f>
        <v>0</v>
      </c>
      <c r="E59" s="308">
        <f>IF(OR(Umse!$B$11="3.1.",Umse!$B$11="3.2.",Umse!$B$11="3.5.",Umse!$B$11="3.6.",Umse!$B$11="3.9.",Umse!$B$11="3.10.",Umse!$B$11="4.1.",Umse!$B$11="4.2.",Umse!$B$11="4.3.",Umse!$B$11="4.4.",Umse!$B$11="4.5.",Umse!$B$11="4.6."),'VKr Mask'!E59,IF(OR(Umse!$B$11="6.1.",Umse!$B$11="6.2.",Umse!$B$11="6.3.",Umse!$B$11="6.4.",$A$1="6.5.",$A$1="6.6."),'LKr Mask'!E59,0))</f>
        <v>0</v>
      </c>
      <c r="F59" s="308">
        <f>IF(OR(Umse!$B$11="3.1.",Umse!$B$11="3.2.",Umse!$B$11="3.5.",Umse!$B$11="3.6.",Umse!$B$11="3.9.",Umse!$B$11="3.10.",Umse!$B$11="4.1.",Umse!$B$11="4.2.",Umse!$B$11="4.3.",Umse!$B$11="4.4.",Umse!$B$11="4.5.",Umse!$B$11="4.6."),'VKr Mask'!F59,IF(OR(Umse!$B$11="6.1.",Umse!$B$11="6.2.",Umse!$B$11="6.3.",Umse!$B$11="6.4.",$A$1="6.5.",$A$1="6.6."),'LKr Mask'!F59,0))</f>
        <v>0</v>
      </c>
      <c r="G59" s="308">
        <f>IF(OR(Umse!$B$11="3.1.",Umse!$B$11="3.2.",Umse!$B$11="3.5.",Umse!$B$11="3.6.",Umse!$B$11="3.9.",Umse!$B$11="3.10.",Umse!$B$11="4.1.",Umse!$B$11="4.2.",Umse!$B$11="4.3.",Umse!$B$11="4.4.",Umse!$B$11="4.5.",Umse!$B$11="4.6."),'VKr Mask'!G59,IF(OR(Umse!$B$11="6.1.",Umse!$B$11="6.2.",Umse!$B$11="6.3.",Umse!$B$11="6.4.",$A$1="6.5.",$A$1="6.6."),'LKr Mask'!G59,0))</f>
        <v>0</v>
      </c>
      <c r="H59" s="308">
        <f>IF(OR(Umse!$B$11="3.1.",Umse!$B$11="3.2.",Umse!$B$11="3.5.",Umse!$B$11="3.6.",Umse!$B$11="3.9.",Umse!$B$11="3.10.",Umse!$B$11="4.1.",Umse!$B$11="4.2.",Umse!$B$11="4.3.",Umse!$B$11="4.4.",Umse!$B$11="4.5.",Umse!$B$11="4.6."),'VKr Mask'!H59,IF(OR(Umse!$B$11="6.1.",Umse!$B$11="6.2.",Umse!$B$11="6.3.",Umse!$B$11="6.4.",$A$1="6.5.",$A$1="6.6."),'LKr Mask'!H59,0))</f>
        <v>0</v>
      </c>
      <c r="I59" s="308">
        <f>IF(OR(Umse!$B$11="3.1.",Umse!$B$11="3.2.",Umse!$B$11="3.5.",Umse!$B$11="3.6.",Umse!$B$11="3.9.",Umse!$B$11="3.10.",Umse!$B$11="4.1.",Umse!$B$11="4.2.",Umse!$B$11="4.3.",Umse!$B$11="4.4.",Umse!$B$11="4.5.",Umse!$B$11="4.6."),'VKr Mask'!I59,IF(OR(Umse!$B$11="6.1.",Umse!$B$11="6.2.",Umse!$B$11="6.3.",Umse!$B$11="6.4.",$A$1="6.5.",$A$1="6.6."),'LKr Mask'!I59,0))</f>
        <v>0</v>
      </c>
      <c r="J59" s="307"/>
      <c r="K59" s="306" t="str">
        <f>IF(OR(Umse!$B$11="3.1.",Umse!$B$11="3.2.",Umse!$B$11="3.5.",Umse!$B$11="3.6.",Umse!$B$11="3.9.",Umse!$B$11="3.10.",Umse!$B$11="4.1.",Umse!$B$11="4.2.",Umse!$B$11="4.3.",Umse!$B$11="4.4.",Umse!$B$11="4.5.",Umse!$B$11="4.6."),'VKr Mask'!K59,IF(OR(Umse!$B$11="6.1.",Umse!$B$11="6.2.",Umse!$B$11="6.3.",Umse!$B$11="6.4.",$A$1="6.5.",$A$1="6.6."),'LKr Mask'!K59,""))</f>
        <v/>
      </c>
      <c r="L59" s="322" t="str">
        <f>IF(OR(Umse!$B$11="3.1.",Umse!$B$11="3.2.",Umse!$B$11="3.5.",Umse!$B$11="3.6.",Umse!$B$11="3.9.",Umse!$B$11="3.10.",Umse!$B$11="4.1.",Umse!$B$11="4.2.",Umse!$B$11="4.3.",Umse!$B$11="4.4.",Umse!$B$11="4.5.",Umse!$B$11="4.6."),'VKr Mask'!L59,IF(OR(Umse!$B$11="6.1.",Umse!$B$11="6.2.",Umse!$B$11="6.3.",Umse!$B$11="6.4.",$A$1="6.5.",$A$1="6.6."),'LKr Mask'!L59,""))</f>
        <v/>
      </c>
      <c r="M59" s="308" t="str">
        <f>IF(OR(Umse!$B$11="3.1.",Umse!$B$11="3.2.",Umse!$B$11="3.5.",Umse!$B$11="3.6.",Umse!$B$11="3.9.",Umse!$B$11="3.10.",Umse!$B$11="4.1.",Umse!$B$11="4.2.",Umse!$B$11="4.3.",Umse!$B$11="4.4.",Umse!$B$11="4.5.",Umse!$B$11="4.6."),'VKr Mask'!M59,IF(OR(Umse!$B$11="6.1.",Umse!$B$11="6.2.",Umse!$B$11="6.3.",Umse!$B$11="6.4.",$A$1="6.5.",$A$1="6.6."),'LKr Mask'!M59,""))</f>
        <v/>
      </c>
      <c r="N59" s="308" t="str">
        <f>IF(OR(Umse!$B$11="3.1.",Umse!$B$11="3.2.",Umse!$B$11="3.5.",Umse!$B$11="3.6.",Umse!$B$11="3.9.",Umse!$B$11="3.10.",Umse!$B$11="4.1.",Umse!$B$11="4.2.",Umse!$B$11="4.3.",Umse!$B$11="4.4.",Umse!$B$11="4.5.",Umse!$B$11="4.6."),'VKr Mask'!N59,IF(OR(Umse!$B$11="6.1.",Umse!$B$11="6.2.",Umse!$B$11="6.3.",Umse!$B$11="6.4.",$A$1="6.5.",$A$1="6.6."),'LKr Mask'!N59,""))</f>
        <v/>
      </c>
      <c r="O59" s="308" t="str">
        <f>IF(OR(Umse!$B$11="3.1.",Umse!$B$11="3.2.",Umse!$B$11="3.5.",Umse!$B$11="3.6.",Umse!$B$11="3.9.",Umse!$B$11="3.10.",Umse!$B$11="4.1.",Umse!$B$11="4.2.",Umse!$B$11="4.3.",Umse!$B$11="4.4.",Umse!$B$11="4.5.",Umse!$B$11="4.6."),'VKr Mask'!O59,IF(OR(Umse!$B$11="6.1.",Umse!$B$11="6.2.",Umse!$B$11="6.3.",Umse!$B$11="6.4.",$A$1="6.5.",$A$1="6.6."),'LKr Mask'!O59,""))</f>
        <v/>
      </c>
      <c r="P59" s="308" t="str">
        <f>IF(OR(Umse!$B$11="3.1.",Umse!$B$11="3.2.",Umse!$B$11="3.5.",Umse!$B$11="3.6.",Umse!$B$11="3.9.",Umse!$B$11="3.10.",Umse!$B$11="4.1.",Umse!$B$11="4.2.",Umse!$B$11="4.3.",Umse!$B$11="4.4.",Umse!$B$11="4.5.",Umse!$B$11="4.6."),'VKr Mask'!P59,IF(OR(Umse!$B$11="6.1.",Umse!$B$11="6.2.",Umse!$B$11="6.3.",Umse!$B$11="6.4.",$A$1="6.5.",$A$1="6.6."),'LKr Mask'!P59,""))</f>
        <v/>
      </c>
      <c r="Q59" s="308" t="str">
        <f>IF(OR(Umse!$B$11="3.1.",Umse!$B$11="3.2.",Umse!$B$11="3.5.",Umse!$B$11="3.6.",Umse!$B$11="3.9.",Umse!$B$11="3.10.",Umse!$B$11="4.1.",Umse!$B$11="4.2.",Umse!$B$11="4.3.",Umse!$B$11="4.4.",Umse!$B$11="4.5.",Umse!$B$11="4.6."),'VKr Mask'!Q59,IF(OR(Umse!$B$11="6.1.",Umse!$B$11="6.2.",Umse!$B$11="6.3.",Umse!$B$11="6.4.",$A$1="6.5.",$A$1="6.6."),'LKr Mask'!Q59,""))</f>
        <v/>
      </c>
      <c r="R59" s="308" t="str">
        <f>IF(OR(Umse!$B$11="3.1.",Umse!$B$11="3.2.",Umse!$B$11="3.5.",Umse!$B$11="3.6.",Umse!$B$11="3.9.",Umse!$B$11="3.10.",Umse!$B$11="4.1.",Umse!$B$11="4.2.",Umse!$B$11="4.3.",Umse!$B$11="4.4.",Umse!$B$11="4.5.",Umse!$B$11="4.6."),'VKr Mask'!R59,IF(OR(Umse!$B$11="6.1.",Umse!$B$11="6.2.",Umse!$B$11="6.3.",Umse!$B$11="6.4.",$A$1="6.5.",$A$1="6.6."),'LKr Mask'!R59,""))</f>
        <v/>
      </c>
    </row>
    <row r="60" spans="2:18" ht="11.25" customHeight="1">
      <c r="B60" s="306"/>
      <c r="C60" s="306"/>
      <c r="D60" s="308"/>
      <c r="E60" s="308"/>
      <c r="F60" s="308"/>
      <c r="G60" s="308"/>
      <c r="H60" s="308"/>
      <c r="I60" s="308"/>
      <c r="J60" s="307"/>
      <c r="K60" s="306" t="str">
        <f>IF(OR(Umse!$B$11="3.1.",Umse!$B$11="3.2.",Umse!$B$11="3.5.",Umse!$B$11="3.6.",Umse!$B$11="3.9.",Umse!$B$11="3.10.",Umse!$B$11="4.1.",Umse!$B$11="4.2.",Umse!$B$11="4.3.",Umse!$B$11="4.4.",Umse!$B$11="4.5.",Umse!$B$11="4.6."),'VKr Mask'!K60,IF(OR(Umse!$B$11="6.1.",Umse!$B$11="6.2.",Umse!$B$11="6.3.",Umse!$B$11="6.4.",$A$1="6.5.",$A$1="6.6."),'LKr Mask'!K60,""))</f>
        <v/>
      </c>
      <c r="L60" s="322" t="str">
        <f>IF(OR(Umse!$B$11="3.1.",Umse!$B$11="3.2.",Umse!$B$11="3.5.",Umse!$B$11="3.6.",Umse!$B$11="3.9.",Umse!$B$11="3.10.",Umse!$B$11="4.1.",Umse!$B$11="4.2.",Umse!$B$11="4.3.",Umse!$B$11="4.4.",Umse!$B$11="4.5.",Umse!$B$11="4.6."),'VKr Mask'!L60,IF(OR(Umse!$B$11="6.1.",Umse!$B$11="6.2.",Umse!$B$11="6.3.",Umse!$B$11="6.4.",$A$1="6.5.",$A$1="6.6."),'LKr Mask'!L60,""))</f>
        <v/>
      </c>
      <c r="M60" s="308" t="str">
        <f>IF(OR(Umse!$B$11="3.1.",Umse!$B$11="3.2.",Umse!$B$11="3.5.",Umse!$B$11="3.6.",Umse!$B$11="3.9.",Umse!$B$11="3.10.",Umse!$B$11="4.1.",Umse!$B$11="4.2.",Umse!$B$11="4.3.",Umse!$B$11="4.4.",Umse!$B$11="4.5.",Umse!$B$11="4.6."),'VKr Mask'!M60,IF(OR(Umse!$B$11="6.1.",Umse!$B$11="6.2.",Umse!$B$11="6.3.",Umse!$B$11="6.4.",$A$1="6.5.",$A$1="6.6."),'LKr Mask'!M60,""))</f>
        <v/>
      </c>
      <c r="N60" s="308" t="str">
        <f>IF(OR(Umse!$B$11="3.1.",Umse!$B$11="3.2.",Umse!$B$11="3.5.",Umse!$B$11="3.6.",Umse!$B$11="3.9.",Umse!$B$11="3.10.",Umse!$B$11="4.1.",Umse!$B$11="4.2.",Umse!$B$11="4.3.",Umse!$B$11="4.4.",Umse!$B$11="4.5.",Umse!$B$11="4.6."),'VKr Mask'!N60,IF(OR(Umse!$B$11="6.1.",Umse!$B$11="6.2.",Umse!$B$11="6.3.",Umse!$B$11="6.4.",$A$1="6.5.",$A$1="6.6."),'LKr Mask'!N60,""))</f>
        <v/>
      </c>
      <c r="O60" s="308" t="str">
        <f>IF(OR(Umse!$B$11="3.1.",Umse!$B$11="3.2.",Umse!$B$11="3.5.",Umse!$B$11="3.6.",Umse!$B$11="3.9.",Umse!$B$11="3.10.",Umse!$B$11="4.1.",Umse!$B$11="4.2.",Umse!$B$11="4.3.",Umse!$B$11="4.4.",Umse!$B$11="4.5.",Umse!$B$11="4.6."),'VKr Mask'!O60,IF(OR(Umse!$B$11="6.1.",Umse!$B$11="6.2.",Umse!$B$11="6.3.",Umse!$B$11="6.4.",$A$1="6.5.",$A$1="6.6."),'LKr Mask'!O60,""))</f>
        <v/>
      </c>
      <c r="P60" s="308" t="str">
        <f>IF(OR(Umse!$B$11="3.1.",Umse!$B$11="3.2.",Umse!$B$11="3.5.",Umse!$B$11="3.6.",Umse!$B$11="3.9.",Umse!$B$11="3.10.",Umse!$B$11="4.1.",Umse!$B$11="4.2.",Umse!$B$11="4.3.",Umse!$B$11="4.4.",Umse!$B$11="4.5.",Umse!$B$11="4.6."),'VKr Mask'!P60,IF(OR(Umse!$B$11="6.1.",Umse!$B$11="6.2.",Umse!$B$11="6.3.",Umse!$B$11="6.4.",$A$1="6.5.",$A$1="6.6."),'LKr Mask'!P60,""))</f>
        <v/>
      </c>
      <c r="Q60" s="308" t="str">
        <f>IF(OR(Umse!$B$11="3.1.",Umse!$B$11="3.2.",Umse!$B$11="3.5.",Umse!$B$11="3.6.",Umse!$B$11="3.9.",Umse!$B$11="3.10.",Umse!$B$11="4.1.",Umse!$B$11="4.2.",Umse!$B$11="4.3.",Umse!$B$11="4.4.",Umse!$B$11="4.5.",Umse!$B$11="4.6."),'VKr Mask'!Q60,IF(OR(Umse!$B$11="6.1.",Umse!$B$11="6.2.",Umse!$B$11="6.3.",Umse!$B$11="6.4.",$A$1="6.5.",$A$1="6.6."),'LKr Mask'!Q60,""))</f>
        <v/>
      </c>
      <c r="R60" s="308" t="str">
        <f>IF(OR(Umse!$B$11="3.1.",Umse!$B$11="3.2.",Umse!$B$11="3.5.",Umse!$B$11="3.6.",Umse!$B$11="3.9.",Umse!$B$11="3.10.",Umse!$B$11="4.1.",Umse!$B$11="4.2.",Umse!$B$11="4.3.",Umse!$B$11="4.4.",Umse!$B$11="4.5.",Umse!$B$11="4.6."),'VKr Mask'!R60,IF(OR(Umse!$B$11="6.1.",Umse!$B$11="6.2.",Umse!$B$11="6.3.",Umse!$B$11="6.4.",$A$1="6.5.",$A$1="6.6."),'LKr Mask'!R60,""))</f>
        <v/>
      </c>
    </row>
    <row r="61" spans="2:18" ht="11.25" customHeight="1">
      <c r="B61" s="306"/>
      <c r="C61" s="306"/>
      <c r="D61" s="308"/>
      <c r="E61" s="308"/>
      <c r="F61" s="308"/>
      <c r="G61" s="308"/>
      <c r="H61" s="308"/>
      <c r="I61" s="308"/>
      <c r="J61" s="307"/>
      <c r="K61" s="306"/>
      <c r="L61" s="306"/>
      <c r="M61" s="308"/>
      <c r="N61" s="308"/>
      <c r="O61" s="308"/>
      <c r="P61" s="308"/>
      <c r="Q61" s="308"/>
      <c r="R61" s="308"/>
    </row>
    <row r="62" spans="2:18" ht="11.25" customHeight="1">
      <c r="B62" s="306"/>
      <c r="C62" s="306"/>
      <c r="D62" s="308"/>
      <c r="E62" s="308"/>
      <c r="F62" s="308"/>
      <c r="G62" s="308"/>
      <c r="H62" s="308"/>
      <c r="I62" s="308"/>
      <c r="J62" s="307"/>
      <c r="K62" s="306"/>
      <c r="L62" s="306"/>
      <c r="M62" s="308"/>
      <c r="N62" s="308"/>
      <c r="O62" s="308"/>
      <c r="P62" s="308"/>
      <c r="Q62" s="308"/>
      <c r="R62" s="308"/>
    </row>
    <row r="63" spans="2:18" ht="11.25" customHeight="1">
      <c r="B63" s="306"/>
      <c r="C63" s="306"/>
      <c r="D63" s="308"/>
      <c r="E63" s="308"/>
      <c r="F63" s="308"/>
      <c r="G63" s="308"/>
      <c r="H63" s="308"/>
      <c r="I63" s="308"/>
      <c r="J63" s="307"/>
      <c r="K63" s="306"/>
      <c r="L63" s="306"/>
      <c r="M63" s="308"/>
      <c r="N63" s="308"/>
      <c r="O63" s="308"/>
      <c r="P63" s="308"/>
      <c r="Q63" s="308"/>
      <c r="R63" s="308"/>
    </row>
    <row r="64" spans="2:18" ht="11.25" customHeight="1">
      <c r="B64" s="306"/>
      <c r="C64" s="306"/>
      <c r="D64" s="308"/>
      <c r="E64" s="308"/>
      <c r="F64" s="308"/>
      <c r="G64" s="308"/>
      <c r="H64" s="308"/>
      <c r="I64" s="308"/>
      <c r="J64" s="307"/>
      <c r="K64" s="306"/>
      <c r="L64" s="306"/>
      <c r="M64" s="308"/>
      <c r="N64" s="308"/>
      <c r="O64" s="308"/>
      <c r="P64" s="308"/>
      <c r="Q64" s="308"/>
      <c r="R64" s="308"/>
    </row>
    <row r="65" spans="2:18" ht="11.25" customHeight="1">
      <c r="B65" s="306"/>
      <c r="C65" s="306"/>
      <c r="D65" s="308"/>
      <c r="E65" s="308"/>
      <c r="F65" s="308"/>
      <c r="G65" s="308"/>
      <c r="H65" s="308"/>
      <c r="I65" s="308"/>
      <c r="J65" s="307"/>
      <c r="K65" s="307"/>
      <c r="L65" s="307"/>
      <c r="M65" s="308"/>
      <c r="N65" s="308"/>
      <c r="O65" s="308"/>
      <c r="P65" s="308"/>
      <c r="Q65" s="308"/>
      <c r="R65" s="308"/>
    </row>
    <row r="66" spans="2:18" ht="11.25" customHeight="1">
      <c r="B66" s="307"/>
      <c r="C66" s="307"/>
      <c r="D66" s="316"/>
      <c r="E66" s="316"/>
      <c r="F66" s="316"/>
      <c r="G66" s="316"/>
      <c r="H66" s="316"/>
      <c r="I66" s="316"/>
      <c r="K66" s="307"/>
      <c r="L66" s="307"/>
      <c r="M66" s="317"/>
      <c r="N66" s="317"/>
      <c r="O66" s="317"/>
      <c r="P66" s="317"/>
      <c r="Q66" s="317"/>
      <c r="R66" s="317"/>
    </row>
    <row r="89" spans="1:18" ht="11.25" customHeight="1">
      <c r="A89" s="307"/>
      <c r="B89" s="307"/>
      <c r="C89" s="307"/>
      <c r="D89" s="307"/>
      <c r="E89" s="318"/>
      <c r="F89" s="307"/>
      <c r="G89" s="307"/>
      <c r="H89" s="307"/>
      <c r="I89" s="319"/>
      <c r="J89" s="307"/>
      <c r="K89" s="319"/>
      <c r="L89" s="319"/>
      <c r="M89" s="307"/>
      <c r="N89" s="307"/>
      <c r="O89" s="307"/>
      <c r="P89" s="307"/>
      <c r="Q89" s="307"/>
      <c r="R89" s="307"/>
    </row>
    <row r="90" spans="1:18" ht="11.25" customHeight="1">
      <c r="A90" s="307"/>
      <c r="B90" s="307"/>
      <c r="C90" s="307"/>
      <c r="D90" s="307"/>
      <c r="E90" s="318"/>
      <c r="F90" s="307"/>
      <c r="G90" s="307"/>
      <c r="H90" s="307"/>
      <c r="I90" s="319"/>
      <c r="J90" s="307"/>
      <c r="K90" s="319"/>
      <c r="L90" s="319"/>
      <c r="M90" s="307"/>
      <c r="N90" s="307"/>
      <c r="O90" s="307"/>
      <c r="P90" s="307"/>
      <c r="Q90" s="307"/>
      <c r="R90" s="307"/>
    </row>
    <row r="91" spans="1:18" ht="11.25" customHeight="1">
      <c r="A91" s="307"/>
      <c r="B91" s="307"/>
      <c r="C91" s="307"/>
      <c r="D91" s="307"/>
      <c r="E91" s="318"/>
      <c r="F91" s="307"/>
      <c r="G91" s="307"/>
      <c r="H91" s="307"/>
      <c r="I91" s="307"/>
      <c r="J91" s="307"/>
      <c r="K91" s="319"/>
      <c r="L91" s="319"/>
      <c r="M91" s="307"/>
      <c r="N91" s="307"/>
      <c r="O91" s="307"/>
      <c r="P91" s="307"/>
      <c r="Q91" s="307"/>
      <c r="R91" s="307"/>
    </row>
    <row r="92" spans="1:18" ht="11.25" customHeight="1">
      <c r="A92" s="320"/>
      <c r="B92" s="299"/>
      <c r="C92" s="299"/>
      <c r="D92" s="320"/>
      <c r="E92" s="321"/>
      <c r="F92" s="299"/>
      <c r="G92" s="299"/>
      <c r="H92" s="299"/>
      <c r="I92" s="299"/>
      <c r="J92" s="299"/>
      <c r="K92" s="309"/>
      <c r="L92" s="309"/>
      <c r="M92" s="299"/>
      <c r="N92" s="299"/>
      <c r="O92" s="299"/>
      <c r="P92" s="299"/>
      <c r="Q92" s="299"/>
      <c r="R92" s="299"/>
    </row>
    <row r="93" spans="1:18" ht="11.25" customHeight="1">
      <c r="A93" s="320"/>
      <c r="B93" s="299"/>
      <c r="C93" s="299"/>
      <c r="D93" s="320"/>
      <c r="E93" s="321"/>
      <c r="F93" s="299"/>
      <c r="G93" s="299"/>
      <c r="H93" s="299"/>
      <c r="I93" s="299"/>
      <c r="J93" s="299"/>
      <c r="K93" s="309"/>
      <c r="L93" s="309"/>
      <c r="M93" s="299"/>
      <c r="N93" s="299"/>
      <c r="O93" s="299"/>
      <c r="P93" s="299"/>
      <c r="Q93" s="299"/>
      <c r="R93" s="299"/>
    </row>
  </sheetData>
  <mergeCells count="24">
    <mergeCell ref="F36:F45"/>
    <mergeCell ref="B36:C45"/>
    <mergeCell ref="Q10:R10"/>
    <mergeCell ref="I36:I45"/>
    <mergeCell ref="K10:M10"/>
    <mergeCell ref="N10:P10"/>
    <mergeCell ref="Q45:R45"/>
    <mergeCell ref="H10:I10"/>
    <mergeCell ref="B2:D2"/>
    <mergeCell ref="E2:P2"/>
    <mergeCell ref="K4:P6"/>
    <mergeCell ref="F5:G5"/>
    <mergeCell ref="K36:R42"/>
    <mergeCell ref="E10:G10"/>
    <mergeCell ref="E35:G35"/>
    <mergeCell ref="B35:D35"/>
    <mergeCell ref="G36:G45"/>
    <mergeCell ref="H36:H45"/>
    <mergeCell ref="B10:D10"/>
    <mergeCell ref="N45:P45"/>
    <mergeCell ref="H35:I35"/>
    <mergeCell ref="K45:M45"/>
    <mergeCell ref="D36:D45"/>
    <mergeCell ref="E36:E45"/>
  </mergeCells>
  <conditionalFormatting sqref="B12:R28 B47:R63">
    <cfRule type="cellIs" dxfId="15" priority="1" stopIfTrue="1" operator="equal">
      <formula>0</formula>
    </cfRule>
    <cfRule type="cellIs" dxfId="14" priority="2" stopIfTrue="1" operator="equal">
      <formula>""</formula>
    </cfRule>
  </conditionalFormatting>
  <printOptions horizontalCentered="1" verticalCentered="1"/>
  <pageMargins left="0.39370078740157483" right="0.39370078740157483" top="0.19685039370078741" bottom="0.19685039370078741" header="0.51181102362204722" footer="0.51181102362204722"/>
  <pageSetup paperSize="9" scale="84" orientation="landscape" r:id="rId1"/>
  <headerFooter alignWithMargins="0">
    <oddFooter>&amp;L&amp;"Arial,Standard"&amp;4dbb
tarifunion
Entgelte
Version 1.1.
10.10.2007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theme="9" tint="-0.249977111117893"/>
    <pageSetUpPr autoPageBreaks="0"/>
  </sheetPr>
  <dimension ref="A1:AC93"/>
  <sheetViews>
    <sheetView showZeros="0" showOutlineSymbols="0" topLeftCell="A7" zoomScaleNormal="50" zoomScaleSheetLayoutView="50" workbookViewId="0">
      <selection activeCell="J55" sqref="J55"/>
    </sheetView>
  </sheetViews>
  <sheetFormatPr baseColWidth="10" defaultColWidth="10.7109375" defaultRowHeight="11.25" customHeight="1"/>
  <cols>
    <col min="1" max="1" width="10.7109375" style="287" customWidth="1"/>
    <col min="2" max="3" width="6.42578125" style="287" customWidth="1"/>
    <col min="4" max="9" width="10.7109375" style="287" customWidth="1"/>
    <col min="10" max="10" width="17.85546875" style="287" customWidth="1"/>
    <col min="11" max="12" width="6.42578125" style="287" customWidth="1"/>
    <col min="13" max="16384" width="10.7109375" style="287"/>
  </cols>
  <sheetData>
    <row r="1" spans="1:26" ht="11.25" customHeight="1">
      <c r="A1" s="287" t="str">
        <f>Umse!B11</f>
        <v>1.2.</v>
      </c>
    </row>
    <row r="2" spans="1:26" ht="15" customHeight="1">
      <c r="B2" s="663"/>
      <c r="C2" s="664"/>
      <c r="D2" s="664"/>
      <c r="E2" s="664"/>
      <c r="F2" s="664"/>
      <c r="G2" s="664"/>
      <c r="H2" s="664"/>
      <c r="I2" s="664"/>
      <c r="J2" s="664"/>
      <c r="K2" s="664"/>
      <c r="L2" s="664"/>
      <c r="M2" s="664"/>
      <c r="N2" s="664"/>
      <c r="O2" s="665"/>
      <c r="P2" s="665"/>
      <c r="Q2" s="288"/>
      <c r="R2" s="289"/>
    </row>
    <row r="3" spans="1:26" ht="3.75" customHeight="1"/>
    <row r="4" spans="1:26" ht="13.5" customHeight="1">
      <c r="D4" s="290"/>
      <c r="E4" s="291"/>
      <c r="H4" s="291"/>
      <c r="K4" s="666"/>
      <c r="L4" s="666"/>
      <c r="M4" s="666"/>
      <c r="N4" s="666"/>
      <c r="O4" s="666"/>
      <c r="P4" s="666"/>
    </row>
    <row r="5" spans="1:26" ht="13.5" customHeight="1">
      <c r="B5" s="292"/>
      <c r="C5" s="292"/>
      <c r="D5" s="293"/>
      <c r="E5" s="292"/>
      <c r="F5" s="667"/>
      <c r="G5" s="667"/>
      <c r="H5" s="293"/>
      <c r="I5" s="295"/>
      <c r="J5" s="296"/>
      <c r="K5" s="666"/>
      <c r="L5" s="666"/>
      <c r="M5" s="666"/>
      <c r="N5" s="666"/>
      <c r="O5" s="666"/>
      <c r="P5" s="666"/>
    </row>
    <row r="6" spans="1:26" ht="13.5" customHeight="1">
      <c r="I6" s="297"/>
      <c r="J6" s="298"/>
      <c r="K6" s="666"/>
      <c r="L6" s="666"/>
      <c r="M6" s="666"/>
      <c r="N6" s="666"/>
      <c r="O6" s="666"/>
      <c r="P6" s="666"/>
    </row>
    <row r="7" spans="1:26" s="299" customFormat="1" ht="3.75" customHeight="1">
      <c r="B7" s="300"/>
      <c r="C7" s="300"/>
      <c r="D7" s="301"/>
      <c r="E7" s="301"/>
      <c r="F7" s="301"/>
      <c r="G7" s="301"/>
      <c r="H7" s="301"/>
      <c r="I7" s="301"/>
      <c r="K7" s="302"/>
      <c r="L7" s="302"/>
      <c r="M7" s="303"/>
      <c r="N7" s="303"/>
      <c r="O7" s="303"/>
      <c r="P7" s="303"/>
      <c r="Q7" s="303"/>
      <c r="R7" s="303"/>
      <c r="U7" s="304"/>
      <c r="V7" s="304"/>
      <c r="W7" s="304"/>
      <c r="X7" s="304"/>
      <c r="Y7" s="304"/>
      <c r="Z7" s="304"/>
    </row>
    <row r="8" spans="1:26" s="299" customFormat="1" ht="3.75" customHeight="1">
      <c r="B8" s="301"/>
      <c r="C8" s="301"/>
      <c r="D8" s="301"/>
      <c r="E8" s="301"/>
      <c r="F8" s="301"/>
      <c r="G8" s="301"/>
      <c r="H8" s="301"/>
      <c r="I8" s="301"/>
      <c r="J8" s="305"/>
      <c r="K8" s="303"/>
      <c r="L8" s="303"/>
      <c r="M8" s="303"/>
      <c r="N8" s="303"/>
      <c r="O8" s="303"/>
      <c r="P8" s="303"/>
      <c r="Q8" s="303"/>
      <c r="R8" s="303"/>
      <c r="U8" s="304"/>
      <c r="V8" s="304"/>
      <c r="W8" s="304"/>
      <c r="X8" s="304"/>
      <c r="Y8" s="304"/>
      <c r="Z8" s="304"/>
    </row>
    <row r="9" spans="1:26" s="299" customFormat="1" ht="3.75" customHeight="1">
      <c r="B9" s="301"/>
      <c r="C9" s="301"/>
      <c r="D9" s="301"/>
      <c r="E9" s="301"/>
      <c r="F9" s="301"/>
      <c r="G9" s="301"/>
      <c r="H9" s="301"/>
      <c r="I9" s="301"/>
      <c r="J9" s="305"/>
      <c r="K9" s="303"/>
      <c r="L9" s="303"/>
      <c r="M9" s="303"/>
      <c r="N9" s="303"/>
      <c r="O9" s="303"/>
      <c r="P9" s="303"/>
      <c r="Q9" s="303"/>
      <c r="R9" s="303"/>
      <c r="U9" s="304"/>
      <c r="V9" s="304"/>
      <c r="W9" s="304"/>
      <c r="X9" s="304"/>
      <c r="Y9" s="304"/>
      <c r="Z9" s="304"/>
    </row>
    <row r="10" spans="1:26" ht="12.75" customHeight="1">
      <c r="B10" s="669" t="str">
        <f>K10</f>
        <v/>
      </c>
      <c r="C10" s="670"/>
      <c r="D10" s="670"/>
      <c r="E10" s="673" t="str">
        <f>IF(OR(Umse!$B$11="3.1.",Umse!$B$11="3.2.",Umse!$B$11="3.5.",Umse!$B$11="3.6.",Umse!$B$11="3.9.",Umse!$B$11="3.10."),'VKr-K Ist'!D1,IF(OR(Umse!$B$11="4.1.",Umse!$B$11="4.2.",Umse!$B$11="4.3.",Umse!$B$11="4.4.",Umse!$B$11="4.5.",Umse!$B$11="4.6."),'VKr-B Ist'!D1,""))</f>
        <v/>
      </c>
      <c r="F10" s="673"/>
      <c r="G10" s="673"/>
      <c r="H10" s="661" t="str">
        <f>IF(OR(Umse!$B$11="3.1.",Umse!$B$11="3.2.",Umse!$B$11="3.5.",Umse!$B$11="3.6.",Umse!$B$11="3.9.",Umse!$B$11="3.10."),Umse!B62,IF(OR(Umse!$B$11="4.1.",Umse!$B$11="4.2.",Umse!$B$11="4.3.",Umse!$B$11="4.4.",Umse!$B$11="4.5.",Umse!$B$11="4.6."),Umse!B62,""))</f>
        <v/>
      </c>
      <c r="I10" s="662"/>
      <c r="J10" s="294"/>
      <c r="K10" s="669" t="str">
        <f>IF(OR(Umse!$B$11="3.1.",Umse!$B$11="3.2.",Umse!$B$11="3.5.",Umse!$B$11="3.6.",Umse!$B$11="3.9.",Umse!$B$11="3.10."),'VKr-K Ist'!A2,IF(OR(Umse!$B$11="4.1.",Umse!$B$11="4.2.",Umse!$B$11="4.3.",Umse!$B$11="4.4.",Umse!$B$11="4.5.",Umse!$B$11="4.6."),'VKr-B Ist'!A2,""))</f>
        <v/>
      </c>
      <c r="L10" s="670"/>
      <c r="M10" s="670"/>
      <c r="N10" s="673" t="str">
        <f>IF(OR(Umse!$B$11="3.1.",Umse!$B$11="3.2.",Umse!$B$11="3.5.",Umse!$B$11="3.6.",Umse!$B$11="3.9.",Umse!$B$11="3.10."),'VKr-K Ist'!M1&amp;" "&amp;'VKr-K Ist'!Q1,IF(OR(Umse!$B$11="4.1.",Umse!$B$11="4.2.",Umse!$B$11="4.3.",Umse!$B$11="4.4.",Umse!$B$11="4.5.",Umse!$B$11="4.6."),'VKr-B Ist'!M1&amp;" "&amp;'VKr-B Ist'!Q1,""))</f>
        <v/>
      </c>
      <c r="O10" s="673"/>
      <c r="P10" s="673"/>
      <c r="Q10" s="661" t="str">
        <f>IF(OR(Umse!$B$11="3.1.",Umse!$B$11="3.2.",Umse!$B$11="3.5.",Umse!$B$11="3.6.",Umse!$B$11="3.9.",Umse!$B$11="3.10."),Umse!B36,IF(OR(Umse!$B$11="4.1.",Umse!$B$11="4.2.",Umse!$B$11="4.3.",Umse!$B$11="4.4.",Umse!$B$11="4.5.",Umse!$B$11="4.6."),Umse!B36,""))</f>
        <v/>
      </c>
      <c r="R10" s="662"/>
    </row>
    <row r="11" spans="1:26" ht="22.5" customHeight="1">
      <c r="B11" s="302" t="str">
        <f>K11</f>
        <v/>
      </c>
      <c r="C11" s="306"/>
      <c r="D11" s="306" t="str">
        <f t="shared" ref="D11:I11" si="0">M11</f>
        <v/>
      </c>
      <c r="E11" s="306" t="str">
        <f t="shared" si="0"/>
        <v/>
      </c>
      <c r="F11" s="306" t="str">
        <f t="shared" si="0"/>
        <v/>
      </c>
      <c r="G11" s="306" t="str">
        <f t="shared" si="0"/>
        <v/>
      </c>
      <c r="H11" s="306" t="str">
        <f t="shared" si="0"/>
        <v/>
      </c>
      <c r="I11" s="306" t="str">
        <f t="shared" si="0"/>
        <v/>
      </c>
      <c r="J11" s="307" t="str">
        <f>IF(OR(Umse!$B$11="3.1.",Umse!$B$11="3.2."),'VKr-K Ist'!J2,IF(OR(Umse!$B$11="4.1.",Umse!$B$11="4.2.",Umse!$B$11="4.3.",Umse!$B$11="4.4.",Umse!$B$11="4.5.",Umse!$B$11="4.6."),'VKr-B Ist'!J2,""))</f>
        <v/>
      </c>
      <c r="K11" s="302" t="str">
        <f>IF(OR(Umse!$C$24=0,Umse!$B$11=0),"",IF(OR(Umse!$B$11="3.1.",Umse!$B$11="3.2.",Umse!$B$11="3.5.",Umse!$B$11="3.6.",Umse!$B$11="3.9.",Umse!$B$11="3.10."),'VKr-K Ist'!K2,IF(OR(Umse!$B$11="4.1.",Umse!$B$11="4.2.",Umse!$B$11="4.3.",Umse!$B$11="4.4.",Umse!$B$11="4.5.",Umse!$B$11="4.6."),'VKr-B Ist'!K2,"")))</f>
        <v/>
      </c>
      <c r="L11" s="306"/>
      <c r="M11" s="306" t="str">
        <f>IF(OR(Umse!$C$24=0,Umse!$B$11=0),"",IF(OR(Umse!$B$11="3.1.",Umse!$B$11="3.2.",Umse!$B$11="3.5.",Umse!$B$11="3.6.",Umse!$B$11="3.9.",Umse!$B$11="3.10."),'VKr-K Ist'!M2,IF(OR(Umse!$B$11="4.1.",Umse!$B$11="4.2.",Umse!$B$11="4.3.",Umse!$B$11="4.4.",Umse!$B$11="4.5.",Umse!$B$11="4.6."),'VKr-B Ist'!M2,"")))</f>
        <v/>
      </c>
      <c r="N11" s="306" t="str">
        <f>IF(OR(Umse!$C$24=0,Umse!$B$11=0),"",IF(OR(Umse!$B$11="3.1.",Umse!$B$11="3.2.",Umse!$B$11="3.5.",Umse!$B$11="3.6.",Umse!$B$11="3.9.",Umse!$B$11="3.10."),'VKr-K Ist'!N2,IF(OR(Umse!$B$11="4.1.",Umse!$B$11="4.2.",Umse!$B$11="4.3.",Umse!$B$11="4.4.",Umse!$B$11="4.5.",Umse!$B$11="4.6."),'VKr-B Ist'!N2,"")))</f>
        <v/>
      </c>
      <c r="O11" s="306" t="str">
        <f>IF(OR(Umse!$C$24=0,Umse!$B$11=0),"",IF(OR(Umse!$B$11="3.1.",Umse!$B$11="3.2.",Umse!$B$11="3.5.",Umse!$B$11="3.6.",Umse!$B$11="3.9.",Umse!$B$11="3.10."),'VKr-K Ist'!O2,IF(OR(Umse!$B$11="4.1.",Umse!$B$11="4.2.",Umse!$B$11="4.3.",Umse!$B$11="4.4.",Umse!$B$11="4.5.",Umse!$B$11="4.6."),'VKr-B Ist'!O2,"")))</f>
        <v/>
      </c>
      <c r="P11" s="306" t="str">
        <f>IF(OR(Umse!$C$24=0,Umse!$B$11=0),"",IF(OR(Umse!$B$11="3.1.",Umse!$B$11="3.2.",Umse!$B$11="3.5.",Umse!$B$11="3.6.",Umse!$B$11="3.9.",Umse!$B$11="3.10."),'VKr-K Ist'!P2,IF(OR(Umse!$B$11="4.1.",Umse!$B$11="4.2.",Umse!$B$11="4.3.",Umse!$B$11="4.4.",Umse!$B$11="4.5.",Umse!$B$11="4.6."),'VKr-B Ist'!P2,"")))</f>
        <v/>
      </c>
      <c r="Q11" s="306" t="str">
        <f>IF(OR(Umse!$C$24=0,Umse!$B$11=0),"",IF(OR(Umse!$B$11="3.1.",Umse!$B$11="3.2.",Umse!$B$11="3.5.",Umse!$B$11="3.6.",Umse!$B$11="3.9.",Umse!$B$11="3.10."),'VKr-K Ist'!Q2,IF(OR(Umse!$B$11="4.1.",Umse!$B$11="4.2.",Umse!$B$11="4.3.",Umse!$B$11="4.4.",Umse!$B$11="4.5.",Umse!$B$11="4.6."),'VKr-B Ist'!Q2,"")))</f>
        <v/>
      </c>
      <c r="R11" s="306" t="str">
        <f>IF(OR(Umse!$C$24=0,Umse!$B$11=0),"",IF(OR(Umse!$B$11="3.1.",Umse!$B$11="3.2.",Umse!$B$11="3.5.",Umse!$B$11="3.6.",Umse!$B$11="3.9.",Umse!$B$11="3.10."),'VKr-K Ist'!R2,IF(OR(Umse!$B$11="4.1.",Umse!$B$11="4.2.",Umse!$B$11="4.3.",Umse!$B$11="4.4.",Umse!$B$11="4.5.",Umse!$B$11="4.6."),'VKr-B Ist'!R2,"")))</f>
        <v/>
      </c>
    </row>
    <row r="12" spans="1:26" ht="11.25" customHeight="1">
      <c r="B12" s="306" t="str">
        <f t="shared" ref="B12:C23" si="1">K12</f>
        <v/>
      </c>
      <c r="C12" s="322" t="str">
        <f t="shared" si="1"/>
        <v/>
      </c>
      <c r="D12" s="308">
        <f>IF(OR(Umse!$C$24=0,Umse!$B$11=0),0,IF(OR(Umse!$B$11="3.1.",Umse!$B$11="3.2.",Umse!$B$11="3.5.",Umse!$B$11="3.6.",Umse!$B$11="3.9.",Umse!$B$11="3.10."),'VKr-K Ist'!D3,IF(OR(Umse!$B$11="4.1.",Umse!$B$11="4.2.",Umse!$B$11="4.3.",Umse!$B$11="4.4.",Umse!$B$11="4.5.",Umse!$B$11="4.6."),'VKr-B Ist'!D3,0)))</f>
        <v>0</v>
      </c>
      <c r="E12" s="308">
        <f>IF(OR(Umse!$C$24=0,Umse!$B$11=0),0,IF(OR(Umse!$B$11="3.1.",Umse!$B$11="3.2.",Umse!$B$11="3.5.",Umse!$B$11="3.6.",Umse!$B$11="3.9.",Umse!$B$11="3.10."),'VKr-K Ist'!E3,IF(OR(Umse!$B$11="4.1.",Umse!$B$11="4.2.",Umse!$B$11="4.3.",Umse!$B$11="4.4.",Umse!$B$11="4.5.",Umse!$B$11="4.6."),'VKr-B Ist'!E3,0)))</f>
        <v>0</v>
      </c>
      <c r="F12" s="308">
        <f>IF(OR(Umse!$C$24=0,Umse!$B$11=0),0,IF(OR(Umse!$B$11="3.1.",Umse!$B$11="3.2.",Umse!$B$11="3.5.",Umse!$B$11="3.6.",Umse!$B$11="3.9.",Umse!$B$11="3.10."),'VKr-K Ist'!F3,IF(OR(Umse!$B$11="4.1.",Umse!$B$11="4.2.",Umse!$B$11="4.3.",Umse!$B$11="4.4.",Umse!$B$11="4.5.",Umse!$B$11="4.6."),'VKr-B Ist'!F3,0)))</f>
        <v>0</v>
      </c>
      <c r="G12" s="308">
        <f>IF(OR(Umse!$C$24=0,Umse!$B$11=0),0,IF(OR(Umse!$B$11="3.1.",Umse!$B$11="3.2.",Umse!$B$11="3.5.",Umse!$B$11="3.6.",Umse!$B$11="3.9.",Umse!$B$11="3.10."),'VKr-K Ist'!G3,IF(OR(Umse!$B$11="4.1.",Umse!$B$11="4.2.",Umse!$B$11="4.3.",Umse!$B$11="4.4.",Umse!$B$11="4.5.",Umse!$B$11="4.6."),'VKr-B Ist'!G3,0)))</f>
        <v>0</v>
      </c>
      <c r="H12" s="308">
        <f>IF(OR(Umse!$C$24=0,Umse!$B$11=0),0,IF(OR(Umse!$B$11="3.1.",Umse!$B$11="3.2.",Umse!$B$11="3.5.",Umse!$B$11="3.6.",Umse!$B$11="3.9.",Umse!$B$11="3.10."),'VKr-K Ist'!H3,IF(OR(Umse!$B$11="4.1.",Umse!$B$11="4.2.",Umse!$B$11="4.3.",Umse!$B$11="4.4.",Umse!$B$11="4.5.",Umse!$B$11="4.6."),'VKr-B Ist'!H3,0)))</f>
        <v>0</v>
      </c>
      <c r="I12" s="308">
        <f>IF(OR(Umse!$C$24=0,Umse!$B$11=0),0,IF(OR(Umse!$B$11="3.1.",Umse!$B$11="3.2.",Umse!$B$11="3.5.",Umse!$B$11="3.6.",Umse!$B$11="3.9.",Umse!$B$11="3.10."),'VKr-K Ist'!I3,IF(OR(Umse!$B$11="4.1.",Umse!$B$11="4.2.",Umse!$B$11="4.3.",Umse!$B$11="4.4.",Umse!$B$11="4.5.",Umse!$B$11="4.6."),'VKr-B Ist'!I3,0)))</f>
        <v>0</v>
      </c>
      <c r="J12" s="307" t="str">
        <f>IF(OR(Umse!$B$11="3.1.",Umse!$B$11="3.2."),'VKr-K Ist'!J3,IF(OR(Umse!$B$11="4.1.",Umse!$B$11="4.2.",Umse!$B$11="4.3.",Umse!$B$11="4.4.",Umse!$B$11="4.5.",Umse!$B$11="4.6."),'VKr-B Ist'!J3,""))</f>
        <v/>
      </c>
      <c r="K12" s="306" t="str">
        <f>IF(OR(Umse!$C$24=0,Umse!$B$11=0),"",IF(OR(Umse!$B$11="3.1.",Umse!$B$11="3.2.",Umse!$B$11="3.5.",Umse!$B$11="3.6.",Umse!$B$11="3.9.",Umse!$B$11="3.10."),'VKr-K Ist'!K3,IF(OR(Umse!$B$11="4.1.",Umse!$B$11="4.2.",Umse!$B$11="4.3.",Umse!$B$11="4.4.",Umse!$B$11="4.5.",Umse!$B$11="4.6."),'VKr-B Ist'!K3,"")))</f>
        <v/>
      </c>
      <c r="L12" s="322" t="str">
        <f>IF(OR(Umse!$C$24=0,Umse!$B$11=0),"",IF(OR(Umse!$B$11="3.1.",Umse!$B$11="3.2.",Umse!$B$11="3.5.",Umse!$B$11="3.6.",Umse!$B$11="3.9.",Umse!$B$11="3.10."),'VKr-K Ist'!L3,IF(OR(Umse!$B$11="4.1.",Umse!$B$11="4.2.",Umse!$B$11="4.3.",Umse!$B$11="4.4.",Umse!$B$11="4.5.",Umse!$B$11="4.6."),'VKr-B Ist'!L3,"")))</f>
        <v/>
      </c>
      <c r="M12" s="308">
        <f>IF(OR(Umse!$C$24=0,Umse!$B$11=0),0,IF(OR(Umse!$B$11="3.1.",Umse!$B$11="3.2.",Umse!$B$11="3.5.",Umse!$B$11="3.6.",Umse!$B$11="3.9.",Umse!$B$11="3.10."),'VKr-K Ist'!M3,IF(OR(Umse!$B$11="4.1.",Umse!$B$11="4.2.",Umse!$B$11="4.3.",Umse!$B$11="4.4.",Umse!$B$11="4.5.",Umse!$B$11="4.6."),'VKr-B Ist'!M3,0)))</f>
        <v>0</v>
      </c>
      <c r="N12" s="308">
        <f>IF(OR(Umse!$C$24=0,Umse!$B$11=0),0,IF(OR(Umse!$B$11="3.1.",Umse!$B$11="3.2.",Umse!$B$11="3.5.",Umse!$B$11="3.6.",Umse!$B$11="3.9.",Umse!$B$11="3.10."),'VKr-K Ist'!N3,IF(OR(Umse!$B$11="4.1.",Umse!$B$11="4.2.",Umse!$B$11="4.3.",Umse!$B$11="4.4.",Umse!$B$11="4.5.",Umse!$B$11="4.6."),'VKr-B Ist'!N3,0)))</f>
        <v>0</v>
      </c>
      <c r="O12" s="308">
        <f>IF(OR(Umse!$C$24=0,Umse!$B$11=0),0,IF(OR(Umse!$B$11="3.1.",Umse!$B$11="3.2.",Umse!$B$11="3.5.",Umse!$B$11="3.6.",Umse!$B$11="3.9.",Umse!$B$11="3.10."),'VKr-K Ist'!O3,IF(OR(Umse!$B$11="4.1.",Umse!$B$11="4.2.",Umse!$B$11="4.3.",Umse!$B$11="4.4.",Umse!$B$11="4.5.",Umse!$B$11="4.6."),'VKr-B Ist'!O3,0)))</f>
        <v>0</v>
      </c>
      <c r="P12" s="308">
        <f>IF(OR(Umse!$C$24=0,Umse!$B$11=0),0,IF(OR(Umse!$B$11="3.1.",Umse!$B$11="3.2.",Umse!$B$11="3.5.",Umse!$B$11="3.6.",Umse!$B$11="3.9.",Umse!$B$11="3.10."),'VKr-K Ist'!P3,IF(OR(Umse!$B$11="4.1.",Umse!$B$11="4.2.",Umse!$B$11="4.3.",Umse!$B$11="4.4.",Umse!$B$11="4.5.",Umse!$B$11="4.6."),'VKr-B Ist'!P3,0)))</f>
        <v>0</v>
      </c>
      <c r="Q12" s="308">
        <f>IF(OR(Umse!$C$24=0,Umse!$B$11=0),0,IF(OR(Umse!$B$11="3.1.",Umse!$B$11="3.2.",Umse!$B$11="3.5.",Umse!$B$11="3.6.",Umse!$B$11="3.9.",Umse!$B$11="3.10."),'VKr-K Ist'!Q3,IF(OR(Umse!$B$11="4.1.",Umse!$B$11="4.2.",Umse!$B$11="4.3.",Umse!$B$11="4.4.",Umse!$B$11="4.5.",Umse!$B$11="4.6."),'VKr-B Ist'!Q3,0)))</f>
        <v>0</v>
      </c>
      <c r="R12" s="308">
        <f>IF(OR(Umse!$C$24=0,Umse!$B$11=0),0,IF(OR(Umse!$B$11="3.1.",Umse!$B$11="3.2.",Umse!$B$11="3.5.",Umse!$B$11="3.6.",Umse!$B$11="3.9.",Umse!$B$11="3.10."),'VKr-K Ist'!R3,IF(OR(Umse!$B$11="4.1.",Umse!$B$11="4.2.",Umse!$B$11="4.3.",Umse!$B$11="4.4.",Umse!$B$11="4.5.",Umse!$B$11="4.6."),'VKr-B Ist'!R3,0)))</f>
        <v>0</v>
      </c>
    </row>
    <row r="13" spans="1:26" ht="11.25" customHeight="1">
      <c r="B13" s="306" t="str">
        <f t="shared" si="1"/>
        <v/>
      </c>
      <c r="C13" s="322" t="str">
        <f t="shared" si="1"/>
        <v/>
      </c>
      <c r="D13" s="308">
        <f>IF(OR(Umse!$C$24=0,Umse!$B$11=0),0,IF(OR(Umse!$B$11="3.1.",Umse!$B$11="3.2.",Umse!$B$11="3.5.",Umse!$B$11="3.6.",Umse!$B$11="3.9.",Umse!$B$11="3.10."),'VKr-K Ist'!D4,IF(OR(Umse!$B$11="4.1.",Umse!$B$11="4.2.",Umse!$B$11="4.3.",Umse!$B$11="4.4.",Umse!$B$11="4.5.",Umse!$B$11="4.6."),'VKr-B Ist'!D4,0)))</f>
        <v>0</v>
      </c>
      <c r="E13" s="308">
        <f>IF(OR(Umse!$C$24=0,Umse!$B$11=0),0,IF(OR(Umse!$B$11="3.1.",Umse!$B$11="3.2.",Umse!$B$11="3.5.",Umse!$B$11="3.6.",Umse!$B$11="3.9.",Umse!$B$11="3.10."),'VKr-K Ist'!E4,IF(OR(Umse!$B$11="4.1.",Umse!$B$11="4.2.",Umse!$B$11="4.3.",Umse!$B$11="4.4.",Umse!$B$11="4.5.",Umse!$B$11="4.6."),'VKr-B Ist'!E4,0)))</f>
        <v>0</v>
      </c>
      <c r="F13" s="308">
        <f>IF(OR(Umse!$C$24=0,Umse!$B$11=0),0,IF(OR(Umse!$B$11="3.1.",Umse!$B$11="3.2.",Umse!$B$11="3.5.",Umse!$B$11="3.6.",Umse!$B$11="3.9.",Umse!$B$11="3.10."),'VKr-K Ist'!F4,IF(OR(Umse!$B$11="4.1.",Umse!$B$11="4.2.",Umse!$B$11="4.3.",Umse!$B$11="4.4.",Umse!$B$11="4.5.",Umse!$B$11="4.6."),'VKr-B Ist'!F4,0)))</f>
        <v>0</v>
      </c>
      <c r="G13" s="308">
        <f>IF(OR(Umse!$C$24=0,Umse!$B$11=0),0,IF(OR(Umse!$B$11="3.1.",Umse!$B$11="3.2.",Umse!$B$11="3.5.",Umse!$B$11="3.6.",Umse!$B$11="3.9.",Umse!$B$11="3.10."),'VKr-K Ist'!G4,IF(OR(Umse!$B$11="4.1.",Umse!$B$11="4.2.",Umse!$B$11="4.3.",Umse!$B$11="4.4.",Umse!$B$11="4.5.",Umse!$B$11="4.6."),'VKr-B Ist'!G4,0)))</f>
        <v>0</v>
      </c>
      <c r="H13" s="308">
        <f>IF(OR(Umse!$C$24=0,Umse!$B$11=0),0,IF(OR(Umse!$B$11="3.1.",Umse!$B$11="3.2.",Umse!$B$11="3.5.",Umse!$B$11="3.6.",Umse!$B$11="3.9.",Umse!$B$11="3.10."),'VKr-K Ist'!H4,IF(OR(Umse!$B$11="4.1.",Umse!$B$11="4.2.",Umse!$B$11="4.3.",Umse!$B$11="4.4.",Umse!$B$11="4.5.",Umse!$B$11="4.6."),'VKr-B Ist'!H4,0)))</f>
        <v>0</v>
      </c>
      <c r="I13" s="308">
        <f>IF(OR(Umse!$C$24=0,Umse!$B$11=0),0,IF(OR(Umse!$B$11="3.1.",Umse!$B$11="3.2.",Umse!$B$11="3.5.",Umse!$B$11="3.6.",Umse!$B$11="3.9.",Umse!$B$11="3.10."),'VKr-K Ist'!I4,IF(OR(Umse!$B$11="4.1.",Umse!$B$11="4.2.",Umse!$B$11="4.3.",Umse!$B$11="4.4.",Umse!$B$11="4.5.",Umse!$B$11="4.6."),'VKr-B Ist'!I4,0)))</f>
        <v>0</v>
      </c>
      <c r="J13" s="307" t="str">
        <f>IF(OR(Umse!$B$11="3.1.",Umse!$B$11="3.2."),'VKr-K Ist'!J4,IF(OR(Umse!$B$11="4.1.",Umse!$B$11="4.2.",Umse!$B$11="4.3.",Umse!$B$11="4.4.",Umse!$B$11="4.5.",Umse!$B$11="4.6."),'VKr-B Ist'!J4,""))</f>
        <v/>
      </c>
      <c r="K13" s="306" t="str">
        <f>IF(OR(Umse!$C$24=0,Umse!$B$11=0),"",IF(OR(Umse!$B$11="3.1.",Umse!$B$11="3.2.",Umse!$B$11="3.5.",Umse!$B$11="3.6.",Umse!$B$11="3.9.",Umse!$B$11="3.10."),'VKr-K Ist'!K4,IF(OR(Umse!$B$11="4.1.",Umse!$B$11="4.2.",Umse!$B$11="4.3.",Umse!$B$11="4.4.",Umse!$B$11="4.5.",Umse!$B$11="4.6."),'VKr-B Ist'!K4,"")))</f>
        <v/>
      </c>
      <c r="L13" s="322" t="str">
        <f>IF(OR(Umse!$C$24=0,Umse!$B$11=0),"",IF(OR(Umse!$B$11="3.1.",Umse!$B$11="3.2.",Umse!$B$11="3.5.",Umse!$B$11="3.6.",Umse!$B$11="3.9.",Umse!$B$11="3.10."),'VKr-K Ist'!L4,IF(OR(Umse!$B$11="4.1.",Umse!$B$11="4.2.",Umse!$B$11="4.3.",Umse!$B$11="4.4.",Umse!$B$11="4.5.",Umse!$B$11="4.6."),'VKr-B Ist'!L4,"")))</f>
        <v/>
      </c>
      <c r="M13" s="308">
        <f>IF(OR(Umse!$C$24=0,Umse!$B$11=0),0,IF(OR(Umse!$B$11="3.1.",Umse!$B$11="3.2.",Umse!$B$11="3.5.",Umse!$B$11="3.6.",Umse!$B$11="3.9.",Umse!$B$11="3.10."),'VKr-K Ist'!M4,IF(OR(Umse!$B$11="4.1.",Umse!$B$11="4.2.",Umse!$B$11="4.3.",Umse!$B$11="4.4.",Umse!$B$11="4.5.",Umse!$B$11="4.6."),'VKr-B Ist'!M4,0)))</f>
        <v>0</v>
      </c>
      <c r="N13" s="308">
        <f>IF(OR(Umse!$C$24=0,Umse!$B$11=0),0,IF(OR(Umse!$B$11="3.1.",Umse!$B$11="3.2.",Umse!$B$11="3.5.",Umse!$B$11="3.6.",Umse!$B$11="3.9.",Umse!$B$11="3.10."),'VKr-K Ist'!N4,IF(OR(Umse!$B$11="4.1.",Umse!$B$11="4.2.",Umse!$B$11="4.3.",Umse!$B$11="4.4.",Umse!$B$11="4.5.",Umse!$B$11="4.6."),'VKr-B Ist'!N4,0)))</f>
        <v>0</v>
      </c>
      <c r="O13" s="308">
        <f>IF(OR(Umse!$C$24=0,Umse!$B$11=0),0,IF(OR(Umse!$B$11="3.1.",Umse!$B$11="3.2.",Umse!$B$11="3.5.",Umse!$B$11="3.6.",Umse!$B$11="3.9.",Umse!$B$11="3.10."),'VKr-K Ist'!O4,IF(OR(Umse!$B$11="4.1.",Umse!$B$11="4.2.",Umse!$B$11="4.3.",Umse!$B$11="4.4.",Umse!$B$11="4.5.",Umse!$B$11="4.6."),'VKr-B Ist'!O4,0)))</f>
        <v>0</v>
      </c>
      <c r="P13" s="308">
        <f>IF(OR(Umse!$C$24=0,Umse!$B$11=0),0,IF(OR(Umse!$B$11="3.1.",Umse!$B$11="3.2.",Umse!$B$11="3.5.",Umse!$B$11="3.6.",Umse!$B$11="3.9.",Umse!$B$11="3.10."),'VKr-K Ist'!P4,IF(OR(Umse!$B$11="4.1.",Umse!$B$11="4.2.",Umse!$B$11="4.3.",Umse!$B$11="4.4.",Umse!$B$11="4.5.",Umse!$B$11="4.6."),'VKr-B Ist'!P4,0)))</f>
        <v>0</v>
      </c>
      <c r="Q13" s="308">
        <f>IF(OR(Umse!$C$24=0,Umse!$B$11=0),0,IF(OR(Umse!$B$11="3.1.",Umse!$B$11="3.2.",Umse!$B$11="3.5.",Umse!$B$11="3.6.",Umse!$B$11="3.9.",Umse!$B$11="3.10."),'VKr-K Ist'!Q4,IF(OR(Umse!$B$11="4.1.",Umse!$B$11="4.2.",Umse!$B$11="4.3.",Umse!$B$11="4.4.",Umse!$B$11="4.5.",Umse!$B$11="4.6."),'VKr-B Ist'!Q4,0)))</f>
        <v>0</v>
      </c>
      <c r="R13" s="308">
        <f>IF(OR(Umse!$C$24=0,Umse!$B$11=0),0,IF(OR(Umse!$B$11="3.1.",Umse!$B$11="3.2.",Umse!$B$11="3.5.",Umse!$B$11="3.6.",Umse!$B$11="3.9.",Umse!$B$11="3.10."),'VKr-K Ist'!R4,IF(OR(Umse!$B$11="4.1.",Umse!$B$11="4.2.",Umse!$B$11="4.3.",Umse!$B$11="4.4.",Umse!$B$11="4.5.",Umse!$B$11="4.6."),'VKr-B Ist'!R4,0)))</f>
        <v>0</v>
      </c>
    </row>
    <row r="14" spans="1:26" ht="11.25" customHeight="1">
      <c r="B14" s="306" t="str">
        <f t="shared" si="1"/>
        <v/>
      </c>
      <c r="C14" s="322" t="str">
        <f t="shared" si="1"/>
        <v/>
      </c>
      <c r="D14" s="308">
        <f>IF(OR(Umse!$C$24=0,Umse!$B$11=0),0,IF(OR(Umse!$B$11="3.1.",Umse!$B$11="3.2.",Umse!$B$11="3.5.",Umse!$B$11="3.6.",Umse!$B$11="3.9.",Umse!$B$11="3.10."),'VKr-K Ist'!D5,IF(OR(Umse!$B$11="4.1.",Umse!$B$11="4.2.",Umse!$B$11="4.3.",Umse!$B$11="4.4.",Umse!$B$11="4.5.",Umse!$B$11="4.6."),'VKr-B Ist'!D5,0)))</f>
        <v>0</v>
      </c>
      <c r="E14" s="308">
        <f>IF(OR(Umse!$C$24=0,Umse!$B$11=0),0,IF(OR(Umse!$B$11="3.1.",Umse!$B$11="3.2.",Umse!$B$11="3.5.",Umse!$B$11="3.6.",Umse!$B$11="3.9.",Umse!$B$11="3.10."),'VKr-K Ist'!E5,IF(OR(Umse!$B$11="4.1.",Umse!$B$11="4.2.",Umse!$B$11="4.3.",Umse!$B$11="4.4.",Umse!$B$11="4.5.",Umse!$B$11="4.6."),'VKr-B Ist'!E5,0)))</f>
        <v>0</v>
      </c>
      <c r="F14" s="308">
        <f>IF(OR(Umse!$C$24=0,Umse!$B$11=0),0,IF(OR(Umse!$B$11="3.1.",Umse!$B$11="3.2.",Umse!$B$11="3.5.",Umse!$B$11="3.6.",Umse!$B$11="3.9.",Umse!$B$11="3.10."),'VKr-K Ist'!F5,IF(OR(Umse!$B$11="4.1.",Umse!$B$11="4.2.",Umse!$B$11="4.3.",Umse!$B$11="4.4.",Umse!$B$11="4.5.",Umse!$B$11="4.6."),'VKr-B Ist'!F5,0)))</f>
        <v>0</v>
      </c>
      <c r="G14" s="308">
        <f>IF(OR(Umse!$C$24=0,Umse!$B$11=0),0,IF(OR(Umse!$B$11="3.1.",Umse!$B$11="3.2.",Umse!$B$11="3.5.",Umse!$B$11="3.6.",Umse!$B$11="3.9.",Umse!$B$11="3.10."),'VKr-K Ist'!G5,IF(OR(Umse!$B$11="4.1.",Umse!$B$11="4.2.",Umse!$B$11="4.3.",Umse!$B$11="4.4.",Umse!$B$11="4.5.",Umse!$B$11="4.6."),'VKr-B Ist'!G5,0)))</f>
        <v>0</v>
      </c>
      <c r="H14" s="308">
        <f>IF(OR(Umse!$C$24=0,Umse!$B$11=0),0,IF(OR(Umse!$B$11="3.1.",Umse!$B$11="3.2.",Umse!$B$11="3.5.",Umse!$B$11="3.6.",Umse!$B$11="3.9.",Umse!$B$11="3.10."),'VKr-K Ist'!H5,IF(OR(Umse!$B$11="4.1.",Umse!$B$11="4.2.",Umse!$B$11="4.3.",Umse!$B$11="4.4.",Umse!$B$11="4.5.",Umse!$B$11="4.6."),'VKr-B Ist'!H5,0)))</f>
        <v>0</v>
      </c>
      <c r="I14" s="308">
        <f>IF(OR(Umse!$C$24=0,Umse!$B$11=0),0,IF(OR(Umse!$B$11="3.1.",Umse!$B$11="3.2.",Umse!$B$11="3.5.",Umse!$B$11="3.6.",Umse!$B$11="3.9.",Umse!$B$11="3.10."),'VKr-K Ist'!I5,IF(OR(Umse!$B$11="4.1.",Umse!$B$11="4.2.",Umse!$B$11="4.3.",Umse!$B$11="4.4.",Umse!$B$11="4.5.",Umse!$B$11="4.6."),'VKr-B Ist'!I5,0)))</f>
        <v>0</v>
      </c>
      <c r="J14" s="307" t="str">
        <f>IF(OR(Umse!$B$11="3.1.",Umse!$B$11="3.2."),'VKr-K Ist'!J5,IF(OR(Umse!$B$11="4.1.",Umse!$B$11="4.2.",Umse!$B$11="4.3.",Umse!$B$11="4.4.",Umse!$B$11="4.5.",Umse!$B$11="4.6."),'VKr-B Ist'!J5,""))</f>
        <v/>
      </c>
      <c r="K14" s="306" t="str">
        <f>IF(OR(Umse!$C$24=0,Umse!$B$11=0),"",IF(OR(Umse!$B$11="3.1.",Umse!$B$11="3.2.",Umse!$B$11="3.5.",Umse!$B$11="3.6.",Umse!$B$11="3.9.",Umse!$B$11="3.10."),'VKr-K Ist'!K5,IF(OR(Umse!$B$11="4.1.",Umse!$B$11="4.2.",Umse!$B$11="4.3.",Umse!$B$11="4.4.",Umse!$B$11="4.5.",Umse!$B$11="4.6."),'VKr-B Ist'!K5,"")))</f>
        <v/>
      </c>
      <c r="L14" s="322" t="str">
        <f>IF(OR(Umse!$C$24=0,Umse!$B$11=0),"",IF(OR(Umse!$B$11="3.1.",Umse!$B$11="3.2.",Umse!$B$11="3.5.",Umse!$B$11="3.6.",Umse!$B$11="3.9.",Umse!$B$11="3.10."),'VKr-K Ist'!L5,IF(OR(Umse!$B$11="4.1.",Umse!$B$11="4.2.",Umse!$B$11="4.3.",Umse!$B$11="4.4.",Umse!$B$11="4.5.",Umse!$B$11="4.6."),'VKr-B Ist'!L5,"")))</f>
        <v/>
      </c>
      <c r="M14" s="308">
        <f>IF(OR(Umse!$C$24=0,Umse!$B$11=0),0,IF(OR(Umse!$B$11="3.1.",Umse!$B$11="3.2.",Umse!$B$11="3.5.",Umse!$B$11="3.6.",Umse!$B$11="3.9.",Umse!$B$11="3.10."),'VKr-K Ist'!M5,IF(OR(Umse!$B$11="4.1.",Umse!$B$11="4.2.",Umse!$B$11="4.3.",Umse!$B$11="4.4.",Umse!$B$11="4.5.",Umse!$B$11="4.6."),'VKr-B Ist'!M5,0)))</f>
        <v>0</v>
      </c>
      <c r="N14" s="308">
        <f>IF(OR(Umse!$C$24=0,Umse!$B$11=0),0,IF(OR(Umse!$B$11="3.1.",Umse!$B$11="3.2.",Umse!$B$11="3.5.",Umse!$B$11="3.6.",Umse!$B$11="3.9.",Umse!$B$11="3.10."),'VKr-K Ist'!N5,IF(OR(Umse!$B$11="4.1.",Umse!$B$11="4.2.",Umse!$B$11="4.3.",Umse!$B$11="4.4.",Umse!$B$11="4.5.",Umse!$B$11="4.6."),'VKr-B Ist'!N5,0)))</f>
        <v>0</v>
      </c>
      <c r="O14" s="308">
        <f>IF(OR(Umse!$C$24=0,Umse!$B$11=0),0,IF(OR(Umse!$B$11="3.1.",Umse!$B$11="3.2.",Umse!$B$11="3.5.",Umse!$B$11="3.6.",Umse!$B$11="3.9.",Umse!$B$11="3.10."),'VKr-K Ist'!O5,IF(OR(Umse!$B$11="4.1.",Umse!$B$11="4.2.",Umse!$B$11="4.3.",Umse!$B$11="4.4.",Umse!$B$11="4.5.",Umse!$B$11="4.6."),'VKr-B Ist'!O5,0)))</f>
        <v>0</v>
      </c>
      <c r="P14" s="308">
        <f>IF(OR(Umse!$C$24=0,Umse!$B$11=0),0,IF(OR(Umse!$B$11="3.1.",Umse!$B$11="3.2.",Umse!$B$11="3.5.",Umse!$B$11="3.6.",Umse!$B$11="3.9.",Umse!$B$11="3.10."),'VKr-K Ist'!P5,IF(OR(Umse!$B$11="4.1.",Umse!$B$11="4.2.",Umse!$B$11="4.3.",Umse!$B$11="4.4.",Umse!$B$11="4.5.",Umse!$B$11="4.6."),'VKr-B Ist'!P5,0)))</f>
        <v>0</v>
      </c>
      <c r="Q14" s="308">
        <f>IF(OR(Umse!$C$24=0,Umse!$B$11=0),0,IF(OR(Umse!$B$11="3.1.",Umse!$B$11="3.2.",Umse!$B$11="3.5.",Umse!$B$11="3.6.",Umse!$B$11="3.9.",Umse!$B$11="3.10."),'VKr-K Ist'!Q5,IF(OR(Umse!$B$11="4.1.",Umse!$B$11="4.2.",Umse!$B$11="4.3.",Umse!$B$11="4.4.",Umse!$B$11="4.5.",Umse!$B$11="4.6."),'VKr-B Ist'!Q5,0)))</f>
        <v>0</v>
      </c>
      <c r="R14" s="308">
        <f>IF(OR(Umse!$C$24=0,Umse!$B$11=0),0,IF(OR(Umse!$B$11="3.1.",Umse!$B$11="3.2.",Umse!$B$11="3.5.",Umse!$B$11="3.6.",Umse!$B$11="3.9.",Umse!$B$11="3.10."),'VKr-K Ist'!R5,IF(OR(Umse!$B$11="4.1.",Umse!$B$11="4.2.",Umse!$B$11="4.3.",Umse!$B$11="4.4.",Umse!$B$11="4.5.",Umse!$B$11="4.6."),'VKr-B Ist'!R5,0)))</f>
        <v>0</v>
      </c>
    </row>
    <row r="15" spans="1:26" ht="11.25" customHeight="1">
      <c r="B15" s="306" t="str">
        <f t="shared" si="1"/>
        <v/>
      </c>
      <c r="C15" s="322" t="str">
        <f t="shared" si="1"/>
        <v/>
      </c>
      <c r="D15" s="308">
        <f>IF(OR(Umse!$C$24=0,Umse!$B$11=0),0,IF(OR(Umse!$B$11="3.1.",Umse!$B$11="3.2.",Umse!$B$11="3.5.",Umse!$B$11="3.6.",Umse!$B$11="3.9.",Umse!$B$11="3.10."),'VKr-K Ist'!D6,IF(OR(Umse!$B$11="4.1.",Umse!$B$11="4.2.",Umse!$B$11="4.3.",Umse!$B$11="4.4.",Umse!$B$11="4.5.",Umse!$B$11="4.6."),'VKr-B Ist'!D6,0)))</f>
        <v>0</v>
      </c>
      <c r="E15" s="308">
        <f>IF(OR(Umse!$C$24=0,Umse!$B$11=0),0,IF(OR(Umse!$B$11="3.1.",Umse!$B$11="3.2.",Umse!$B$11="3.5.",Umse!$B$11="3.6.",Umse!$B$11="3.9.",Umse!$B$11="3.10."),'VKr-K Ist'!E6,IF(OR(Umse!$B$11="4.1.",Umse!$B$11="4.2.",Umse!$B$11="4.3.",Umse!$B$11="4.4.",Umse!$B$11="4.5.",Umse!$B$11="4.6."),'VKr-B Ist'!E6,0)))</f>
        <v>0</v>
      </c>
      <c r="F15" s="308">
        <f>IF(OR(Umse!$C$24=0,Umse!$B$11=0),0,IF(OR(Umse!$B$11="3.1.",Umse!$B$11="3.2.",Umse!$B$11="3.5.",Umse!$B$11="3.6.",Umse!$B$11="3.9.",Umse!$B$11="3.10."),'VKr-K Ist'!F6,IF(OR(Umse!$B$11="4.1.",Umse!$B$11="4.2.",Umse!$B$11="4.3.",Umse!$B$11="4.4.",Umse!$B$11="4.5.",Umse!$B$11="4.6."),'VKr-B Ist'!F6,0)))</f>
        <v>0</v>
      </c>
      <c r="G15" s="308">
        <f>IF(OR(Umse!$C$24=0,Umse!$B$11=0),0,IF(OR(Umse!$B$11="3.1.",Umse!$B$11="3.2.",Umse!$B$11="3.5.",Umse!$B$11="3.6.",Umse!$B$11="3.9.",Umse!$B$11="3.10."),'VKr-K Ist'!G6,IF(OR(Umse!$B$11="4.1.",Umse!$B$11="4.2.",Umse!$B$11="4.3.",Umse!$B$11="4.4.",Umse!$B$11="4.5.",Umse!$B$11="4.6."),'VKr-B Ist'!G6,0)))</f>
        <v>0</v>
      </c>
      <c r="H15" s="308">
        <f>IF(OR(Umse!$C$24=0,Umse!$B$11=0),0,IF(OR(Umse!$B$11="3.1.",Umse!$B$11="3.2.",Umse!$B$11="3.5.",Umse!$B$11="3.6.",Umse!$B$11="3.9.",Umse!$B$11="3.10."),'VKr-K Ist'!H6,IF(OR(Umse!$B$11="4.1.",Umse!$B$11="4.2.",Umse!$B$11="4.3.",Umse!$B$11="4.4.",Umse!$B$11="4.5.",Umse!$B$11="4.6."),'VKr-B Ist'!H6,0)))</f>
        <v>0</v>
      </c>
      <c r="I15" s="308">
        <f>IF(OR(Umse!$C$24=0,Umse!$B$11=0),0,IF(OR(Umse!$B$11="3.1.",Umse!$B$11="3.2.",Umse!$B$11="3.5.",Umse!$B$11="3.6.",Umse!$B$11="3.9.",Umse!$B$11="3.10."),'VKr-K Ist'!I6,IF(OR(Umse!$B$11="4.1.",Umse!$B$11="4.2.",Umse!$B$11="4.3.",Umse!$B$11="4.4.",Umse!$B$11="4.5.",Umse!$B$11="4.6."),'VKr-B Ist'!I6,0)))</f>
        <v>0</v>
      </c>
      <c r="J15" s="307" t="str">
        <f>IF(OR(Umse!$B$11="3.1.",Umse!$B$11="3.2."),'VKr-K Ist'!J6,IF(OR(Umse!$B$11="4.1.",Umse!$B$11="4.2.",Umse!$B$11="4.3.",Umse!$B$11="4.4.",Umse!$B$11="4.5.",Umse!$B$11="4.6."),'VKr-B Ist'!J6,""))</f>
        <v/>
      </c>
      <c r="K15" s="306" t="str">
        <f>IF(OR(Umse!$C$24=0,Umse!$B$11=0),"",IF(OR(Umse!$B$11="3.1.",Umse!$B$11="3.2.",Umse!$B$11="3.5.",Umse!$B$11="3.6.",Umse!$B$11="3.9.",Umse!$B$11="3.10."),'VKr-K Ist'!K6,IF(OR(Umse!$B$11="4.1.",Umse!$B$11="4.2.",Umse!$B$11="4.3.",Umse!$B$11="4.4.",Umse!$B$11="4.5.",Umse!$B$11="4.6."),'VKr-B Ist'!K6,"")))</f>
        <v/>
      </c>
      <c r="L15" s="322" t="str">
        <f>IF(OR(Umse!$C$24=0,Umse!$B$11=0),"",IF(OR(Umse!$B$11="3.1.",Umse!$B$11="3.2.",Umse!$B$11="3.5.",Umse!$B$11="3.6.",Umse!$B$11="3.9.",Umse!$B$11="3.10."),'VKr-K Ist'!L6,IF(OR(Umse!$B$11="4.1.",Umse!$B$11="4.2.",Umse!$B$11="4.3.",Umse!$B$11="4.4.",Umse!$B$11="4.5.",Umse!$B$11="4.6."),'VKr-B Ist'!L6,"")))</f>
        <v/>
      </c>
      <c r="M15" s="308">
        <f>IF(OR(Umse!$C$24=0,Umse!$B$11=0),0,IF(OR(Umse!$B$11="3.1.",Umse!$B$11="3.2.",Umse!$B$11="3.5.",Umse!$B$11="3.6.",Umse!$B$11="3.9.",Umse!$B$11="3.10."),'VKr-K Ist'!M6,IF(OR(Umse!$B$11="4.1.",Umse!$B$11="4.2.",Umse!$B$11="4.3.",Umse!$B$11="4.4.",Umse!$B$11="4.5.",Umse!$B$11="4.6."),'VKr-B Ist'!M6,0)))</f>
        <v>0</v>
      </c>
      <c r="N15" s="308">
        <f>IF(OR(Umse!$C$24=0,Umse!$B$11=0),0,IF(OR(Umse!$B$11="3.1.",Umse!$B$11="3.2.",Umse!$B$11="3.5.",Umse!$B$11="3.6.",Umse!$B$11="3.9.",Umse!$B$11="3.10."),'VKr-K Ist'!N6,IF(OR(Umse!$B$11="4.1.",Umse!$B$11="4.2.",Umse!$B$11="4.3.",Umse!$B$11="4.4.",Umse!$B$11="4.5.",Umse!$B$11="4.6."),'VKr-B Ist'!N6,0)))</f>
        <v>0</v>
      </c>
      <c r="O15" s="308">
        <f>IF(OR(Umse!$C$24=0,Umse!$B$11=0),0,IF(OR(Umse!$B$11="3.1.",Umse!$B$11="3.2.",Umse!$B$11="3.5.",Umse!$B$11="3.6.",Umse!$B$11="3.9.",Umse!$B$11="3.10."),'VKr-K Ist'!O6,IF(OR(Umse!$B$11="4.1.",Umse!$B$11="4.2.",Umse!$B$11="4.3.",Umse!$B$11="4.4.",Umse!$B$11="4.5.",Umse!$B$11="4.6."),'VKr-B Ist'!O6,0)))</f>
        <v>0</v>
      </c>
      <c r="P15" s="308">
        <f>IF(OR(Umse!$C$24=0,Umse!$B$11=0),0,IF(OR(Umse!$B$11="3.1.",Umse!$B$11="3.2.",Umse!$B$11="3.5.",Umse!$B$11="3.6.",Umse!$B$11="3.9.",Umse!$B$11="3.10."),'VKr-K Ist'!P6,IF(OR(Umse!$B$11="4.1.",Umse!$B$11="4.2.",Umse!$B$11="4.3.",Umse!$B$11="4.4.",Umse!$B$11="4.5.",Umse!$B$11="4.6."),'VKr-B Ist'!P6,0)))</f>
        <v>0</v>
      </c>
      <c r="Q15" s="308">
        <f>IF(OR(Umse!$C$24=0,Umse!$B$11=0),0,IF(OR(Umse!$B$11="3.1.",Umse!$B$11="3.2.",Umse!$B$11="3.5.",Umse!$B$11="3.6.",Umse!$B$11="3.9.",Umse!$B$11="3.10."),'VKr-K Ist'!Q6,IF(OR(Umse!$B$11="4.1.",Umse!$B$11="4.2.",Umse!$B$11="4.3.",Umse!$B$11="4.4.",Umse!$B$11="4.5.",Umse!$B$11="4.6."),'VKr-B Ist'!Q6,0)))</f>
        <v>0</v>
      </c>
      <c r="R15" s="308">
        <f>IF(OR(Umse!$C$24=0,Umse!$B$11=0),0,IF(OR(Umse!$B$11="3.1.",Umse!$B$11="3.2.",Umse!$B$11="3.5.",Umse!$B$11="3.6.",Umse!$B$11="3.9.",Umse!$B$11="3.10."),'VKr-K Ist'!R6,IF(OR(Umse!$B$11="4.1.",Umse!$B$11="4.2.",Umse!$B$11="4.3.",Umse!$B$11="4.4.",Umse!$B$11="4.5.",Umse!$B$11="4.6."),'VKr-B Ist'!R6,0)))</f>
        <v>0</v>
      </c>
    </row>
    <row r="16" spans="1:26" ht="11.25" customHeight="1">
      <c r="B16" s="306" t="str">
        <f t="shared" si="1"/>
        <v/>
      </c>
      <c r="C16" s="322" t="str">
        <f t="shared" si="1"/>
        <v/>
      </c>
      <c r="D16" s="308">
        <f>IF(OR(Umse!$C$24=0,Umse!$B$11=0),0,IF(OR(Umse!$B$11="3.1.",Umse!$B$11="3.2.",Umse!$B$11="3.5.",Umse!$B$11="3.6.",Umse!$B$11="3.9.",Umse!$B$11="3.10."),'VKr-K Ist'!D7,IF(OR(Umse!$B$11="4.1.",Umse!$B$11="4.2.",Umse!$B$11="4.3.",Umse!$B$11="4.4.",Umse!$B$11="4.5.",Umse!$B$11="4.6."),'VKr-B Ist'!D7,0)))</f>
        <v>0</v>
      </c>
      <c r="E16" s="308">
        <f>IF(OR(Umse!$C$24=0,Umse!$B$11=0),0,IF(OR(Umse!$B$11="3.1.",Umse!$B$11="3.2.",Umse!$B$11="3.5.",Umse!$B$11="3.6.",Umse!$B$11="3.9.",Umse!$B$11="3.10."),'VKr-K Ist'!E7,IF(OR(Umse!$B$11="4.1.",Umse!$B$11="4.2.",Umse!$B$11="4.3.",Umse!$B$11="4.4.",Umse!$B$11="4.5.",Umse!$B$11="4.6."),'VKr-B Ist'!E7,0)))</f>
        <v>0</v>
      </c>
      <c r="F16" s="308">
        <f>IF(OR(Umse!$C$24=0,Umse!$B$11=0),0,IF(OR(Umse!$B$11="3.1.",Umse!$B$11="3.2.",Umse!$B$11="3.5.",Umse!$B$11="3.6.",Umse!$B$11="3.9.",Umse!$B$11="3.10."),'VKr-K Ist'!F7,IF(OR(Umse!$B$11="4.1.",Umse!$B$11="4.2.",Umse!$B$11="4.3.",Umse!$B$11="4.4.",Umse!$B$11="4.5.",Umse!$B$11="4.6."),'VKr-B Ist'!F7,0)))</f>
        <v>0</v>
      </c>
      <c r="G16" s="308">
        <f>IF(OR(Umse!$C$24=0,Umse!$B$11=0),0,IF(OR(Umse!$B$11="3.1.",Umse!$B$11="3.2.",Umse!$B$11="3.5.",Umse!$B$11="3.6.",Umse!$B$11="3.9.",Umse!$B$11="3.10."),'VKr-K Ist'!G7,IF(OR(Umse!$B$11="4.1.",Umse!$B$11="4.2.",Umse!$B$11="4.3.",Umse!$B$11="4.4.",Umse!$B$11="4.5.",Umse!$B$11="4.6."),'VKr-B Ist'!G7,0)))</f>
        <v>0</v>
      </c>
      <c r="H16" s="308">
        <f>IF(OR(Umse!$C$24=0,Umse!$B$11=0),0,IF(OR(Umse!$B$11="3.1.",Umse!$B$11="3.2.",Umse!$B$11="3.5.",Umse!$B$11="3.6.",Umse!$B$11="3.9.",Umse!$B$11="3.10."),'VKr-K Ist'!H7,IF(OR(Umse!$B$11="4.1.",Umse!$B$11="4.2.",Umse!$B$11="4.3.",Umse!$B$11="4.4.",Umse!$B$11="4.5.",Umse!$B$11="4.6."),'VKr-B Ist'!H7,0)))</f>
        <v>0</v>
      </c>
      <c r="I16" s="308">
        <f>IF(OR(Umse!$C$24=0,Umse!$B$11=0),0,IF(OR(Umse!$B$11="3.1.",Umse!$B$11="3.2.",Umse!$B$11="3.5.",Umse!$B$11="3.6.",Umse!$B$11="3.9.",Umse!$B$11="3.10."),'VKr-K Ist'!I7,IF(OR(Umse!$B$11="4.1.",Umse!$B$11="4.2.",Umse!$B$11="4.3.",Umse!$B$11="4.4.",Umse!$B$11="4.5.",Umse!$B$11="4.6."),'VKr-B Ist'!I7,0)))</f>
        <v>0</v>
      </c>
      <c r="J16" s="307" t="str">
        <f>IF(OR(Umse!$B$11="3.1.",Umse!$B$11="3.2."),'VKr-K Ist'!J7,IF(OR(Umse!$B$11="4.1.",Umse!$B$11="4.2.",Umse!$B$11="4.3.",Umse!$B$11="4.4.",Umse!$B$11="4.5.",Umse!$B$11="4.6."),'VKr-B Ist'!J7,""))</f>
        <v/>
      </c>
      <c r="K16" s="306" t="str">
        <f>IF(OR(Umse!$C$24=0,Umse!$B$11=0),"",IF(OR(Umse!$B$11="3.1.",Umse!$B$11="3.2.",Umse!$B$11="3.5.",Umse!$B$11="3.6.",Umse!$B$11="3.9.",Umse!$B$11="3.10."),'VKr-K Ist'!K7,IF(OR(Umse!$B$11="4.1.",Umse!$B$11="4.2.",Umse!$B$11="4.3.",Umse!$B$11="4.4.",Umse!$B$11="4.5.",Umse!$B$11="4.6."),'VKr-B Ist'!K7,"")))</f>
        <v/>
      </c>
      <c r="L16" s="322" t="str">
        <f>IF(OR(Umse!$C$24=0,Umse!$B$11=0),"",IF(OR(Umse!$B$11="3.1.",Umse!$B$11="3.2.",Umse!$B$11="3.5.",Umse!$B$11="3.6.",Umse!$B$11="3.9.",Umse!$B$11="3.10."),'VKr-K Ist'!L7,IF(OR(Umse!$B$11="4.1.",Umse!$B$11="4.2.",Umse!$B$11="4.3.",Umse!$B$11="4.4.",Umse!$B$11="4.5.",Umse!$B$11="4.6."),'VKr-B Ist'!L7,"")))</f>
        <v/>
      </c>
      <c r="M16" s="308">
        <f>IF(OR(Umse!$C$24=0,Umse!$B$11=0),0,IF(OR(Umse!$B$11="3.1.",Umse!$B$11="3.2.",Umse!$B$11="3.5.",Umse!$B$11="3.6.",Umse!$B$11="3.9.",Umse!$B$11="3.10."),'VKr-K Ist'!M7,IF(OR(Umse!$B$11="4.1.",Umse!$B$11="4.2.",Umse!$B$11="4.3.",Umse!$B$11="4.4.",Umse!$B$11="4.5.",Umse!$B$11="4.6."),'VKr-B Ist'!M7,0)))</f>
        <v>0</v>
      </c>
      <c r="N16" s="308">
        <f>IF(OR(Umse!$C$24=0,Umse!$B$11=0),0,IF(OR(Umse!$B$11="3.1.",Umse!$B$11="3.2.",Umse!$B$11="3.5.",Umse!$B$11="3.6.",Umse!$B$11="3.9.",Umse!$B$11="3.10."),'VKr-K Ist'!N7,IF(OR(Umse!$B$11="4.1.",Umse!$B$11="4.2.",Umse!$B$11="4.3.",Umse!$B$11="4.4.",Umse!$B$11="4.5.",Umse!$B$11="4.6."),'VKr-B Ist'!N7,0)))</f>
        <v>0</v>
      </c>
      <c r="O16" s="308">
        <f>IF(OR(Umse!$C$24=0,Umse!$B$11=0),0,IF(OR(Umse!$B$11="3.1.",Umse!$B$11="3.2.",Umse!$B$11="3.5.",Umse!$B$11="3.6.",Umse!$B$11="3.9.",Umse!$B$11="3.10."),'VKr-K Ist'!O7,IF(OR(Umse!$B$11="4.1.",Umse!$B$11="4.2.",Umse!$B$11="4.3.",Umse!$B$11="4.4.",Umse!$B$11="4.5.",Umse!$B$11="4.6."),'VKr-B Ist'!O7,0)))</f>
        <v>0</v>
      </c>
      <c r="P16" s="308">
        <f>IF(OR(Umse!$C$24=0,Umse!$B$11=0),0,IF(OR(Umse!$B$11="3.1.",Umse!$B$11="3.2.",Umse!$B$11="3.5.",Umse!$B$11="3.6.",Umse!$B$11="3.9.",Umse!$B$11="3.10."),'VKr-K Ist'!P7,IF(OR(Umse!$B$11="4.1.",Umse!$B$11="4.2.",Umse!$B$11="4.3.",Umse!$B$11="4.4.",Umse!$B$11="4.5.",Umse!$B$11="4.6."),'VKr-B Ist'!P7,0)))</f>
        <v>0</v>
      </c>
      <c r="Q16" s="308">
        <f>IF(OR(Umse!$C$24=0,Umse!$B$11=0),0,IF(OR(Umse!$B$11="3.1.",Umse!$B$11="3.2.",Umse!$B$11="3.5.",Umse!$B$11="3.6.",Umse!$B$11="3.9.",Umse!$B$11="3.10."),'VKr-K Ist'!Q7,IF(OR(Umse!$B$11="4.1.",Umse!$B$11="4.2.",Umse!$B$11="4.3.",Umse!$B$11="4.4.",Umse!$B$11="4.5.",Umse!$B$11="4.6."),'VKr-B Ist'!Q7,0)))</f>
        <v>0</v>
      </c>
      <c r="R16" s="308">
        <f>IF(OR(Umse!$C$24=0,Umse!$B$11=0),0,IF(OR(Umse!$B$11="3.1.",Umse!$B$11="3.2.",Umse!$B$11="3.5.",Umse!$B$11="3.6.",Umse!$B$11="3.9.",Umse!$B$11="3.10."),'VKr-K Ist'!R7,IF(OR(Umse!$B$11="4.1.",Umse!$B$11="4.2.",Umse!$B$11="4.3.",Umse!$B$11="4.4.",Umse!$B$11="4.5.",Umse!$B$11="4.6."),'VKr-B Ist'!R7,0)))</f>
        <v>0</v>
      </c>
    </row>
    <row r="17" spans="2:29" ht="11.25" customHeight="1">
      <c r="B17" s="306" t="str">
        <f t="shared" si="1"/>
        <v/>
      </c>
      <c r="C17" s="322" t="str">
        <f t="shared" si="1"/>
        <v/>
      </c>
      <c r="D17" s="308">
        <f>IF(OR(Umse!$C$24=0,Umse!$B$11=0),0,IF(OR(Umse!$B$11="3.1.",Umse!$B$11="3.2.",Umse!$B$11="3.5.",Umse!$B$11="3.6.",Umse!$B$11="3.9.",Umse!$B$11="3.10."),'VKr-K Ist'!D8,IF(OR(Umse!$B$11="4.1.",Umse!$B$11="4.2.",Umse!$B$11="4.3.",Umse!$B$11="4.4.",Umse!$B$11="4.5.",Umse!$B$11="4.6."),'VKr-B Ist'!D8,0)))</f>
        <v>0</v>
      </c>
      <c r="E17" s="308">
        <f>IF(OR(Umse!$C$24=0,Umse!$B$11=0),0,IF(OR(Umse!$B$11="3.1.",Umse!$B$11="3.2.",Umse!$B$11="3.5.",Umse!$B$11="3.6.",Umse!$B$11="3.9.",Umse!$B$11="3.10."),'VKr-K Ist'!E8,IF(OR(Umse!$B$11="4.1.",Umse!$B$11="4.2.",Umse!$B$11="4.3.",Umse!$B$11="4.4.",Umse!$B$11="4.5.",Umse!$B$11="4.6."),'VKr-B Ist'!E8,0)))</f>
        <v>0</v>
      </c>
      <c r="F17" s="308">
        <f>IF(OR(Umse!$C$24=0,Umse!$B$11=0),0,IF(OR(Umse!$B$11="3.1.",Umse!$B$11="3.2.",Umse!$B$11="3.5.",Umse!$B$11="3.6.",Umse!$B$11="3.9.",Umse!$B$11="3.10."),'VKr-K Ist'!F8,IF(OR(Umse!$B$11="4.1.",Umse!$B$11="4.2.",Umse!$B$11="4.3.",Umse!$B$11="4.4.",Umse!$B$11="4.5.",Umse!$B$11="4.6."),'VKr-B Ist'!F8,0)))</f>
        <v>0</v>
      </c>
      <c r="G17" s="308">
        <f>IF(OR(Umse!$C$24=0,Umse!$B$11=0),0,IF(OR(Umse!$B$11="3.1.",Umse!$B$11="3.2.",Umse!$B$11="3.5.",Umse!$B$11="3.6.",Umse!$B$11="3.9.",Umse!$B$11="3.10."),'VKr-K Ist'!G8,IF(OR(Umse!$B$11="4.1.",Umse!$B$11="4.2.",Umse!$B$11="4.3.",Umse!$B$11="4.4.",Umse!$B$11="4.5.",Umse!$B$11="4.6."),'VKr-B Ist'!G8,0)))</f>
        <v>0</v>
      </c>
      <c r="H17" s="308">
        <f>IF(OR(Umse!$C$24=0,Umse!$B$11=0),0,IF(OR(Umse!$B$11="3.1.",Umse!$B$11="3.2.",Umse!$B$11="3.5.",Umse!$B$11="3.6.",Umse!$B$11="3.9.",Umse!$B$11="3.10."),'VKr-K Ist'!H8,IF(OR(Umse!$B$11="4.1.",Umse!$B$11="4.2.",Umse!$B$11="4.3.",Umse!$B$11="4.4.",Umse!$B$11="4.5.",Umse!$B$11="4.6."),'VKr-B Ist'!H8,0)))</f>
        <v>0</v>
      </c>
      <c r="I17" s="308">
        <f>IF(OR(Umse!$C$24=0,Umse!$B$11=0),0,IF(OR(Umse!$B$11="3.1.",Umse!$B$11="3.2.",Umse!$B$11="3.5.",Umse!$B$11="3.6.",Umse!$B$11="3.9.",Umse!$B$11="3.10."),'VKr-K Ist'!I8,IF(OR(Umse!$B$11="4.1.",Umse!$B$11="4.2.",Umse!$B$11="4.3.",Umse!$B$11="4.4.",Umse!$B$11="4.5.",Umse!$B$11="4.6."),'VKr-B Ist'!I8,0)))</f>
        <v>0</v>
      </c>
      <c r="J17" s="307" t="str">
        <f>IF(OR(Umse!$B$11="3.1.",Umse!$B$11="3.2."),'VKr-K Ist'!J8,IF(OR(Umse!$B$11="4.1.",Umse!$B$11="4.2.",Umse!$B$11="4.3.",Umse!$B$11="4.4.",Umse!$B$11="4.5.",Umse!$B$11="4.6."),'VKr-B Ist'!J8,""))</f>
        <v/>
      </c>
      <c r="K17" s="306" t="str">
        <f>IF(OR(Umse!$C$24=0,Umse!$B$11=0),"",IF(OR(Umse!$B$11="3.1.",Umse!$B$11="3.2.",Umse!$B$11="3.5.",Umse!$B$11="3.6.",Umse!$B$11="3.9.",Umse!$B$11="3.10."),'VKr-K Ist'!K8,IF(OR(Umse!$B$11="4.1.",Umse!$B$11="4.2.",Umse!$B$11="4.3.",Umse!$B$11="4.4.",Umse!$B$11="4.5.",Umse!$B$11="4.6."),'VKr-B Ist'!K8,"")))</f>
        <v/>
      </c>
      <c r="L17" s="322" t="str">
        <f>IF(OR(Umse!$C$24=0,Umse!$B$11=0),"",IF(OR(Umse!$B$11="3.1.",Umse!$B$11="3.2.",Umse!$B$11="3.5.",Umse!$B$11="3.6.",Umse!$B$11="3.9.",Umse!$B$11="3.10."),'VKr-K Ist'!L8,IF(OR(Umse!$B$11="4.1.",Umse!$B$11="4.2.",Umse!$B$11="4.3.",Umse!$B$11="4.4.",Umse!$B$11="4.5.",Umse!$B$11="4.6."),'VKr-B Ist'!L8,"")))</f>
        <v/>
      </c>
      <c r="M17" s="308">
        <f>IF(OR(Umse!$C$24=0,Umse!$B$11=0),0,IF(OR(Umse!$B$11="3.1.",Umse!$B$11="3.2.",Umse!$B$11="3.5.",Umse!$B$11="3.6.",Umse!$B$11="3.9.",Umse!$B$11="3.10."),'VKr-K Ist'!M8,IF(OR(Umse!$B$11="4.1.",Umse!$B$11="4.2.",Umse!$B$11="4.3.",Umse!$B$11="4.4.",Umse!$B$11="4.5.",Umse!$B$11="4.6."),'VKr-B Ist'!M8,0)))</f>
        <v>0</v>
      </c>
      <c r="N17" s="308">
        <f>IF(OR(Umse!$C$24=0,Umse!$B$11=0),0,IF(OR(Umse!$B$11="3.1.",Umse!$B$11="3.2.",Umse!$B$11="3.5.",Umse!$B$11="3.6.",Umse!$B$11="3.9.",Umse!$B$11="3.10."),'VKr-K Ist'!N8,IF(OR(Umse!$B$11="4.1.",Umse!$B$11="4.2.",Umse!$B$11="4.3.",Umse!$B$11="4.4.",Umse!$B$11="4.5.",Umse!$B$11="4.6."),'VKr-B Ist'!N8,0)))</f>
        <v>0</v>
      </c>
      <c r="O17" s="308">
        <f>IF(OR(Umse!$C$24=0,Umse!$B$11=0),0,IF(OR(Umse!$B$11="3.1.",Umse!$B$11="3.2.",Umse!$B$11="3.5.",Umse!$B$11="3.6.",Umse!$B$11="3.9.",Umse!$B$11="3.10."),'VKr-K Ist'!O8,IF(OR(Umse!$B$11="4.1.",Umse!$B$11="4.2.",Umse!$B$11="4.3.",Umse!$B$11="4.4.",Umse!$B$11="4.5.",Umse!$B$11="4.6."),'VKr-B Ist'!O8,0)))</f>
        <v>0</v>
      </c>
      <c r="P17" s="308">
        <f>IF(OR(Umse!$C$24=0,Umse!$B$11=0),0,IF(OR(Umse!$B$11="3.1.",Umse!$B$11="3.2.",Umse!$B$11="3.5.",Umse!$B$11="3.6.",Umse!$B$11="3.9.",Umse!$B$11="3.10."),'VKr-K Ist'!P8,IF(OR(Umse!$B$11="4.1.",Umse!$B$11="4.2.",Umse!$B$11="4.3.",Umse!$B$11="4.4.",Umse!$B$11="4.5.",Umse!$B$11="4.6."),'VKr-B Ist'!P8,0)))</f>
        <v>0</v>
      </c>
      <c r="Q17" s="308">
        <f>IF(OR(Umse!$C$24=0,Umse!$B$11=0),0,IF(OR(Umse!$B$11="3.1.",Umse!$B$11="3.2.",Umse!$B$11="3.5.",Umse!$B$11="3.6.",Umse!$B$11="3.9.",Umse!$B$11="3.10."),'VKr-K Ist'!Q8,IF(OR(Umse!$B$11="4.1.",Umse!$B$11="4.2.",Umse!$B$11="4.3.",Umse!$B$11="4.4.",Umse!$B$11="4.5.",Umse!$B$11="4.6."),'VKr-B Ist'!Q8,0)))</f>
        <v>0</v>
      </c>
      <c r="R17" s="308">
        <f>IF(OR(Umse!$C$24=0,Umse!$B$11=0),0,IF(OR(Umse!$B$11="3.1.",Umse!$B$11="3.2.",Umse!$B$11="3.5.",Umse!$B$11="3.6.",Umse!$B$11="3.9.",Umse!$B$11="3.10."),'VKr-K Ist'!R8,IF(OR(Umse!$B$11="4.1.",Umse!$B$11="4.2.",Umse!$B$11="4.3.",Umse!$B$11="4.4.",Umse!$B$11="4.5.",Umse!$B$11="4.6."),'VKr-B Ist'!R8,0)))</f>
        <v>0</v>
      </c>
    </row>
    <row r="18" spans="2:29" ht="11.25" customHeight="1">
      <c r="B18" s="306" t="str">
        <f t="shared" si="1"/>
        <v/>
      </c>
      <c r="C18" s="322" t="str">
        <f t="shared" si="1"/>
        <v/>
      </c>
      <c r="D18" s="308">
        <f>IF(OR(Umse!$C$24=0,Umse!$B$11=0),0,IF(OR(Umse!$B$11="3.1.",Umse!$B$11="3.2.",Umse!$B$11="3.5.",Umse!$B$11="3.6.",Umse!$B$11="3.9.",Umse!$B$11="3.10."),'VKr-K Ist'!D9,IF(OR(Umse!$B$11="4.1.",Umse!$B$11="4.2.",Umse!$B$11="4.3.",Umse!$B$11="4.4.",Umse!$B$11="4.5.",Umse!$B$11="4.6."),'VKr-B Ist'!D9,0)))</f>
        <v>0</v>
      </c>
      <c r="E18" s="308">
        <f>IF(OR(Umse!$C$24=0,Umse!$B$11=0),0,IF(OR(Umse!$B$11="3.1.",Umse!$B$11="3.2.",Umse!$B$11="3.5.",Umse!$B$11="3.6.",Umse!$B$11="3.9.",Umse!$B$11="3.10."),'VKr-K Ist'!E9,IF(OR(Umse!$B$11="4.1.",Umse!$B$11="4.2.",Umse!$B$11="4.3.",Umse!$B$11="4.4.",Umse!$B$11="4.5.",Umse!$B$11="4.6."),'VKr-B Ist'!E9,0)))</f>
        <v>0</v>
      </c>
      <c r="F18" s="308">
        <f>IF(OR(Umse!$C$24=0,Umse!$B$11=0),0,IF(OR(Umse!$B$11="3.1.",Umse!$B$11="3.2.",Umse!$B$11="3.5.",Umse!$B$11="3.6.",Umse!$B$11="3.9.",Umse!$B$11="3.10."),'VKr-K Ist'!F9,IF(OR(Umse!$B$11="4.1.",Umse!$B$11="4.2.",Umse!$B$11="4.3.",Umse!$B$11="4.4.",Umse!$B$11="4.5.",Umse!$B$11="4.6."),'VKr-B Ist'!F9,0)))</f>
        <v>0</v>
      </c>
      <c r="G18" s="308">
        <f>IF(OR(Umse!$C$24=0,Umse!$B$11=0),0,IF(OR(Umse!$B$11="3.1.",Umse!$B$11="3.2.",Umse!$B$11="3.5.",Umse!$B$11="3.6.",Umse!$B$11="3.9.",Umse!$B$11="3.10."),'VKr-K Ist'!G9,IF(OR(Umse!$B$11="4.1.",Umse!$B$11="4.2.",Umse!$B$11="4.3.",Umse!$B$11="4.4.",Umse!$B$11="4.5.",Umse!$B$11="4.6."),'VKr-B Ist'!G9,0)))</f>
        <v>0</v>
      </c>
      <c r="H18" s="308">
        <f>IF(OR(Umse!$C$24=0,Umse!$B$11=0),0,IF(OR(Umse!$B$11="3.1.",Umse!$B$11="3.2.",Umse!$B$11="3.5.",Umse!$B$11="3.6.",Umse!$B$11="3.9.",Umse!$B$11="3.10."),'VKr-K Ist'!H9,IF(OR(Umse!$B$11="4.1.",Umse!$B$11="4.2.",Umse!$B$11="4.3.",Umse!$B$11="4.4.",Umse!$B$11="4.5.",Umse!$B$11="4.6."),'VKr-B Ist'!H9,0)))</f>
        <v>0</v>
      </c>
      <c r="I18" s="308">
        <f>IF(OR(Umse!$C$24=0,Umse!$B$11=0),0,IF(OR(Umse!$B$11="3.1.",Umse!$B$11="3.2.",Umse!$B$11="3.5.",Umse!$B$11="3.6.",Umse!$B$11="3.9.",Umse!$B$11="3.10."),'VKr-K Ist'!I9,IF(OR(Umse!$B$11="4.1.",Umse!$B$11="4.2.",Umse!$B$11="4.3.",Umse!$B$11="4.4.",Umse!$B$11="4.5.",Umse!$B$11="4.6."),'VKr-B Ist'!I9,0)))</f>
        <v>0</v>
      </c>
      <c r="J18" s="307" t="str">
        <f>IF(OR(Umse!$B$11="3.1.",Umse!$B$11="3.2."),'VKr-K Ist'!J9,IF(OR(Umse!$B$11="4.1.",Umse!$B$11="4.2.",Umse!$B$11="4.3.",Umse!$B$11="4.4.",Umse!$B$11="4.5.",Umse!$B$11="4.6."),'VKr-B Ist'!J9,""))</f>
        <v/>
      </c>
      <c r="K18" s="306" t="str">
        <f>IF(OR(Umse!$C$24=0,Umse!$B$11=0),"",IF(OR(Umse!$B$11="3.1.",Umse!$B$11="3.2.",Umse!$B$11="3.5.",Umse!$B$11="3.6.",Umse!$B$11="3.9.",Umse!$B$11="3.10."),'VKr-K Ist'!K9,IF(OR(Umse!$B$11="4.1.",Umse!$B$11="4.2.",Umse!$B$11="4.3.",Umse!$B$11="4.4.",Umse!$B$11="4.5.",Umse!$B$11="4.6."),'VKr-B Ist'!K9,"")))</f>
        <v/>
      </c>
      <c r="L18" s="322" t="str">
        <f>IF(OR(Umse!$C$24=0,Umse!$B$11=0),"",IF(OR(Umse!$B$11="3.1.",Umse!$B$11="3.2.",Umse!$B$11="3.5.",Umse!$B$11="3.6.",Umse!$B$11="3.9.",Umse!$B$11="3.10."),'VKr-K Ist'!L9,IF(OR(Umse!$B$11="4.1.",Umse!$B$11="4.2.",Umse!$B$11="4.3.",Umse!$B$11="4.4.",Umse!$B$11="4.5.",Umse!$B$11="4.6."),'VKr-B Ist'!L9,"")))</f>
        <v/>
      </c>
      <c r="M18" s="308">
        <f>IF(OR(Umse!$C$24=0,Umse!$B$11=0),0,IF(OR(Umse!$B$11="3.1.",Umse!$B$11="3.2.",Umse!$B$11="3.5.",Umse!$B$11="3.6.",Umse!$B$11="3.9.",Umse!$B$11="3.10."),'VKr-K Ist'!M9,IF(OR(Umse!$B$11="4.1.",Umse!$B$11="4.2.",Umse!$B$11="4.3.",Umse!$B$11="4.4.",Umse!$B$11="4.5.",Umse!$B$11="4.6."),'VKr-B Ist'!M9,0)))</f>
        <v>0</v>
      </c>
      <c r="N18" s="308">
        <f>IF(OR(Umse!$C$24=0,Umse!$B$11=0),0,IF(OR(Umse!$B$11="3.1.",Umse!$B$11="3.2.",Umse!$B$11="3.5.",Umse!$B$11="3.6.",Umse!$B$11="3.9.",Umse!$B$11="3.10."),'VKr-K Ist'!N9,IF(OR(Umse!$B$11="4.1.",Umse!$B$11="4.2.",Umse!$B$11="4.3.",Umse!$B$11="4.4.",Umse!$B$11="4.5.",Umse!$B$11="4.6."),'VKr-B Ist'!N9,0)))</f>
        <v>0</v>
      </c>
      <c r="O18" s="308">
        <f>IF(OR(Umse!$C$24=0,Umse!$B$11=0),0,IF(OR(Umse!$B$11="3.1.",Umse!$B$11="3.2.",Umse!$B$11="3.5.",Umse!$B$11="3.6.",Umse!$B$11="3.9.",Umse!$B$11="3.10."),'VKr-K Ist'!O9,IF(OR(Umse!$B$11="4.1.",Umse!$B$11="4.2.",Umse!$B$11="4.3.",Umse!$B$11="4.4.",Umse!$B$11="4.5.",Umse!$B$11="4.6."),'VKr-B Ist'!O9,0)))</f>
        <v>0</v>
      </c>
      <c r="P18" s="308">
        <f>IF(OR(Umse!$C$24=0,Umse!$B$11=0),0,IF(OR(Umse!$B$11="3.1.",Umse!$B$11="3.2.",Umse!$B$11="3.5.",Umse!$B$11="3.6.",Umse!$B$11="3.9.",Umse!$B$11="3.10."),'VKr-K Ist'!P9,IF(OR(Umse!$B$11="4.1.",Umse!$B$11="4.2.",Umse!$B$11="4.3.",Umse!$B$11="4.4.",Umse!$B$11="4.5.",Umse!$B$11="4.6."),'VKr-B Ist'!P9,0)))</f>
        <v>0</v>
      </c>
      <c r="Q18" s="308">
        <f>IF(OR(Umse!$C$24=0,Umse!$B$11=0),0,IF(OR(Umse!$B$11="3.1.",Umse!$B$11="3.2.",Umse!$B$11="3.5.",Umse!$B$11="3.6.",Umse!$B$11="3.9.",Umse!$B$11="3.10."),'VKr-K Ist'!Q9,IF(OR(Umse!$B$11="4.1.",Umse!$B$11="4.2.",Umse!$B$11="4.3.",Umse!$B$11="4.4.",Umse!$B$11="4.5.",Umse!$B$11="4.6."),'VKr-B Ist'!Q9,0)))</f>
        <v>0</v>
      </c>
      <c r="R18" s="308">
        <f>IF(OR(Umse!$C$24=0,Umse!$B$11=0),0,IF(OR(Umse!$B$11="3.1.",Umse!$B$11="3.2.",Umse!$B$11="3.5.",Umse!$B$11="3.6.",Umse!$B$11="3.9.",Umse!$B$11="3.10."),'VKr-K Ist'!R9,IF(OR(Umse!$B$11="4.1.",Umse!$B$11="4.2.",Umse!$B$11="4.3.",Umse!$B$11="4.4.",Umse!$B$11="4.5.",Umse!$B$11="4.6."),'VKr-B Ist'!R9,0)))</f>
        <v>0</v>
      </c>
    </row>
    <row r="19" spans="2:29" ht="11.25" customHeight="1">
      <c r="B19" s="306" t="str">
        <f t="shared" si="1"/>
        <v/>
      </c>
      <c r="C19" s="322" t="str">
        <f t="shared" si="1"/>
        <v/>
      </c>
      <c r="D19" s="308">
        <f>IF(OR(Umse!$C$24=0,Umse!$B$11=0),0,IF(OR(Umse!$B$11="3.1.",Umse!$B$11="3.2.",Umse!$B$11="3.5.",Umse!$B$11="3.6.",Umse!$B$11="3.9.",Umse!$B$11="3.10."),'VKr-K Ist'!D10,IF(OR(Umse!$B$11="4.1.",Umse!$B$11="4.2.",Umse!$B$11="4.3.",Umse!$B$11="4.4.",Umse!$B$11="4.5.",Umse!$B$11="4.6."),'VKr-B Ist'!D10,0)))</f>
        <v>0</v>
      </c>
      <c r="E19" s="308">
        <f>IF(OR(Umse!$C$24=0,Umse!$B$11=0),0,IF(OR(Umse!$B$11="3.1.",Umse!$B$11="3.2.",Umse!$B$11="3.5.",Umse!$B$11="3.6.",Umse!$B$11="3.9.",Umse!$B$11="3.10."),'VKr-K Ist'!E10,IF(OR(Umse!$B$11="4.1.",Umse!$B$11="4.2.",Umse!$B$11="4.3.",Umse!$B$11="4.4.",Umse!$B$11="4.5.",Umse!$B$11="4.6."),'VKr-B Ist'!E10,0)))</f>
        <v>0</v>
      </c>
      <c r="F19" s="308">
        <f>IF(OR(Umse!$C$24=0,Umse!$B$11=0),0,IF(OR(Umse!$B$11="3.1.",Umse!$B$11="3.2.",Umse!$B$11="3.5.",Umse!$B$11="3.6.",Umse!$B$11="3.9.",Umse!$B$11="3.10."),'VKr-K Ist'!F10,IF(OR(Umse!$B$11="4.1.",Umse!$B$11="4.2.",Umse!$B$11="4.3.",Umse!$B$11="4.4.",Umse!$B$11="4.5.",Umse!$B$11="4.6."),'VKr-B Ist'!F10,0)))</f>
        <v>0</v>
      </c>
      <c r="G19" s="308">
        <f>IF(OR(Umse!$C$24=0,Umse!$B$11=0),0,IF(OR(Umse!$B$11="3.1.",Umse!$B$11="3.2.",Umse!$B$11="3.5.",Umse!$B$11="3.6.",Umse!$B$11="3.9.",Umse!$B$11="3.10."),'VKr-K Ist'!G10,IF(OR(Umse!$B$11="4.1.",Umse!$B$11="4.2.",Umse!$B$11="4.3.",Umse!$B$11="4.4.",Umse!$B$11="4.5.",Umse!$B$11="4.6."),'VKr-B Ist'!G10,0)))</f>
        <v>0</v>
      </c>
      <c r="H19" s="308">
        <f>IF(OR(Umse!$C$24=0,Umse!$B$11=0),0,IF(OR(Umse!$B$11="3.1.",Umse!$B$11="3.2.",Umse!$B$11="3.5.",Umse!$B$11="3.6.",Umse!$B$11="3.9.",Umse!$B$11="3.10."),'VKr-K Ist'!H10,IF(OR(Umse!$B$11="4.1.",Umse!$B$11="4.2.",Umse!$B$11="4.3.",Umse!$B$11="4.4.",Umse!$B$11="4.5.",Umse!$B$11="4.6."),'VKr-B Ist'!H10,0)))</f>
        <v>0</v>
      </c>
      <c r="I19" s="308">
        <f>IF(OR(Umse!$C$24=0,Umse!$B$11=0),0,IF(OR(Umse!$B$11="3.1.",Umse!$B$11="3.2.",Umse!$B$11="3.5.",Umse!$B$11="3.6.",Umse!$B$11="3.9.",Umse!$B$11="3.10."),'VKr-K Ist'!I10,IF(OR(Umse!$B$11="4.1.",Umse!$B$11="4.2.",Umse!$B$11="4.3.",Umse!$B$11="4.4.",Umse!$B$11="4.5.",Umse!$B$11="4.6."),'VKr-B Ist'!I10,0)))</f>
        <v>0</v>
      </c>
      <c r="J19" s="307" t="str">
        <f>IF(OR(Umse!$B$11="3.1.",Umse!$B$11="3.2."),'VKr-K Ist'!J10,IF(OR(Umse!$B$11="4.1.",Umse!$B$11="4.2.",Umse!$B$11="4.3.",Umse!$B$11="4.4.",Umse!$B$11="4.5.",Umse!$B$11="4.6."),'VKr-B Ist'!J10,""))</f>
        <v/>
      </c>
      <c r="K19" s="306" t="str">
        <f>IF(OR(Umse!$C$24=0,Umse!$B$11=0),"",IF(OR(Umse!$B$11="3.1.",Umse!$B$11="3.2.",Umse!$B$11="3.5.",Umse!$B$11="3.6.",Umse!$B$11="3.9.",Umse!$B$11="3.10."),'VKr-K Ist'!K10,IF(OR(Umse!$B$11="4.1.",Umse!$B$11="4.2.",Umse!$B$11="4.3.",Umse!$B$11="4.4.",Umse!$B$11="4.5.",Umse!$B$11="4.6."),'VKr-B Ist'!K10,"")))</f>
        <v/>
      </c>
      <c r="L19" s="322" t="str">
        <f>IF(OR(Umse!$C$24=0,Umse!$B$11=0),"",IF(OR(Umse!$B$11="3.1.",Umse!$B$11="3.2.",Umse!$B$11="3.5.",Umse!$B$11="3.6.",Umse!$B$11="3.9.",Umse!$B$11="3.10."),'VKr-K Ist'!L10,IF(OR(Umse!$B$11="4.1.",Umse!$B$11="4.2.",Umse!$B$11="4.3.",Umse!$B$11="4.4.",Umse!$B$11="4.5.",Umse!$B$11="4.6."),'VKr-B Ist'!L10,"")))</f>
        <v/>
      </c>
      <c r="M19" s="308">
        <f>IF(OR(Umse!$C$24=0,Umse!$B$11=0),0,IF(OR(Umse!$B$11="3.1.",Umse!$B$11="3.2.",Umse!$B$11="3.5.",Umse!$B$11="3.6.",Umse!$B$11="3.9.",Umse!$B$11="3.10."),'VKr-K Ist'!M10,IF(OR(Umse!$B$11="4.1.",Umse!$B$11="4.2.",Umse!$B$11="4.3.",Umse!$B$11="4.4.",Umse!$B$11="4.5.",Umse!$B$11="4.6."),'VKr-B Ist'!M10,0)))</f>
        <v>0</v>
      </c>
      <c r="N19" s="308">
        <f>IF(OR(Umse!$C$24=0,Umse!$B$11=0),0,IF(OR(Umse!$B$11="3.1.",Umse!$B$11="3.2.",Umse!$B$11="3.5.",Umse!$B$11="3.6.",Umse!$B$11="3.9.",Umse!$B$11="3.10."),'VKr-K Ist'!N10,IF(OR(Umse!$B$11="4.1.",Umse!$B$11="4.2.",Umse!$B$11="4.3.",Umse!$B$11="4.4.",Umse!$B$11="4.5.",Umse!$B$11="4.6."),'VKr-B Ist'!N10,0)))</f>
        <v>0</v>
      </c>
      <c r="O19" s="308">
        <f>IF(OR(Umse!$C$24=0,Umse!$B$11=0),0,IF(OR(Umse!$B$11="3.1.",Umse!$B$11="3.2.",Umse!$B$11="3.5.",Umse!$B$11="3.6.",Umse!$B$11="3.9.",Umse!$B$11="3.10."),'VKr-K Ist'!O10,IF(OR(Umse!$B$11="4.1.",Umse!$B$11="4.2.",Umse!$B$11="4.3.",Umse!$B$11="4.4.",Umse!$B$11="4.5.",Umse!$B$11="4.6."),'VKr-B Ist'!O10,0)))</f>
        <v>0</v>
      </c>
      <c r="P19" s="308">
        <f>IF(OR(Umse!$C$24=0,Umse!$B$11=0),0,IF(OR(Umse!$B$11="3.1.",Umse!$B$11="3.2.",Umse!$B$11="3.5.",Umse!$B$11="3.6.",Umse!$B$11="3.9.",Umse!$B$11="3.10."),'VKr-K Ist'!P10,IF(OR(Umse!$B$11="4.1.",Umse!$B$11="4.2.",Umse!$B$11="4.3.",Umse!$B$11="4.4.",Umse!$B$11="4.5.",Umse!$B$11="4.6."),'VKr-B Ist'!P10,0)))</f>
        <v>0</v>
      </c>
      <c r="Q19" s="308">
        <f>IF(OR(Umse!$C$24=0,Umse!$B$11=0),0,IF(OR(Umse!$B$11="3.1.",Umse!$B$11="3.2.",Umse!$B$11="3.5.",Umse!$B$11="3.6.",Umse!$B$11="3.9.",Umse!$B$11="3.10."),'VKr-K Ist'!Q10,IF(OR(Umse!$B$11="4.1.",Umse!$B$11="4.2.",Umse!$B$11="4.3.",Umse!$B$11="4.4.",Umse!$B$11="4.5.",Umse!$B$11="4.6."),'VKr-B Ist'!Q10,0)))</f>
        <v>0</v>
      </c>
      <c r="R19" s="308">
        <f>IF(OR(Umse!$C$24=0,Umse!$B$11=0),0,IF(OR(Umse!$B$11="3.1.",Umse!$B$11="3.2.",Umse!$B$11="3.5.",Umse!$B$11="3.6.",Umse!$B$11="3.9.",Umse!$B$11="3.10."),'VKr-K Ist'!R10,IF(OR(Umse!$B$11="4.1.",Umse!$B$11="4.2.",Umse!$B$11="4.3.",Umse!$B$11="4.4.",Umse!$B$11="4.5.",Umse!$B$11="4.6."),'VKr-B Ist'!R10,0)))</f>
        <v>0</v>
      </c>
    </row>
    <row r="20" spans="2:29" ht="11.25" customHeight="1">
      <c r="B20" s="306" t="str">
        <f t="shared" si="1"/>
        <v/>
      </c>
      <c r="C20" s="322" t="str">
        <f t="shared" si="1"/>
        <v/>
      </c>
      <c r="D20" s="308">
        <f>IF(OR(Umse!$C$24=0,Umse!$B$11=0),0,IF(OR(Umse!$B$11="3.1.",Umse!$B$11="3.2.",Umse!$B$11="3.5.",Umse!$B$11="3.6.",Umse!$B$11="3.9.",Umse!$B$11="3.10."),'VKr-K Ist'!D11,IF(OR(Umse!$B$11="4.1.",Umse!$B$11="4.2.",Umse!$B$11="4.3.",Umse!$B$11="4.4.",Umse!$B$11="4.5.",Umse!$B$11="4.6."),'VKr-B Ist'!D11,0)))</f>
        <v>0</v>
      </c>
      <c r="E20" s="308">
        <f>IF(OR(Umse!$C$24=0,Umse!$B$11=0),0,IF(OR(Umse!$B$11="3.1.",Umse!$B$11="3.2.",Umse!$B$11="3.5.",Umse!$B$11="3.6.",Umse!$B$11="3.9.",Umse!$B$11="3.10."),'VKr-K Ist'!E11,IF(OR(Umse!$B$11="4.1.",Umse!$B$11="4.2.",Umse!$B$11="4.3.",Umse!$B$11="4.4.",Umse!$B$11="4.5.",Umse!$B$11="4.6."),'VKr-B Ist'!E11,0)))</f>
        <v>0</v>
      </c>
      <c r="F20" s="308">
        <f>IF(OR(Umse!$C$24=0,Umse!$B$11=0),0,IF(OR(Umse!$B$11="3.1.",Umse!$B$11="3.2.",Umse!$B$11="3.5.",Umse!$B$11="3.6.",Umse!$B$11="3.9.",Umse!$B$11="3.10."),'VKr-K Ist'!F11,IF(OR(Umse!$B$11="4.1.",Umse!$B$11="4.2.",Umse!$B$11="4.3.",Umse!$B$11="4.4.",Umse!$B$11="4.5.",Umse!$B$11="4.6."),'VKr-B Ist'!F11,0)))</f>
        <v>0</v>
      </c>
      <c r="G20" s="308">
        <f>IF(OR(Umse!$C$24=0,Umse!$B$11=0),0,IF(OR(Umse!$B$11="3.1.",Umse!$B$11="3.2.",Umse!$B$11="3.5.",Umse!$B$11="3.6.",Umse!$B$11="3.9.",Umse!$B$11="3.10."),'VKr-K Ist'!G11,IF(OR(Umse!$B$11="4.1.",Umse!$B$11="4.2.",Umse!$B$11="4.3.",Umse!$B$11="4.4.",Umse!$B$11="4.5.",Umse!$B$11="4.6."),'VKr-B Ist'!G11,0)))</f>
        <v>0</v>
      </c>
      <c r="H20" s="308">
        <f>IF(OR(Umse!$C$24=0,Umse!$B$11=0),0,IF(OR(Umse!$B$11="3.1.",Umse!$B$11="3.2.",Umse!$B$11="3.5.",Umse!$B$11="3.6.",Umse!$B$11="3.9.",Umse!$B$11="3.10."),'VKr-K Ist'!H11,IF(OR(Umse!$B$11="4.1.",Umse!$B$11="4.2.",Umse!$B$11="4.3.",Umse!$B$11="4.4.",Umse!$B$11="4.5.",Umse!$B$11="4.6."),'VKr-B Ist'!H11,0)))</f>
        <v>0</v>
      </c>
      <c r="I20" s="308">
        <f>IF(OR(Umse!$C$24=0,Umse!$B$11=0),0,IF(OR(Umse!$B$11="3.1.",Umse!$B$11="3.2.",Umse!$B$11="3.5.",Umse!$B$11="3.6.",Umse!$B$11="3.9.",Umse!$B$11="3.10."),'VKr-K Ist'!I11,IF(OR(Umse!$B$11="4.1.",Umse!$B$11="4.2.",Umse!$B$11="4.3.",Umse!$B$11="4.4.",Umse!$B$11="4.5.",Umse!$B$11="4.6."),'VKr-B Ist'!I11,0)))</f>
        <v>0</v>
      </c>
      <c r="J20" s="307" t="str">
        <f>IF(OR(Umse!$B$11="3.1.",Umse!$B$11="3.2."),'VKr-K Ist'!J11,IF(OR(Umse!$B$11="4.1.",Umse!$B$11="4.2.",Umse!$B$11="4.3.",Umse!$B$11="4.4.",Umse!$B$11="4.5.",Umse!$B$11="4.6."),'VKr-B Ist'!J11,""))</f>
        <v/>
      </c>
      <c r="K20" s="306" t="str">
        <f>IF(OR(Umse!$C$24=0,Umse!$B$11=0),"",IF(OR(Umse!$B$11="3.1.",Umse!$B$11="3.2.",Umse!$B$11="3.5.",Umse!$B$11="3.6.",Umse!$B$11="3.9.",Umse!$B$11="3.10."),'VKr-K Ist'!K11,IF(OR(Umse!$B$11="4.1.",Umse!$B$11="4.2.",Umse!$B$11="4.3.",Umse!$B$11="4.4.",Umse!$B$11="4.5.",Umse!$B$11="4.6."),'VKr-B Ist'!K11,"")))</f>
        <v/>
      </c>
      <c r="L20" s="322" t="str">
        <f>IF(OR(Umse!$C$24=0,Umse!$B$11=0),"",IF(OR(Umse!$B$11="3.1.",Umse!$B$11="3.2.",Umse!$B$11="3.5.",Umse!$B$11="3.6.",Umse!$B$11="3.9.",Umse!$B$11="3.10."),'VKr-K Ist'!L11,IF(OR(Umse!$B$11="4.1.",Umse!$B$11="4.2.",Umse!$B$11="4.3.",Umse!$B$11="4.4.",Umse!$B$11="4.5.",Umse!$B$11="4.6."),'VKr-B Ist'!L11,"")))</f>
        <v/>
      </c>
      <c r="M20" s="308">
        <f>IF(OR(Umse!$C$24=0,Umse!$B$11=0),0,IF(OR(Umse!$B$11="3.1.",Umse!$B$11="3.2.",Umse!$B$11="3.5.",Umse!$B$11="3.6.",Umse!$B$11="3.9.",Umse!$B$11="3.10."),'VKr-K Ist'!M11,IF(OR(Umse!$B$11="4.1.",Umse!$B$11="4.2.",Umse!$B$11="4.3.",Umse!$B$11="4.4.",Umse!$B$11="4.5.",Umse!$B$11="4.6."),'VKr-B Ist'!M11,0)))</f>
        <v>0</v>
      </c>
      <c r="N20" s="308">
        <f>IF(OR(Umse!$C$24=0,Umse!$B$11=0),0,IF(OR(Umse!$B$11="3.1.",Umse!$B$11="3.2.",Umse!$B$11="3.5.",Umse!$B$11="3.6.",Umse!$B$11="3.9.",Umse!$B$11="3.10."),'VKr-K Ist'!N11,IF(OR(Umse!$B$11="4.1.",Umse!$B$11="4.2.",Umse!$B$11="4.3.",Umse!$B$11="4.4.",Umse!$B$11="4.5.",Umse!$B$11="4.6."),'VKr-B Ist'!N11,0)))</f>
        <v>0</v>
      </c>
      <c r="O20" s="308">
        <f>IF(OR(Umse!$C$24=0,Umse!$B$11=0),0,IF(OR(Umse!$B$11="3.1.",Umse!$B$11="3.2.",Umse!$B$11="3.5.",Umse!$B$11="3.6.",Umse!$B$11="3.9.",Umse!$B$11="3.10."),'VKr-K Ist'!O11,IF(OR(Umse!$B$11="4.1.",Umse!$B$11="4.2.",Umse!$B$11="4.3.",Umse!$B$11="4.4.",Umse!$B$11="4.5.",Umse!$B$11="4.6."),'VKr-B Ist'!O11,0)))</f>
        <v>0</v>
      </c>
      <c r="P20" s="308">
        <f>IF(OR(Umse!$C$24=0,Umse!$B$11=0),0,IF(OR(Umse!$B$11="3.1.",Umse!$B$11="3.2.",Umse!$B$11="3.5.",Umse!$B$11="3.6.",Umse!$B$11="3.9.",Umse!$B$11="3.10."),'VKr-K Ist'!P11,IF(OR(Umse!$B$11="4.1.",Umse!$B$11="4.2.",Umse!$B$11="4.3.",Umse!$B$11="4.4.",Umse!$B$11="4.5.",Umse!$B$11="4.6."),'VKr-B Ist'!P11,0)))</f>
        <v>0</v>
      </c>
      <c r="Q20" s="308">
        <f>IF(OR(Umse!$C$24=0,Umse!$B$11=0),0,IF(OR(Umse!$B$11="3.1.",Umse!$B$11="3.2.",Umse!$B$11="3.5.",Umse!$B$11="3.6.",Umse!$B$11="3.9.",Umse!$B$11="3.10."),'VKr-K Ist'!Q11,IF(OR(Umse!$B$11="4.1.",Umse!$B$11="4.2.",Umse!$B$11="4.3.",Umse!$B$11="4.4.",Umse!$B$11="4.5.",Umse!$B$11="4.6."),'VKr-B Ist'!Q11,0)))</f>
        <v>0</v>
      </c>
      <c r="R20" s="308">
        <f>IF(OR(Umse!$C$24=0,Umse!$B$11=0),0,IF(OR(Umse!$B$11="3.1.",Umse!$B$11="3.2.",Umse!$B$11="3.5.",Umse!$B$11="3.6.",Umse!$B$11="3.9.",Umse!$B$11="3.10."),'VKr-K Ist'!R11,IF(OR(Umse!$B$11="4.1.",Umse!$B$11="4.2.",Umse!$B$11="4.3.",Umse!$B$11="4.4.",Umse!$B$11="4.5.",Umse!$B$11="4.6."),'VKr-B Ist'!R11,0)))</f>
        <v>0</v>
      </c>
    </row>
    <row r="21" spans="2:29" ht="11.25" customHeight="1">
      <c r="B21" s="306" t="str">
        <f t="shared" si="1"/>
        <v/>
      </c>
      <c r="C21" s="322" t="str">
        <f t="shared" si="1"/>
        <v/>
      </c>
      <c r="D21" s="308">
        <f>IF(OR(Umse!$C$24=0,Umse!$B$11=0),0,IF(OR(Umse!$B$11="3.1.",Umse!$B$11="3.2.",Umse!$B$11="3.5.",Umse!$B$11="3.6.",Umse!$B$11="3.9.",Umse!$B$11="3.10."),'VKr-K Ist'!D12,IF(OR(Umse!$B$11="4.1.",Umse!$B$11="4.2.",Umse!$B$11="4.3.",Umse!$B$11="4.4.",Umse!$B$11="4.5.",Umse!$B$11="4.6."),'VKr-B Ist'!D12,0)))</f>
        <v>0</v>
      </c>
      <c r="E21" s="308">
        <f>IF(OR(Umse!$C$24=0,Umse!$B$11=0),0,IF(OR(Umse!$B$11="3.1.",Umse!$B$11="3.2.",Umse!$B$11="3.5.",Umse!$B$11="3.6.",Umse!$B$11="3.9.",Umse!$B$11="3.10."),'VKr-K Ist'!E12,IF(OR(Umse!$B$11="4.1.",Umse!$B$11="4.2.",Umse!$B$11="4.3.",Umse!$B$11="4.4.",Umse!$B$11="4.5.",Umse!$B$11="4.6."),'VKr-B Ist'!E12,0)))</f>
        <v>0</v>
      </c>
      <c r="F21" s="308">
        <f>IF(OR(Umse!$C$24=0,Umse!$B$11=0),0,IF(OR(Umse!$B$11="3.1.",Umse!$B$11="3.2.",Umse!$B$11="3.5.",Umse!$B$11="3.6.",Umse!$B$11="3.9.",Umse!$B$11="3.10."),'VKr-K Ist'!F12,IF(OR(Umse!$B$11="4.1.",Umse!$B$11="4.2.",Umse!$B$11="4.3.",Umse!$B$11="4.4.",Umse!$B$11="4.5.",Umse!$B$11="4.6."),'VKr-B Ist'!F12,0)))</f>
        <v>0</v>
      </c>
      <c r="G21" s="308">
        <f>IF(OR(Umse!$C$24=0,Umse!$B$11=0),0,IF(OR(Umse!$B$11="3.1.",Umse!$B$11="3.2.",Umse!$B$11="3.5.",Umse!$B$11="3.6.",Umse!$B$11="3.9.",Umse!$B$11="3.10."),'VKr-K Ist'!G12,IF(OR(Umse!$B$11="4.1.",Umse!$B$11="4.2.",Umse!$B$11="4.3.",Umse!$B$11="4.4.",Umse!$B$11="4.5.",Umse!$B$11="4.6."),'VKr-B Ist'!G12,0)))</f>
        <v>0</v>
      </c>
      <c r="H21" s="308">
        <f>IF(OR(Umse!$C$24=0,Umse!$B$11=0),0,IF(OR(Umse!$B$11="3.1.",Umse!$B$11="3.2.",Umse!$B$11="3.5.",Umse!$B$11="3.6.",Umse!$B$11="3.9.",Umse!$B$11="3.10."),'VKr-K Ist'!H12,IF(OR(Umse!$B$11="4.1.",Umse!$B$11="4.2.",Umse!$B$11="4.3.",Umse!$B$11="4.4.",Umse!$B$11="4.5.",Umse!$B$11="4.6."),'VKr-B Ist'!H12,0)))</f>
        <v>0</v>
      </c>
      <c r="I21" s="308">
        <f>IF(OR(Umse!$C$24=0,Umse!$B$11=0),0,IF(OR(Umse!$B$11="3.1.",Umse!$B$11="3.2.",Umse!$B$11="3.5.",Umse!$B$11="3.6.",Umse!$B$11="3.9.",Umse!$B$11="3.10."),'VKr-K Ist'!I12,IF(OR(Umse!$B$11="4.1.",Umse!$B$11="4.2.",Umse!$B$11="4.3.",Umse!$B$11="4.4.",Umse!$B$11="4.5.",Umse!$B$11="4.6."),'VKr-B Ist'!I12,0)))</f>
        <v>0</v>
      </c>
      <c r="J21" s="307" t="str">
        <f>IF(OR(Umse!$B$11="3.1.",Umse!$B$11="3.2."),'VKr-K Ist'!J12,IF(OR(Umse!$B$11="4.1.",Umse!$B$11="4.2.",Umse!$B$11="4.3.",Umse!$B$11="4.4.",Umse!$B$11="4.5.",Umse!$B$11="4.6."),'VKr-B Ist'!J12,""))</f>
        <v/>
      </c>
      <c r="K21" s="306" t="str">
        <f>IF(OR(Umse!$C$24=0,Umse!$B$11=0),"",IF(OR(Umse!$B$11="3.1.",Umse!$B$11="3.2.",Umse!$B$11="3.5.",Umse!$B$11="3.6.",Umse!$B$11="3.9.",Umse!$B$11="3.10."),'VKr-K Ist'!K12,IF(OR(Umse!$B$11="4.1.",Umse!$B$11="4.2.",Umse!$B$11="4.3.",Umse!$B$11="4.4.",Umse!$B$11="4.5.",Umse!$B$11="4.6."),'VKr-B Ist'!K12,"")))</f>
        <v/>
      </c>
      <c r="L21" s="322" t="str">
        <f>IF(OR(Umse!$C$24=0,Umse!$B$11=0),"",IF(OR(Umse!$B$11="3.1.",Umse!$B$11="3.2.",Umse!$B$11="3.5.",Umse!$B$11="3.6.",Umse!$B$11="3.9.",Umse!$B$11="3.10."),'VKr-K Ist'!L12,IF(OR(Umse!$B$11="4.1.",Umse!$B$11="4.2.",Umse!$B$11="4.3.",Umse!$B$11="4.4.",Umse!$B$11="4.5.",Umse!$B$11="4.6."),'VKr-B Ist'!L12,"")))</f>
        <v/>
      </c>
      <c r="M21" s="308">
        <f>IF(OR(Umse!$C$24=0,Umse!$B$11=0),0,IF(OR(Umse!$B$11="3.1.",Umse!$B$11="3.2.",Umse!$B$11="3.5.",Umse!$B$11="3.6.",Umse!$B$11="3.9.",Umse!$B$11="3.10."),'VKr-K Ist'!M12,IF(OR(Umse!$B$11="4.1.",Umse!$B$11="4.2.",Umse!$B$11="4.3.",Umse!$B$11="4.4.",Umse!$B$11="4.5.",Umse!$B$11="4.6."),'VKr-B Ist'!M12,0)))</f>
        <v>0</v>
      </c>
      <c r="N21" s="308">
        <f>IF(OR(Umse!$C$24=0,Umse!$B$11=0),0,IF(OR(Umse!$B$11="3.1.",Umse!$B$11="3.2.",Umse!$B$11="3.5.",Umse!$B$11="3.6.",Umse!$B$11="3.9.",Umse!$B$11="3.10."),'VKr-K Ist'!N12,IF(OR(Umse!$B$11="4.1.",Umse!$B$11="4.2.",Umse!$B$11="4.3.",Umse!$B$11="4.4.",Umse!$B$11="4.5.",Umse!$B$11="4.6."),'VKr-B Ist'!N12,0)))</f>
        <v>0</v>
      </c>
      <c r="O21" s="308">
        <f>IF(OR(Umse!$C$24=0,Umse!$B$11=0),0,IF(OR(Umse!$B$11="3.1.",Umse!$B$11="3.2.",Umse!$B$11="3.5.",Umse!$B$11="3.6.",Umse!$B$11="3.9.",Umse!$B$11="3.10."),'VKr-K Ist'!O12,IF(OR(Umse!$B$11="4.1.",Umse!$B$11="4.2.",Umse!$B$11="4.3.",Umse!$B$11="4.4.",Umse!$B$11="4.5.",Umse!$B$11="4.6."),'VKr-B Ist'!O12,0)))</f>
        <v>0</v>
      </c>
      <c r="P21" s="308">
        <f>IF(OR(Umse!$C$24=0,Umse!$B$11=0),0,IF(OR(Umse!$B$11="3.1.",Umse!$B$11="3.2.",Umse!$B$11="3.5.",Umse!$B$11="3.6.",Umse!$B$11="3.9.",Umse!$B$11="3.10."),'VKr-K Ist'!P12,IF(OR(Umse!$B$11="4.1.",Umse!$B$11="4.2.",Umse!$B$11="4.3.",Umse!$B$11="4.4.",Umse!$B$11="4.5.",Umse!$B$11="4.6."),'VKr-B Ist'!P12,0)))</f>
        <v>0</v>
      </c>
      <c r="Q21" s="308">
        <f>IF(OR(Umse!$C$24=0,Umse!$B$11=0),0,IF(OR(Umse!$B$11="3.1.",Umse!$B$11="3.2.",Umse!$B$11="3.5.",Umse!$B$11="3.6.",Umse!$B$11="3.9.",Umse!$B$11="3.10."),'VKr-K Ist'!Q12,IF(OR(Umse!$B$11="4.1.",Umse!$B$11="4.2.",Umse!$B$11="4.3.",Umse!$B$11="4.4.",Umse!$B$11="4.5.",Umse!$B$11="4.6."),'VKr-B Ist'!Q12,0)))</f>
        <v>0</v>
      </c>
      <c r="R21" s="308">
        <f>IF(OR(Umse!$C$24=0,Umse!$B$11=0),0,IF(OR(Umse!$B$11="3.1.",Umse!$B$11="3.2.",Umse!$B$11="3.5.",Umse!$B$11="3.6.",Umse!$B$11="3.9.",Umse!$B$11="3.10."),'VKr-K Ist'!R12,IF(OR(Umse!$B$11="4.1.",Umse!$B$11="4.2.",Umse!$B$11="4.3.",Umse!$B$11="4.4.",Umse!$B$11="4.5.",Umse!$B$11="4.6."),'VKr-B Ist'!R12,0)))</f>
        <v>0</v>
      </c>
    </row>
    <row r="22" spans="2:29" ht="11.25" customHeight="1">
      <c r="B22" s="306" t="str">
        <f t="shared" si="1"/>
        <v/>
      </c>
      <c r="C22" s="322" t="str">
        <f t="shared" si="1"/>
        <v/>
      </c>
      <c r="D22" s="308">
        <f>IF(OR(Umse!$C$24=0,Umse!$B$11=0),0,IF(OR(Umse!$B$11="3.1.",Umse!$B$11="3.2.",Umse!$B$11="3.5.",Umse!$B$11="3.6.",Umse!$B$11="3.9.",Umse!$B$11="3.10."),'VKr-K Ist'!D13,IF(OR(Umse!$B$11="4.1.",Umse!$B$11="4.2.",Umse!$B$11="4.3.",Umse!$B$11="4.4.",Umse!$B$11="4.5.",Umse!$B$11="4.6."),'VKr-B Ist'!D13,0)))</f>
        <v>0</v>
      </c>
      <c r="E22" s="308">
        <f>IF(OR(Umse!$C$24=0,Umse!$B$11=0),0,IF(OR(Umse!$B$11="3.1.",Umse!$B$11="3.2.",Umse!$B$11="3.5.",Umse!$B$11="3.6.",Umse!$B$11="3.9.",Umse!$B$11="3.10."),'VKr-K Ist'!E13,IF(OR(Umse!$B$11="4.1.",Umse!$B$11="4.2.",Umse!$B$11="4.3.",Umse!$B$11="4.4.",Umse!$B$11="4.5.",Umse!$B$11="4.6."),'VKr-B Ist'!E13,0)))</f>
        <v>0</v>
      </c>
      <c r="F22" s="308">
        <f>IF(OR(Umse!$C$24=0,Umse!$B$11=0),0,IF(OR(Umse!$B$11="3.1.",Umse!$B$11="3.2.",Umse!$B$11="3.5.",Umse!$B$11="3.6.",Umse!$B$11="3.9.",Umse!$B$11="3.10."),'VKr-K Ist'!F13,IF(OR(Umse!$B$11="4.1.",Umse!$B$11="4.2.",Umse!$B$11="4.3.",Umse!$B$11="4.4.",Umse!$B$11="4.5.",Umse!$B$11="4.6."),'VKr-B Ist'!F13,0)))</f>
        <v>0</v>
      </c>
      <c r="G22" s="308">
        <f>IF(OR(Umse!$C$24=0,Umse!$B$11=0),0,IF(OR(Umse!$B$11="3.1.",Umse!$B$11="3.2.",Umse!$B$11="3.5.",Umse!$B$11="3.6.",Umse!$B$11="3.9.",Umse!$B$11="3.10."),'VKr-K Ist'!G13,IF(OR(Umse!$B$11="4.1.",Umse!$B$11="4.2.",Umse!$B$11="4.3.",Umse!$B$11="4.4.",Umse!$B$11="4.5.",Umse!$B$11="4.6."),'VKr-B Ist'!G13,0)))</f>
        <v>0</v>
      </c>
      <c r="H22" s="308">
        <f>IF(OR(Umse!$C$24=0,Umse!$B$11=0),0,IF(OR(Umse!$B$11="3.1.",Umse!$B$11="3.2.",Umse!$B$11="3.5.",Umse!$B$11="3.6.",Umse!$B$11="3.9.",Umse!$B$11="3.10."),'VKr-K Ist'!H13,IF(OR(Umse!$B$11="4.1.",Umse!$B$11="4.2.",Umse!$B$11="4.3.",Umse!$B$11="4.4.",Umse!$B$11="4.5.",Umse!$B$11="4.6."),'VKr-B Ist'!H13,0)))</f>
        <v>0</v>
      </c>
      <c r="I22" s="308">
        <f>IF(OR(Umse!$C$24=0,Umse!$B$11=0),0,IF(OR(Umse!$B$11="3.1.",Umse!$B$11="3.2.",Umse!$B$11="3.5.",Umse!$B$11="3.6.",Umse!$B$11="3.9.",Umse!$B$11="3.10."),'VKr-K Ist'!I13,IF(OR(Umse!$B$11="4.1.",Umse!$B$11="4.2.",Umse!$B$11="4.3.",Umse!$B$11="4.4.",Umse!$B$11="4.5.",Umse!$B$11="4.6."),'VKr-B Ist'!I13,0)))</f>
        <v>0</v>
      </c>
      <c r="J22" s="307" t="str">
        <f>IF(OR(Umse!$B$11="3.1.",Umse!$B$11="3.2."),'VKr-K Ist'!J13,IF(OR(Umse!$B$11="4.1.",Umse!$B$11="4.2.",Umse!$B$11="4.3.",Umse!$B$11="4.4.",Umse!$B$11="4.5.",Umse!$B$11="4.6."),'VKr-B Ist'!J13,""))</f>
        <v/>
      </c>
      <c r="K22" s="306" t="str">
        <f>IF(OR(Umse!$C$24=0,Umse!$B$11=0),"",IF(OR(Umse!$B$11="3.1.",Umse!$B$11="3.2.",Umse!$B$11="3.5.",Umse!$B$11="3.6.",Umse!$B$11="3.9.",Umse!$B$11="3.10."),'VKr-K Ist'!K13,IF(OR(Umse!$B$11="4.1.",Umse!$B$11="4.2.",Umse!$B$11="4.3.",Umse!$B$11="4.4.",Umse!$B$11="4.5.",Umse!$B$11="4.6."),'VKr-B Ist'!K13,"")))</f>
        <v/>
      </c>
      <c r="L22" s="322" t="str">
        <f>IF(OR(Umse!$C$24=0,Umse!$B$11=0),"",IF(OR(Umse!$B$11="3.1.",Umse!$B$11="3.2.",Umse!$B$11="3.5.",Umse!$B$11="3.6.",Umse!$B$11="3.9.",Umse!$B$11="3.10."),'VKr-K Ist'!L13,IF(OR(Umse!$B$11="4.1.",Umse!$B$11="4.2.",Umse!$B$11="4.3.",Umse!$B$11="4.4.",Umse!$B$11="4.5.",Umse!$B$11="4.6."),'VKr-B Ist'!L13,"")))</f>
        <v/>
      </c>
      <c r="M22" s="308">
        <f>IF(OR(Umse!$C$24=0,Umse!$B$11=0),0,IF(OR(Umse!$B$11="3.1.",Umse!$B$11="3.2.",Umse!$B$11="3.5.",Umse!$B$11="3.6.",Umse!$B$11="3.9.",Umse!$B$11="3.10."),'VKr-K Ist'!M13,IF(OR(Umse!$B$11="4.1.",Umse!$B$11="4.2.",Umse!$B$11="4.3.",Umse!$B$11="4.4.",Umse!$B$11="4.5.",Umse!$B$11="4.6."),'VKr-B Ist'!M13,0)))</f>
        <v>0</v>
      </c>
      <c r="N22" s="308">
        <f>IF(OR(Umse!$C$24=0,Umse!$B$11=0),0,IF(OR(Umse!$B$11="3.1.",Umse!$B$11="3.2.",Umse!$B$11="3.5.",Umse!$B$11="3.6.",Umse!$B$11="3.9.",Umse!$B$11="3.10."),'VKr-K Ist'!N13,IF(OR(Umse!$B$11="4.1.",Umse!$B$11="4.2.",Umse!$B$11="4.3.",Umse!$B$11="4.4.",Umse!$B$11="4.5.",Umse!$B$11="4.6."),'VKr-B Ist'!N13,0)))</f>
        <v>0</v>
      </c>
      <c r="O22" s="308">
        <f>IF(OR(Umse!$C$24=0,Umse!$B$11=0),0,IF(OR(Umse!$B$11="3.1.",Umse!$B$11="3.2.",Umse!$B$11="3.5.",Umse!$B$11="3.6.",Umse!$B$11="3.9.",Umse!$B$11="3.10."),'VKr-K Ist'!O13,IF(OR(Umse!$B$11="4.1.",Umse!$B$11="4.2.",Umse!$B$11="4.3.",Umse!$B$11="4.4.",Umse!$B$11="4.5.",Umse!$B$11="4.6."),'VKr-B Ist'!O13,0)))</f>
        <v>0</v>
      </c>
      <c r="P22" s="308">
        <f>IF(OR(Umse!$C$24=0,Umse!$B$11=0),0,IF(OR(Umse!$B$11="3.1.",Umse!$B$11="3.2.",Umse!$B$11="3.5.",Umse!$B$11="3.6.",Umse!$B$11="3.9.",Umse!$B$11="3.10."),'VKr-K Ist'!P13,IF(OR(Umse!$B$11="4.1.",Umse!$B$11="4.2.",Umse!$B$11="4.3.",Umse!$B$11="4.4.",Umse!$B$11="4.5.",Umse!$B$11="4.6."),'VKr-B Ist'!P13,0)))</f>
        <v>0</v>
      </c>
      <c r="Q22" s="308">
        <f>IF(OR(Umse!$C$24=0,Umse!$B$11=0),0,IF(OR(Umse!$B$11="3.1.",Umse!$B$11="3.2.",Umse!$B$11="3.5.",Umse!$B$11="3.6.",Umse!$B$11="3.9.",Umse!$B$11="3.10."),'VKr-K Ist'!Q13,IF(OR(Umse!$B$11="4.1.",Umse!$B$11="4.2.",Umse!$B$11="4.3.",Umse!$B$11="4.4.",Umse!$B$11="4.5.",Umse!$B$11="4.6."),'VKr-B Ist'!Q13,0)))</f>
        <v>0</v>
      </c>
      <c r="R22" s="308">
        <f>IF(OR(Umse!$C$24=0,Umse!$B$11=0),0,IF(OR(Umse!$B$11="3.1.",Umse!$B$11="3.2.",Umse!$B$11="3.5.",Umse!$B$11="3.6.",Umse!$B$11="3.9.",Umse!$B$11="3.10."),'VKr-K Ist'!R13,IF(OR(Umse!$B$11="4.1.",Umse!$B$11="4.2.",Umse!$B$11="4.3.",Umse!$B$11="4.4.",Umse!$B$11="4.5.",Umse!$B$11="4.6."),'VKr-B Ist'!R13,0)))</f>
        <v>0</v>
      </c>
    </row>
    <row r="23" spans="2:29" ht="11.25" customHeight="1">
      <c r="B23" s="306" t="str">
        <f t="shared" si="1"/>
        <v/>
      </c>
      <c r="C23" s="322" t="str">
        <f t="shared" si="1"/>
        <v/>
      </c>
      <c r="D23" s="308">
        <f>IF(OR(Umse!$C$24=0,Umse!$B$11=0),0,IF(OR(Umse!$B$11="3.1.",Umse!$B$11="3.2.",Umse!$B$11="3.5.",Umse!$B$11="3.6.",Umse!$B$11="3.9.",Umse!$B$11="3.10."),'VKr-K Ist'!D14,IF(OR(Umse!$B$11="4.1.",Umse!$B$11="4.2.",Umse!$B$11="4.3.",Umse!$B$11="4.4.",Umse!$B$11="4.5.",Umse!$B$11="4.6."),'VKr-B Ist'!D14,0)))</f>
        <v>0</v>
      </c>
      <c r="E23" s="308">
        <f>IF(OR(Umse!$C$24=0,Umse!$B$11=0),0,IF(OR(Umse!$B$11="3.1.",Umse!$B$11="3.2.",Umse!$B$11="3.5.",Umse!$B$11="3.6.",Umse!$B$11="3.9.",Umse!$B$11="3.10."),'VKr-K Ist'!E14,IF(OR(Umse!$B$11="4.1.",Umse!$B$11="4.2.",Umse!$B$11="4.3.",Umse!$B$11="4.4.",Umse!$B$11="4.5.",Umse!$B$11="4.6."),'VKr-B Ist'!E14,0)))</f>
        <v>0</v>
      </c>
      <c r="F23" s="308">
        <f>IF(OR(Umse!$C$24=0,Umse!$B$11=0),0,IF(OR(Umse!$B$11="3.1.",Umse!$B$11="3.2.",Umse!$B$11="3.5.",Umse!$B$11="3.6.",Umse!$B$11="3.9.",Umse!$B$11="3.10."),'VKr-K Ist'!F14,IF(OR(Umse!$B$11="4.1.",Umse!$B$11="4.2.",Umse!$B$11="4.3.",Umse!$B$11="4.4.",Umse!$B$11="4.5.",Umse!$B$11="4.6."),'VKr-B Ist'!F14,0)))</f>
        <v>0</v>
      </c>
      <c r="G23" s="308">
        <f>IF(OR(Umse!$C$24=0,Umse!$B$11=0),0,IF(OR(Umse!$B$11="3.1.",Umse!$B$11="3.2.",Umse!$B$11="3.5.",Umse!$B$11="3.6.",Umse!$B$11="3.9.",Umse!$B$11="3.10."),'VKr-K Ist'!G14,IF(OR(Umse!$B$11="4.1.",Umse!$B$11="4.2.",Umse!$B$11="4.3.",Umse!$B$11="4.4.",Umse!$B$11="4.5.",Umse!$B$11="4.6."),'VKr-B Ist'!G14,0)))</f>
        <v>0</v>
      </c>
      <c r="H23" s="308">
        <f>IF(OR(Umse!$C$24=0,Umse!$B$11=0),0,IF(OR(Umse!$B$11="3.1.",Umse!$B$11="3.2.",Umse!$B$11="3.5.",Umse!$B$11="3.6.",Umse!$B$11="3.9.",Umse!$B$11="3.10."),'VKr-K Ist'!H14,IF(OR(Umse!$B$11="4.1.",Umse!$B$11="4.2.",Umse!$B$11="4.3.",Umse!$B$11="4.4.",Umse!$B$11="4.5.",Umse!$B$11="4.6."),'VKr-B Ist'!H14,0)))</f>
        <v>0</v>
      </c>
      <c r="I23" s="308">
        <f>IF(OR(Umse!$C$24=0,Umse!$B$11=0),0,IF(OR(Umse!$B$11="3.1.",Umse!$B$11="3.2.",Umse!$B$11="3.5.",Umse!$B$11="3.6.",Umse!$B$11="3.9.",Umse!$B$11="3.10."),'VKr-K Ist'!I14,IF(OR(Umse!$B$11="4.1.",Umse!$B$11="4.2.",Umse!$B$11="4.3.",Umse!$B$11="4.4.",Umse!$B$11="4.5.",Umse!$B$11="4.6."),'VKr-B Ist'!I14,0)))</f>
        <v>0</v>
      </c>
      <c r="J23" s="307" t="str">
        <f>IF(OR(Umse!$B$11="3.1.",Umse!$B$11="3.2."),'VKr-K Ist'!J14,IF(OR(Umse!$B$11="4.1.",Umse!$B$11="4.2.",Umse!$B$11="4.3.",Umse!$B$11="4.4.",Umse!$B$11="4.5.",Umse!$B$11="4.6."),'VKr-B Ist'!J14,""))</f>
        <v/>
      </c>
      <c r="K23" s="306" t="str">
        <f>IF(OR(Umse!$C$24=0,Umse!$B$11=0),"",IF(OR(Umse!$B$11="3.1.",Umse!$B$11="3.2.",Umse!$B$11="3.5.",Umse!$B$11="3.6.",Umse!$B$11="3.9.",Umse!$B$11="3.10."),'VKr-K Ist'!K14,IF(OR(Umse!$B$11="4.1.",Umse!$B$11="4.2.",Umse!$B$11="4.3.",Umse!$B$11="4.4.",Umse!$B$11="4.5.",Umse!$B$11="4.6."),'VKr-B Ist'!K14,"")))</f>
        <v/>
      </c>
      <c r="L23" s="322" t="str">
        <f>IF(OR(Umse!$C$24=0,Umse!$B$11=0),"",IF(OR(Umse!$B$11="3.1.",Umse!$B$11="3.2.",Umse!$B$11="3.5.",Umse!$B$11="3.6.",Umse!$B$11="3.9.",Umse!$B$11="3.10."),'VKr-K Ist'!L14,IF(OR(Umse!$B$11="4.1.",Umse!$B$11="4.2.",Umse!$B$11="4.3.",Umse!$B$11="4.4.",Umse!$B$11="4.5.",Umse!$B$11="4.6."),'VKr-B Ist'!L14,"")))</f>
        <v/>
      </c>
      <c r="M23" s="308">
        <f>IF(OR(Umse!$C$24=0,Umse!$B$11=0),0,IF(OR(Umse!$B$11="3.1.",Umse!$B$11="3.2.",Umse!$B$11="3.5.",Umse!$B$11="3.6.",Umse!$B$11="3.9.",Umse!$B$11="3.10."),'VKr-K Ist'!M14,IF(OR(Umse!$B$11="4.1.",Umse!$B$11="4.2.",Umse!$B$11="4.3.",Umse!$B$11="4.4.",Umse!$B$11="4.5.",Umse!$B$11="4.6."),'VKr-B Ist'!M14,0)))</f>
        <v>0</v>
      </c>
      <c r="N23" s="308">
        <f>IF(OR(Umse!$C$24=0,Umse!$B$11=0),0,IF(OR(Umse!$B$11="3.1.",Umse!$B$11="3.2.",Umse!$B$11="3.5.",Umse!$B$11="3.6.",Umse!$B$11="3.9.",Umse!$B$11="3.10."),'VKr-K Ist'!N14,IF(OR(Umse!$B$11="4.1.",Umse!$B$11="4.2.",Umse!$B$11="4.3.",Umse!$B$11="4.4.",Umse!$B$11="4.5.",Umse!$B$11="4.6."),'VKr-B Ist'!N14,0)))</f>
        <v>0</v>
      </c>
      <c r="O23" s="308">
        <f>IF(OR(Umse!$C$24=0,Umse!$B$11=0),0,IF(OR(Umse!$B$11="3.1.",Umse!$B$11="3.2.",Umse!$B$11="3.5.",Umse!$B$11="3.6.",Umse!$B$11="3.9.",Umse!$B$11="3.10."),'VKr-K Ist'!O14,IF(OR(Umse!$B$11="4.1.",Umse!$B$11="4.2.",Umse!$B$11="4.3.",Umse!$B$11="4.4.",Umse!$B$11="4.5.",Umse!$B$11="4.6."),'VKr-B Ist'!O14,0)))</f>
        <v>0</v>
      </c>
      <c r="P23" s="308">
        <f>IF(OR(Umse!$C$24=0,Umse!$B$11=0),0,IF(OR(Umse!$B$11="3.1.",Umse!$B$11="3.2.",Umse!$B$11="3.5.",Umse!$B$11="3.6.",Umse!$B$11="3.9.",Umse!$B$11="3.10."),'VKr-K Ist'!P14,IF(OR(Umse!$B$11="4.1.",Umse!$B$11="4.2.",Umse!$B$11="4.3.",Umse!$B$11="4.4.",Umse!$B$11="4.5.",Umse!$B$11="4.6."),'VKr-B Ist'!P14,0)))</f>
        <v>0</v>
      </c>
      <c r="Q23" s="308">
        <f>IF(OR(Umse!$C$24=0,Umse!$B$11=0),0,IF(OR(Umse!$B$11="3.1.",Umse!$B$11="3.2.",Umse!$B$11="3.5.",Umse!$B$11="3.6.",Umse!$B$11="3.9.",Umse!$B$11="3.10."),'VKr-K Ist'!Q14,IF(OR(Umse!$B$11="4.1.",Umse!$B$11="4.2.",Umse!$B$11="4.3.",Umse!$B$11="4.4.",Umse!$B$11="4.5.",Umse!$B$11="4.6."),'VKr-B Ist'!Q14,0)))</f>
        <v>0</v>
      </c>
      <c r="R23" s="308">
        <f>IF(OR(Umse!$C$24=0,Umse!$B$11=0),0,IF(OR(Umse!$B$11="3.1.",Umse!$B$11="3.2.",Umse!$B$11="3.5.",Umse!$B$11="3.6.",Umse!$B$11="3.9.",Umse!$B$11="3.10."),'VKr-K Ist'!R14,IF(OR(Umse!$B$11="4.1.",Umse!$B$11="4.2.",Umse!$B$11="4.3.",Umse!$B$11="4.4.",Umse!$B$11="4.5.",Umse!$B$11="4.6."),'VKr-B Ist'!R14,0)))</f>
        <v>0</v>
      </c>
    </row>
    <row r="24" spans="2:29" ht="11.25" customHeight="1">
      <c r="B24" s="306"/>
      <c r="C24" s="306"/>
      <c r="D24" s="308"/>
      <c r="E24" s="308"/>
      <c r="F24" s="308"/>
      <c r="G24" s="308"/>
      <c r="H24" s="308"/>
      <c r="I24" s="308"/>
      <c r="J24" s="307"/>
      <c r="K24" s="532" t="str">
        <f>""</f>
        <v/>
      </c>
      <c r="L24" s="532" t="str">
        <f>""</f>
        <v/>
      </c>
      <c r="M24" s="308"/>
      <c r="N24" s="308"/>
      <c r="O24" s="308"/>
      <c r="P24" s="308"/>
      <c r="Q24" s="308"/>
      <c r="R24" s="308"/>
    </row>
    <row r="25" spans="2:29" ht="11.25" customHeight="1">
      <c r="B25" s="306"/>
      <c r="C25" s="306"/>
      <c r="D25" s="308"/>
      <c r="E25" s="308"/>
      <c r="F25" s="308"/>
      <c r="G25" s="308"/>
      <c r="H25" s="308"/>
      <c r="I25" s="308"/>
      <c r="J25" s="307"/>
      <c r="K25" s="306"/>
      <c r="L25" s="306"/>
      <c r="M25" s="308"/>
      <c r="N25" s="308"/>
      <c r="O25" s="308"/>
      <c r="P25" s="308"/>
      <c r="Q25" s="308"/>
      <c r="R25" s="308"/>
    </row>
    <row r="26" spans="2:29" ht="11.25" customHeight="1">
      <c r="B26" s="306"/>
      <c r="C26" s="306"/>
      <c r="D26" s="308"/>
      <c r="E26" s="308"/>
      <c r="F26" s="308"/>
      <c r="G26" s="308"/>
      <c r="H26" s="308"/>
      <c r="I26" s="308"/>
      <c r="J26" s="307"/>
      <c r="K26" s="306"/>
      <c r="L26" s="306"/>
      <c r="M26" s="308"/>
      <c r="N26" s="308"/>
      <c r="O26" s="308"/>
      <c r="P26" s="308"/>
      <c r="Q26" s="308"/>
      <c r="R26" s="308"/>
      <c r="T26" s="299"/>
      <c r="U26" s="299"/>
      <c r="V26" s="299"/>
    </row>
    <row r="27" spans="2:29" ht="11.25" customHeight="1">
      <c r="B27" s="306"/>
      <c r="C27" s="306"/>
      <c r="D27" s="308"/>
      <c r="E27" s="308"/>
      <c r="F27" s="308"/>
      <c r="G27" s="308"/>
      <c r="H27" s="308"/>
      <c r="I27" s="308"/>
      <c r="J27" s="307"/>
      <c r="K27" s="306"/>
      <c r="L27" s="306"/>
      <c r="M27" s="308"/>
      <c r="N27" s="308"/>
      <c r="O27" s="308"/>
      <c r="P27" s="308"/>
      <c r="Q27" s="308"/>
      <c r="R27" s="308"/>
      <c r="T27" s="299"/>
      <c r="U27" s="299"/>
      <c r="V27" s="299"/>
    </row>
    <row r="28" spans="2:29" ht="11.25" customHeight="1">
      <c r="B28" s="306"/>
      <c r="C28" s="306"/>
      <c r="D28" s="308"/>
      <c r="E28" s="308"/>
      <c r="F28" s="308"/>
      <c r="G28" s="308"/>
      <c r="H28" s="308"/>
      <c r="I28" s="308"/>
      <c r="J28" s="307"/>
      <c r="K28" s="306"/>
      <c r="L28" s="306"/>
      <c r="M28" s="308"/>
      <c r="N28" s="308"/>
      <c r="O28" s="308"/>
      <c r="P28" s="308"/>
      <c r="Q28" s="308"/>
      <c r="R28" s="308"/>
      <c r="T28" s="299"/>
      <c r="U28" s="299"/>
      <c r="V28" s="299"/>
    </row>
    <row r="29" spans="2:29" ht="11.25" customHeight="1">
      <c r="B29" s="306"/>
      <c r="C29" s="306"/>
      <c r="D29" s="308"/>
      <c r="E29" s="308"/>
      <c r="F29" s="308"/>
      <c r="G29" s="308"/>
      <c r="H29" s="308"/>
      <c r="I29" s="308"/>
      <c r="J29" s="307"/>
      <c r="K29" s="306"/>
      <c r="L29" s="306"/>
      <c r="M29" s="308"/>
      <c r="N29" s="308"/>
      <c r="O29" s="308"/>
      <c r="P29" s="308"/>
      <c r="Q29" s="308"/>
      <c r="R29" s="308"/>
      <c r="S29" s="299"/>
      <c r="T29" s="299"/>
      <c r="U29" s="299"/>
      <c r="V29" s="299"/>
      <c r="W29" s="309"/>
      <c r="X29" s="299"/>
      <c r="Y29" s="299"/>
      <c r="Z29" s="299"/>
      <c r="AA29" s="299"/>
      <c r="AB29" s="299"/>
      <c r="AC29" s="299"/>
    </row>
    <row r="30" spans="2:29" ht="11.25" customHeight="1">
      <c r="B30" s="306"/>
      <c r="C30" s="306"/>
      <c r="D30" s="308"/>
      <c r="E30" s="308"/>
      <c r="F30" s="308"/>
      <c r="G30" s="308"/>
      <c r="H30" s="308"/>
      <c r="I30" s="308"/>
      <c r="J30" s="307"/>
      <c r="K30" s="306"/>
      <c r="L30" s="306"/>
      <c r="M30" s="308"/>
      <c r="N30" s="308"/>
      <c r="O30" s="308"/>
      <c r="P30" s="308"/>
      <c r="Q30" s="308"/>
      <c r="R30" s="308"/>
      <c r="S30" s="299"/>
      <c r="T30" s="299"/>
      <c r="U30" s="299"/>
      <c r="V30" s="299"/>
      <c r="W30" s="309"/>
      <c r="X30" s="299"/>
      <c r="Y30" s="299"/>
      <c r="Z30" s="299"/>
      <c r="AA30" s="299"/>
      <c r="AB30" s="299"/>
      <c r="AC30" s="299"/>
    </row>
    <row r="31" spans="2:29" ht="11.25" customHeight="1">
      <c r="B31" s="306"/>
      <c r="C31" s="306"/>
      <c r="D31" s="308"/>
      <c r="E31" s="308"/>
      <c r="F31" s="308"/>
      <c r="G31" s="308"/>
      <c r="H31" s="308"/>
      <c r="I31" s="308"/>
      <c r="J31" s="307"/>
      <c r="K31" s="306"/>
      <c r="L31" s="306"/>
      <c r="M31" s="308"/>
      <c r="N31" s="308"/>
      <c r="O31" s="308"/>
      <c r="P31" s="308"/>
      <c r="Q31" s="308"/>
      <c r="R31" s="308"/>
      <c r="S31" s="299"/>
      <c r="T31" s="299"/>
      <c r="U31" s="299"/>
      <c r="V31" s="299"/>
      <c r="W31" s="309"/>
      <c r="X31" s="299"/>
      <c r="Y31" s="299"/>
      <c r="Z31" s="299"/>
      <c r="AA31" s="299"/>
      <c r="AB31" s="299"/>
      <c r="AC31" s="299"/>
    </row>
    <row r="32" spans="2:29" ht="11.25" customHeight="1">
      <c r="B32" s="306"/>
      <c r="C32" s="306"/>
      <c r="D32" s="308"/>
      <c r="E32" s="308"/>
      <c r="F32" s="308"/>
      <c r="G32" s="308"/>
      <c r="H32" s="308"/>
      <c r="I32" s="308"/>
      <c r="J32" s="307"/>
      <c r="K32" s="306"/>
      <c r="L32" s="306"/>
      <c r="M32" s="308"/>
      <c r="N32" s="308"/>
      <c r="O32" s="308"/>
      <c r="P32" s="308"/>
      <c r="Q32" s="308"/>
      <c r="R32" s="308"/>
      <c r="S32" s="299"/>
      <c r="T32" s="299"/>
      <c r="U32" s="299"/>
      <c r="V32" s="299"/>
      <c r="W32" s="309"/>
      <c r="X32" s="299"/>
      <c r="Y32" s="299"/>
      <c r="Z32" s="299"/>
      <c r="AA32" s="299"/>
      <c r="AB32" s="299"/>
      <c r="AC32" s="299"/>
    </row>
    <row r="33" spans="2:29" ht="11.25" customHeight="1">
      <c r="B33" s="306"/>
      <c r="C33" s="306"/>
      <c r="D33" s="308"/>
      <c r="E33" s="308"/>
      <c r="F33" s="308"/>
      <c r="G33" s="308"/>
      <c r="H33" s="308"/>
      <c r="I33" s="308"/>
      <c r="J33" s="307"/>
      <c r="K33" s="306"/>
      <c r="L33" s="306"/>
      <c r="M33" s="308"/>
      <c r="N33" s="308"/>
      <c r="O33" s="308"/>
      <c r="P33" s="308"/>
      <c r="Q33" s="308"/>
      <c r="R33" s="308"/>
      <c r="S33" s="299"/>
      <c r="T33" s="299"/>
      <c r="U33" s="299"/>
      <c r="V33" s="299"/>
      <c r="W33" s="309"/>
      <c r="X33" s="299"/>
      <c r="Y33" s="299"/>
      <c r="Z33" s="299"/>
      <c r="AA33" s="299"/>
      <c r="AB33" s="299"/>
      <c r="AC33" s="299"/>
    </row>
    <row r="34" spans="2:29" ht="3.75" customHeight="1">
      <c r="S34" s="299"/>
      <c r="T34" s="299"/>
      <c r="U34" s="299"/>
      <c r="V34" s="299"/>
      <c r="W34" s="309"/>
      <c r="X34" s="299"/>
      <c r="Y34" s="299"/>
      <c r="Z34" s="299"/>
      <c r="AA34" s="299"/>
      <c r="AB34" s="299"/>
      <c r="AC34" s="299"/>
    </row>
    <row r="35" spans="2:29" ht="12.75" customHeight="1">
      <c r="B35" s="669" t="str">
        <f>K10</f>
        <v/>
      </c>
      <c r="C35" s="670"/>
      <c r="D35" s="670"/>
      <c r="E35" s="673" t="str">
        <f>IF(OR(Umse!$B$11="3.1.",Umse!$B$11="3.2.",Umse!$B$11="3.5.",Umse!$B$11="3.6.",Umse!$B$11="3.9.",Umse!$B$11="3.10."),"Zeitzuschläge",IF(OR(Umse!$B$11="4.1.",Umse!$B$11="4.2.",Umse!$B$11="4.3.",Umse!$B$11="4.4.",Umse!$B$11="4.5.",Umse!$B$11="4.6."),"Zeitzuschläge",""))</f>
        <v/>
      </c>
      <c r="F35" s="673"/>
      <c r="G35" s="673"/>
      <c r="H35" s="661" t="str">
        <f>H10</f>
        <v/>
      </c>
      <c r="I35" s="662"/>
      <c r="J35" s="307"/>
      <c r="K35" s="310"/>
      <c r="L35" s="311"/>
      <c r="M35" s="312"/>
      <c r="N35" s="312"/>
      <c r="O35" s="312"/>
      <c r="P35" s="312"/>
      <c r="Q35" s="312"/>
      <c r="R35" s="313"/>
      <c r="S35" s="299"/>
      <c r="T35" s="299"/>
      <c r="U35" s="299"/>
      <c r="V35" s="299"/>
      <c r="W35" s="309"/>
      <c r="X35" s="299"/>
      <c r="Y35" s="299"/>
      <c r="Z35" s="299"/>
      <c r="AA35" s="299"/>
      <c r="AB35" s="299"/>
      <c r="AC35" s="299"/>
    </row>
    <row r="36" spans="2:29" ht="12.75" customHeight="1">
      <c r="B36" s="674" t="str">
        <f>IF(OR(Umse!$C$24=0,Umse!$B$11=0),"",IF(OR(Umse!$B$11="3.1.",Umse!$B$11="3.2.",Umse!$B$11="3.5.",Umse!$B$11="3.6.",Umse!$B$11="3.9.",Umse!$B$11="3.10."),'VKr-K Ist'!B23,IF(OR(Umse!$B$11="4.1.",Umse!$B$11="4.2.",Umse!$B$11="4.3.",Umse!$B$11="4.4.",Umse!$B$11="4.5.",Umse!$B$11="4.6."),'VKr-B Ist'!B23,"")))</f>
        <v/>
      </c>
      <c r="C36" s="675"/>
      <c r="D36" s="671" t="str">
        <f>IF(OR(Umse!$C$24=0,Umse!$B$11=0),"",IF(OR(Umse!$B$11="3.1.",Umse!$B$11="3.2.",Umse!$B$11="3.5.",Umse!$B$11="3.6.",Umse!$B$11="3.9.",Umse!$B$11="3.10."),'VKr-K Ist'!D23,IF(OR(Umse!$B$11="4.1.",Umse!$B$11="4.2.",Umse!$B$11="4.3.",Umse!$B$11="4.4.",Umse!$B$11="4.5.",Umse!$B$11="4.6."),'VKr-B Ist'!D23,"")))</f>
        <v/>
      </c>
      <c r="E36" s="671" t="str">
        <f>IF(OR(Umse!$C$24=0,Umse!$B$11=0),"",IF(OR(Umse!$B$11="3.1.",Umse!$B$11="3.2.",Umse!$B$11="3.5.",Umse!$B$11="3.6.",Umse!$B$11="3.9.",Umse!$B$11="3.10."),'VKr-K Ist'!E23,IF(OR(Umse!$B$11="4.1.",Umse!$B$11="4.2.",Umse!$B$11="4.3.",Umse!$B$11="4.4.",Umse!$B$11="4.5.",Umse!$B$11="4.6."),'VKr-B Ist'!E23,"")))</f>
        <v/>
      </c>
      <c r="F36" s="671" t="str">
        <f>IF(OR(Umse!$C$24=0,Umse!$B$11=0),"",IF(OR(Umse!$B$11="3.1.",Umse!$B$11="3.2.",Umse!$B$11="3.5.",Umse!$B$11="3.6.",Umse!$B$11="3.9.",Umse!$B$11="3.10."),'VKr-K Ist'!F23,IF(OR(Umse!$B$11="4.1.",Umse!$B$11="4.2.",Umse!$B$11="4.3.",Umse!$B$11="4.4.",Umse!$B$11="4.5.",Umse!$B$11="4.6."),'VKr-B Ist'!F23,"")))</f>
        <v/>
      </c>
      <c r="G36" s="671" t="str">
        <f>IF(OR(Umse!$C$24=0,Umse!$B$11=0),"",IF(OR(Umse!$B$11="3.1.",Umse!$B$11="3.2.",Umse!$B$11="3.5.",Umse!$B$11="3.6.",Umse!$B$11="3.9.",Umse!$B$11="3.10."),'VKr-K Ist'!G23,IF(OR(Umse!$B$11="4.1.",Umse!$B$11="4.2.",Umse!$B$11="4.3.",Umse!$B$11="4.4.",Umse!$B$11="4.5.",Umse!$B$11="4.6."),'VKr-B Ist'!G23,"")))</f>
        <v/>
      </c>
      <c r="H36" s="671" t="str">
        <f>IF(OR(Umse!$C$24=0,Umse!$B$11=0),"",IF(OR(Umse!$B$11="3.1.",Umse!$B$11="3.2.",Umse!$B$11="3.5.",Umse!$B$11="3.6.",Umse!$B$11="3.9.",Umse!$B$11="3.10."),'VKr-K Ist'!H23,IF(OR(Umse!$B$11="4.1.",Umse!$B$11="4.2.",Umse!$B$11="4.3.",Umse!$B$11="4.4.",Umse!$B$11="4.5.",Umse!$B$11="4.6."),'VKr-B Ist'!H23,"")))</f>
        <v/>
      </c>
      <c r="I36" s="671" t="str">
        <f>IF(OR(Umse!$C$24=0,Umse!$B$11=0),"",IF(OR(Umse!$B$11="3.1.",Umse!$B$11="3.2.",Umse!$B$11="3.5.",Umse!$B$11="3.6.",Umse!$B$11="3.9.",Umse!$B$11="3.10."),'VKr-K Ist'!I23,IF(OR(Umse!$B$11="4.1.",Umse!$B$11="4.2.",Umse!$B$11="4.3.",Umse!$B$11="4.4.",Umse!$B$11="4.5.",Umse!$B$11="4.6."),'VKr-B Ist'!I23,"")))</f>
        <v/>
      </c>
      <c r="J36" s="307"/>
      <c r="K36" s="668"/>
      <c r="L36" s="668"/>
      <c r="M36" s="668"/>
      <c r="N36" s="668"/>
      <c r="O36" s="668"/>
      <c r="P36" s="668"/>
      <c r="Q36" s="668"/>
      <c r="R36" s="668"/>
      <c r="S36" s="299"/>
      <c r="T36" s="299"/>
      <c r="U36" s="299"/>
      <c r="V36" s="299"/>
      <c r="W36" s="309"/>
      <c r="X36" s="299"/>
      <c r="Y36" s="299"/>
      <c r="Z36" s="299"/>
      <c r="AA36" s="299"/>
      <c r="AB36" s="299"/>
      <c r="AC36" s="299"/>
    </row>
    <row r="37" spans="2:29" ht="12.75" customHeight="1">
      <c r="B37" s="672"/>
      <c r="C37" s="676"/>
      <c r="D37" s="672"/>
      <c r="E37" s="672"/>
      <c r="F37" s="672"/>
      <c r="G37" s="672"/>
      <c r="H37" s="672"/>
      <c r="I37" s="672"/>
      <c r="J37" s="307"/>
      <c r="K37" s="668"/>
      <c r="L37" s="668"/>
      <c r="M37" s="668"/>
      <c r="N37" s="668"/>
      <c r="O37" s="668"/>
      <c r="P37" s="668"/>
      <c r="Q37" s="668"/>
      <c r="R37" s="668"/>
      <c r="S37" s="299"/>
      <c r="T37" s="299"/>
      <c r="U37" s="299"/>
      <c r="V37" s="299"/>
      <c r="W37" s="309"/>
      <c r="X37" s="299"/>
      <c r="Y37" s="299"/>
      <c r="Z37" s="299"/>
      <c r="AA37" s="299"/>
      <c r="AB37" s="299"/>
      <c r="AC37" s="299"/>
    </row>
    <row r="38" spans="2:29" ht="12.75" customHeight="1">
      <c r="B38" s="672"/>
      <c r="C38" s="676"/>
      <c r="D38" s="672"/>
      <c r="E38" s="672"/>
      <c r="F38" s="672"/>
      <c r="G38" s="672"/>
      <c r="H38" s="672"/>
      <c r="I38" s="672"/>
      <c r="J38" s="307"/>
      <c r="K38" s="668"/>
      <c r="L38" s="668"/>
      <c r="M38" s="668"/>
      <c r="N38" s="668"/>
      <c r="O38" s="668"/>
      <c r="P38" s="668"/>
      <c r="Q38" s="668"/>
      <c r="R38" s="668"/>
      <c r="S38" s="299"/>
      <c r="T38" s="299"/>
      <c r="U38" s="299"/>
      <c r="V38" s="299"/>
      <c r="W38" s="309"/>
      <c r="X38" s="299"/>
      <c r="Y38" s="299"/>
      <c r="Z38" s="299"/>
      <c r="AA38" s="299"/>
      <c r="AB38" s="299"/>
      <c r="AC38" s="299"/>
    </row>
    <row r="39" spans="2:29" ht="12.75" customHeight="1">
      <c r="B39" s="672"/>
      <c r="C39" s="676"/>
      <c r="D39" s="672"/>
      <c r="E39" s="672"/>
      <c r="F39" s="672"/>
      <c r="G39" s="672"/>
      <c r="H39" s="672"/>
      <c r="I39" s="672"/>
      <c r="J39" s="307"/>
      <c r="K39" s="668"/>
      <c r="L39" s="668"/>
      <c r="M39" s="668"/>
      <c r="N39" s="668"/>
      <c r="O39" s="668"/>
      <c r="P39" s="668"/>
      <c r="Q39" s="668"/>
      <c r="R39" s="668"/>
      <c r="S39" s="299"/>
      <c r="T39" s="299"/>
      <c r="U39" s="299"/>
      <c r="V39" s="299"/>
      <c r="W39" s="299"/>
      <c r="X39" s="299"/>
      <c r="Y39" s="299"/>
      <c r="Z39" s="299"/>
      <c r="AA39" s="299"/>
      <c r="AB39" s="299"/>
      <c r="AC39" s="299"/>
    </row>
    <row r="40" spans="2:29" ht="12.75" customHeight="1">
      <c r="B40" s="672"/>
      <c r="C40" s="676"/>
      <c r="D40" s="672"/>
      <c r="E40" s="672"/>
      <c r="F40" s="672"/>
      <c r="G40" s="672"/>
      <c r="H40" s="672"/>
      <c r="I40" s="672"/>
      <c r="J40" s="307"/>
      <c r="K40" s="668"/>
      <c r="L40" s="668"/>
      <c r="M40" s="668"/>
      <c r="N40" s="668"/>
      <c r="O40" s="668"/>
      <c r="P40" s="668"/>
      <c r="Q40" s="668"/>
      <c r="R40" s="668"/>
      <c r="S40" s="299"/>
      <c r="T40" s="299"/>
      <c r="U40" s="299"/>
      <c r="V40" s="299"/>
      <c r="W40" s="299"/>
      <c r="X40" s="299"/>
      <c r="Y40" s="299"/>
      <c r="Z40" s="299"/>
      <c r="AA40" s="299"/>
      <c r="AB40" s="299"/>
      <c r="AC40" s="299"/>
    </row>
    <row r="41" spans="2:29" ht="12.75" customHeight="1">
      <c r="B41" s="672"/>
      <c r="C41" s="676"/>
      <c r="D41" s="672"/>
      <c r="E41" s="672"/>
      <c r="F41" s="672"/>
      <c r="G41" s="672"/>
      <c r="H41" s="672"/>
      <c r="I41" s="672"/>
      <c r="J41" s="307"/>
      <c r="K41" s="668"/>
      <c r="L41" s="668"/>
      <c r="M41" s="668"/>
      <c r="N41" s="668"/>
      <c r="O41" s="668"/>
      <c r="P41" s="668"/>
      <c r="Q41" s="668"/>
      <c r="R41" s="668"/>
      <c r="S41" s="299"/>
      <c r="W41" s="299"/>
      <c r="X41" s="299"/>
      <c r="Y41" s="299"/>
      <c r="Z41" s="299"/>
      <c r="AA41" s="299"/>
      <c r="AB41" s="299"/>
      <c r="AC41" s="299"/>
    </row>
    <row r="42" spans="2:29" ht="12.75" customHeight="1">
      <c r="B42" s="672"/>
      <c r="C42" s="676"/>
      <c r="D42" s="672"/>
      <c r="E42" s="672"/>
      <c r="F42" s="672"/>
      <c r="G42" s="672"/>
      <c r="H42" s="672"/>
      <c r="I42" s="672"/>
      <c r="J42" s="307"/>
      <c r="K42" s="668"/>
      <c r="L42" s="668"/>
      <c r="M42" s="668"/>
      <c r="N42" s="668"/>
      <c r="O42" s="668"/>
      <c r="P42" s="668"/>
      <c r="Q42" s="668"/>
      <c r="R42" s="668"/>
      <c r="S42" s="299"/>
      <c r="W42" s="299"/>
      <c r="X42" s="299"/>
      <c r="Y42" s="299"/>
      <c r="Z42" s="299"/>
      <c r="AA42" s="299"/>
      <c r="AB42" s="299"/>
      <c r="AC42" s="299"/>
    </row>
    <row r="43" spans="2:29" ht="12.75" customHeight="1">
      <c r="B43" s="672"/>
      <c r="C43" s="676"/>
      <c r="D43" s="672"/>
      <c r="E43" s="672"/>
      <c r="F43" s="672"/>
      <c r="G43" s="672"/>
      <c r="H43" s="672"/>
      <c r="I43" s="672"/>
      <c r="J43" s="307"/>
      <c r="K43" s="299"/>
      <c r="L43" s="299"/>
      <c r="M43" s="299"/>
      <c r="N43" s="299"/>
      <c r="O43" s="299"/>
      <c r="P43" s="299"/>
      <c r="Q43" s="299"/>
      <c r="R43" s="299"/>
      <c r="S43" s="299"/>
      <c r="W43" s="299"/>
      <c r="X43" s="299"/>
      <c r="Y43" s="299"/>
      <c r="Z43" s="299"/>
      <c r="AA43" s="299"/>
      <c r="AB43" s="299"/>
      <c r="AC43" s="299"/>
    </row>
    <row r="44" spans="2:29" ht="11.25" customHeight="1">
      <c r="B44" s="672"/>
      <c r="C44" s="676"/>
      <c r="D44" s="672"/>
      <c r="E44" s="672"/>
      <c r="F44" s="672"/>
      <c r="G44" s="672"/>
      <c r="H44" s="672"/>
      <c r="I44" s="672"/>
      <c r="J44" s="307"/>
    </row>
    <row r="45" spans="2:29" ht="12.75" customHeight="1">
      <c r="B45" s="672"/>
      <c r="C45" s="676"/>
      <c r="D45" s="672"/>
      <c r="E45" s="672"/>
      <c r="F45" s="672"/>
      <c r="G45" s="672"/>
      <c r="H45" s="672"/>
      <c r="I45" s="672"/>
      <c r="J45" s="307"/>
      <c r="K45" s="669" t="str">
        <f>K10</f>
        <v/>
      </c>
      <c r="L45" s="670"/>
      <c r="M45" s="670"/>
      <c r="N45" s="673" t="str">
        <f>IF(OR(Umse!$B$11="3.1.",Umse!$B$11="3.2.",Umse!$B$11="3.5.",Umse!$B$11="3.6.",Umse!$B$11="3.9.",Umse!$B$11="3.10."),'VKr-K Ist'!M32,IF(OR(Umse!$B$11="4.1.",Umse!$B$11="4.2.",Umse!$B$11="4.3.",Umse!$B$11="4.4.",Umse!$B$11="4.5.",Umse!$B$11="4.6."),'VKr-B Ist'!M32,""))</f>
        <v/>
      </c>
      <c r="O45" s="673"/>
      <c r="P45" s="673"/>
      <c r="Q45" s="661" t="str">
        <f>IF(OR(Umse!$B$11="3.1.",Umse!$B$11="3.2.",Umse!$B$11="3.5.",Umse!$B$11="3.6.",Umse!$B$11="3.9.",Umse!$B$11="3.10."),'VKr-K Ist'!R32,IF(OR(Umse!$B$11="4.1.",Umse!$B$11="4.2.",Umse!$B$11="4.3.",Umse!$B$11="4.4.",Umse!$B$11="4.5.",Umse!$B$11="4.6."),'VKr-B Ist'!R32,""))</f>
        <v/>
      </c>
      <c r="R45" s="662"/>
    </row>
    <row r="46" spans="2:29" ht="22.5" customHeight="1">
      <c r="B46" s="302" t="str">
        <f>IF(OR(Umse!$C$24=0,Umse!$B$11=0),"",IF(OR(Umse!$B$11="3.1.",Umse!$B$11="3.2.",Umse!$B$11="3.5.",Umse!$B$11="3.6.",Umse!$B$11="3.9.",Umse!$B$11="3.10."),'VKr-K Ist'!B33,IF(OR(Umse!$B$11="4.1.",Umse!$B$11="4.2.",Umse!$B$11="4.3.",Umse!$B$11="4.4.",Umse!$B$11="4.5.",Umse!$B$11="4.6."),'VKr-B Ist'!B33,"")))</f>
        <v/>
      </c>
      <c r="C46" s="306"/>
      <c r="D46" s="314" t="str">
        <f>IF(OR(Umse!$C$24=0,Umse!$B$11=0),"",IF(OR(Umse!$B$11="3.1.",Umse!$B$11="3.2.",Umse!$B$11="3.5.",Umse!$B$11="3.6.",Umse!$B$11="3.9.",Umse!$B$11="3.10."),'VKr-K Ist'!D33,IF(OR(Umse!$B$11="4.1.",Umse!$B$11="4.2.",Umse!$B$11="4.3.",Umse!$B$11="4.4.",Umse!$B$11="4.5.",Umse!$B$11="4.6."),'VKr-B Ist'!D33,"")))</f>
        <v/>
      </c>
      <c r="E46" s="314" t="str">
        <f>IF(OR(Umse!$C$24=0,Umse!$B$11=0),"",IF(OR(Umse!$B$11="3.1.",Umse!$B$11="3.2.",Umse!$B$11="3.5.",Umse!$B$11="3.6.",Umse!$B$11="3.9.",Umse!$B$11="3.10."),'VKr-K Ist'!E33,IF(OR(Umse!$B$11="4.1.",Umse!$B$11="4.2.",Umse!$B$11="4.3.",Umse!$B$11="4.4.",Umse!$B$11="4.5.",Umse!$B$11="4.6."),'VKr-B Ist'!E33,"")))</f>
        <v/>
      </c>
      <c r="F46" s="315" t="str">
        <f>IF(OR(Umse!$C$24=0,Umse!$B$11=0),"",IF(OR(Umse!$B$11="3.1.",Umse!$B$11="3.2.",Umse!$B$11="3.5.",Umse!$B$11="3.6.",Umse!$B$11="3.9.",Umse!$B$11="3.10."),'VKr-K Ist'!F33,IF(OR(Umse!$B$11="4.1.",Umse!$B$11="4.2.",Umse!$B$11="4.3.",Umse!$B$11="4.4.",Umse!$B$11="4.5.",Umse!$B$11="4.6."),'VKr-B Ist'!F33,"")))</f>
        <v/>
      </c>
      <c r="G46" s="315" t="str">
        <f>IF(OR(Umse!$C$24=0,Umse!$B$11=0),"",IF(OR(Umse!$B$11="3.1.",Umse!$B$11="3.2.",Umse!$B$11="3.5.",Umse!$B$11="3.6.",Umse!$B$11="3.9.",Umse!$B$11="3.10."),'VKr-K Ist'!G33,IF(OR(Umse!$B$11="4.1.",Umse!$B$11="4.2.",Umse!$B$11="4.3.",Umse!$B$11="4.4.",Umse!$B$11="4.5.",Umse!$B$11="4.6."),'VKr-B Ist'!G33,"")))</f>
        <v/>
      </c>
      <c r="H46" s="315" t="str">
        <f>IF(OR(Umse!$C$24=0,Umse!$B$11=0),"",IF(OR(Umse!$B$11="3.1.",Umse!$B$11="3.2.",Umse!$B$11="3.5.",Umse!$B$11="3.6.",Umse!$B$11="3.9.",Umse!$B$11="3.10."),'VKr-K Ist'!H33,IF(OR(Umse!$B$11="4.1.",Umse!$B$11="4.2.",Umse!$B$11="4.3.",Umse!$B$11="4.4.",Umse!$B$11="4.5.",Umse!$B$11="4.6."),'VKr-B Ist'!H33,"")))</f>
        <v/>
      </c>
      <c r="I46" s="315" t="str">
        <f>IF(OR(Umse!$C$24=0,Umse!$B$11=0),"",IF(OR(Umse!$B$11="3.1.",Umse!$B$11="3.2.",Umse!$B$11="3.5.",Umse!$B$11="3.6.",Umse!$B$11="3.9.",Umse!$B$11="3.10."),'VKr-K Ist'!I33,IF(OR(Umse!$B$11="4.1.",Umse!$B$11="4.2.",Umse!$B$11="4.3.",Umse!$B$11="4.4.",Umse!$B$11="4.5.",Umse!$B$11="4.6."),'VKr-B Ist'!I33,"")))</f>
        <v/>
      </c>
      <c r="J46" s="307"/>
      <c r="K46" s="302" t="str">
        <f>IF(OR(Umse!$C$24=0,Umse!$B$11=0),"",IF(OR(Umse!$B$11="3.1.",Umse!$B$11="3.2.",Umse!$B$11="3.5.",Umse!$B$11="3.6.",Umse!$B$11="3.9.",Umse!$B$11="3.10."),'VKr-K Ist'!K33,IF(OR(Umse!$B$11="4.1.",Umse!$B$11="4.2.",Umse!$B$11="4.3.",Umse!$B$11="4.4.",Umse!$B$11="4.5.",Umse!$B$11="4.6."),'VKr-B Ist'!K33,"")))</f>
        <v/>
      </c>
      <c r="L46" s="306"/>
      <c r="M46" s="306" t="str">
        <f>IF(OR(Umse!$C$24=0,Umse!$B$11=0),"",IF(OR(Umse!$B$11="3.1.",Umse!$B$11="3.2.",Umse!$B$11="3.5.",Umse!$B$11="3.6.",Umse!$B$11="3.9.",Umse!$B$11="3.10."),'VKr-K Ist'!M33,IF(OR(Umse!$B$11="4.1.",Umse!$B$11="4.2.",Umse!$B$11="4.3.",Umse!$B$11="4.4.",Umse!$B$11="4.5.",Umse!$B$11="4.6."),'VKr-B Ist'!M33,"")))</f>
        <v/>
      </c>
      <c r="N46" s="306" t="str">
        <f>IF(OR(Umse!$C$24=0,Umse!$B$11=0),"",IF(OR(Umse!$B$11="3.1.",Umse!$B$11="3.2.",Umse!$B$11="3.5.",Umse!$B$11="3.6.",Umse!$B$11="3.9.",Umse!$B$11="3.10."),'VKr-K Ist'!N33,IF(OR(Umse!$B$11="4.1.",Umse!$B$11="4.2.",Umse!$B$11="4.3.",Umse!$B$11="4.4.",Umse!$B$11="4.5.",Umse!$B$11="4.6."),'VKr-B Ist'!N33,"")))</f>
        <v/>
      </c>
      <c r="O46" s="306" t="str">
        <f>IF(OR(Umse!$C$24=0,Umse!$B$11=0),"",IF(OR(Umse!$B$11="3.1.",Umse!$B$11="3.2.",Umse!$B$11="3.5.",Umse!$B$11="3.6.",Umse!$B$11="3.9.",Umse!$B$11="3.10."),'VKr-K Ist'!O33,IF(OR(Umse!$B$11="4.1.",Umse!$B$11="4.2.",Umse!$B$11="4.3.",Umse!$B$11="4.4.",Umse!$B$11="4.5.",Umse!$B$11="4.6."),'VKr-B Ist'!O33,"")))</f>
        <v/>
      </c>
      <c r="P46" s="306" t="str">
        <f>IF(OR(Umse!$C$24=0,Umse!$B$11=0),"",IF(OR(Umse!$B$11="3.1.",Umse!$B$11="3.2.",Umse!$B$11="3.5.",Umse!$B$11="3.6.",Umse!$B$11="3.9.",Umse!$B$11="3.10."),'VKr-K Ist'!P33,IF(OR(Umse!$B$11="4.1.",Umse!$B$11="4.2.",Umse!$B$11="4.3.",Umse!$B$11="4.4.",Umse!$B$11="4.5.",Umse!$B$11="4.6."),'VKr-B Ist'!P33,"")))</f>
        <v/>
      </c>
      <c r="Q46" s="306" t="str">
        <f>IF(OR(Umse!$C$24=0,Umse!$B$11=0),"",IF(OR(Umse!$B$11="3.1.",Umse!$B$11="3.2.",Umse!$B$11="3.5.",Umse!$B$11="3.6.",Umse!$B$11="3.9.",Umse!$B$11="3.10."),'VKr-K Ist'!Q33,IF(OR(Umse!$B$11="4.1.",Umse!$B$11="4.2.",Umse!$B$11="4.3.",Umse!$B$11="4.4.",Umse!$B$11="4.5.",Umse!$B$11="4.6."),'VKr-B Ist'!Q33,"")))</f>
        <v/>
      </c>
      <c r="R46" s="306" t="str">
        <f>IF(OR(Umse!$C$24=0,Umse!$B$11=0),"",IF(OR(Umse!$B$11="3.1.",Umse!$B$11="3.2.",Umse!$B$11="3.5.",Umse!$B$11="3.6.",Umse!$B$11="3.9.",Umse!$B$11="3.10."),'VKr-K Ist'!R33,IF(OR(Umse!$B$11="4.1.",Umse!$B$11="4.2.",Umse!$B$11="4.3.",Umse!$B$11="4.4.",Umse!$B$11="4.5.",Umse!$B$11="4.6."),'VKr-B Ist'!R33,"")))</f>
        <v/>
      </c>
      <c r="S46" s="307"/>
    </row>
    <row r="47" spans="2:29" ht="11.25" customHeight="1">
      <c r="B47" s="306" t="str">
        <f>IF(OR(Umse!$C$24=0,Umse!$B$11=0),"",IF(OR(Umse!$B$11="3.1.",Umse!$B$11="3.2.",Umse!$B$11="3.5.",Umse!$B$11="3.6.",Umse!$B$11="3.9.",Umse!$B$11="3.10."),'VKr-K Ist'!B34,IF(OR(Umse!$B$11="4.1.",Umse!$B$11="4.2.",Umse!$B$11="4.3.",Umse!$B$11="4.4.",Umse!$B$11="4.5.",Umse!$B$11="4.6."),'VKr-B Ist'!B34,"")))</f>
        <v/>
      </c>
      <c r="C47" s="306" t="str">
        <f>IF(OR(Umse!$C$24=0,Umse!$B$11=0),"",IF(OR(Umse!$B$11="3.1.",Umse!$B$11="3.2.",Umse!$B$11="3.5.",Umse!$B$11="3.6.",Umse!$B$11="3.9.",Umse!$B$11="3.10."),'VKr-K Ist'!C34,IF(OR(Umse!$B$11="4.1.",Umse!$B$11="4.2.",Umse!$B$11="4.3.",Umse!$B$11="4.4.",Umse!$B$11="4.5.",Umse!$B$11="4.6."),'VKr-B Ist'!C34,"")))</f>
        <v/>
      </c>
      <c r="D47" s="308">
        <f>IF(OR(Umse!$C$24=0,Umse!$B$11=0),0,IF(OR(Umse!$B$11="3.1.",Umse!$B$11="3.2.",Umse!$B$11="3.5.",Umse!$B$11="3.6.",Umse!$B$11="3.9.",Umse!$B$11="3.10."),'VKr-K Ist'!D34,IF(OR(Umse!$B$11="4.1.",Umse!$B$11="4.2.",Umse!$B$11="4.3.",Umse!$B$11="4.4.",Umse!$B$11="4.5.",Umse!$B$11="4.6."),'VKr-B Ist'!D34,0)))</f>
        <v>0</v>
      </c>
      <c r="E47" s="308">
        <f>IF(OR(Umse!$C$24=0,Umse!$B$11=0),0,IF(OR(Umse!$B$11="3.1.",Umse!$B$11="3.2.",Umse!$B$11="3.5.",Umse!$B$11="3.6.",Umse!$B$11="3.9.",Umse!$B$11="3.10."),'VKr-K Ist'!E34,IF(OR(Umse!$B$11="4.1.",Umse!$B$11="4.2.",Umse!$B$11="4.3.",Umse!$B$11="4.4.",Umse!$B$11="4.5.",Umse!$B$11="4.6."),'VKr-B Ist'!E34,0)))</f>
        <v>0</v>
      </c>
      <c r="F47" s="308">
        <f>IF(OR(Umse!$C$24=0,Umse!$B$11=0),0,IF(OR(Umse!$B$11="3.1.",Umse!$B$11="3.2.",Umse!$B$11="3.5.",Umse!$B$11="3.6.",Umse!$B$11="3.9.",Umse!$B$11="3.10."),'VKr-K Ist'!F34,IF(OR(Umse!$B$11="4.1.",Umse!$B$11="4.2.",Umse!$B$11="4.3.",Umse!$B$11="4.4.",Umse!$B$11="4.5.",Umse!$B$11="4.6."),'VKr-B Ist'!F34,0)))</f>
        <v>0</v>
      </c>
      <c r="G47" s="308">
        <f>IF(OR(Umse!$C$24=0,Umse!$B$11=0),0,IF(OR(Umse!$B$11="3.1.",Umse!$B$11="3.2.",Umse!$B$11="3.5.",Umse!$B$11="3.6.",Umse!$B$11="3.9.",Umse!$B$11="3.10."),'VKr-K Ist'!G34,IF(OR(Umse!$B$11="4.1.",Umse!$B$11="4.2.",Umse!$B$11="4.3.",Umse!$B$11="4.4.",Umse!$B$11="4.5.",Umse!$B$11="4.6."),'VKr-B Ist'!G34,0)))</f>
        <v>0</v>
      </c>
      <c r="H47" s="308">
        <f>IF(OR(Umse!$C$24=0,Umse!$B$11=0),0,IF(OR(Umse!$B$11="3.1.",Umse!$B$11="3.2.",Umse!$B$11="3.5.",Umse!$B$11="3.6.",Umse!$B$11="3.9.",Umse!$B$11="3.10."),'VKr-K Ist'!H34,IF(OR(Umse!$B$11="4.1.",Umse!$B$11="4.2.",Umse!$B$11="4.3.",Umse!$B$11="4.4.",Umse!$B$11="4.5.",Umse!$B$11="4.6."),'VKr-B Ist'!H34,0)))</f>
        <v>0</v>
      </c>
      <c r="I47" s="308">
        <f>IF(OR(Umse!$C$24=0,Umse!$B$11=0),0,IF(OR(Umse!$B$11="3.1.",Umse!$B$11="3.2.",Umse!$B$11="3.5.",Umse!$B$11="3.6.",Umse!$B$11="3.9.",Umse!$B$11="3.10."),'VKr-K Ist'!I34,IF(OR(Umse!$B$11="4.1.",Umse!$B$11="4.2.",Umse!$B$11="4.3.",Umse!$B$11="4.4.",Umse!$B$11="4.5.",Umse!$B$11="4.6."),'VKr-B Ist'!I34,0)))</f>
        <v>0</v>
      </c>
      <c r="J47" s="307"/>
      <c r="K47" s="306" t="str">
        <f>IF(OR(Umse!$C$24=0,Umse!$B$11=0),"",IF(OR(Umse!$B$11="3.1.",Umse!$B$11="3.2.",Umse!$B$11="3.5.",Umse!$B$11="3.6.",Umse!$B$11="3.9.",Umse!$B$11="3.10."),'VKr-K Ist'!K34,IF(OR(Umse!$B$11="4.1.",Umse!$B$11="4.2.",Umse!$B$11="4.3.",Umse!$B$11="4.4.",Umse!$B$11="4.5.",Umse!$B$11="4.6."),'VKr-B Ist'!K34,"")))</f>
        <v/>
      </c>
      <c r="L47" s="322" t="str">
        <f>IF(OR(Umse!$C$24=0,Umse!$B$11=0),"",IF(OR(Umse!$B$11="3.1.",Umse!$B$11="3.2.",Umse!$B$11="3.5.",Umse!$B$11="3.6.",Umse!$B$11="3.9.",Umse!$B$11="3.10."),'VKr-K Ist'!L34,IF(OR(Umse!$B$11="4.1.",Umse!$B$11="4.2.",Umse!$B$11="4.3.",Umse!$B$11="4.4.",Umse!$B$11="4.5.",Umse!$B$11="4.6."),'VKr-B Ist'!L34,"")))</f>
        <v/>
      </c>
      <c r="M47" s="308" t="str">
        <f>IF(OR(Umse!$C$24=0,Umse!$B$11=0),"",IF(OR(Umse!$B$11="3.1.",Umse!$B$11="3.2.",Umse!$B$11="3.5.",Umse!$B$11="3.6.",Umse!$B$11="3.9.",Umse!$B$11="3.10."),'VKr-K Ist'!M34,IF(OR(Umse!$B$11="4.1.",Umse!$B$11="4.2.",Umse!$B$11="4.3.",Umse!$B$11="4.4.",Umse!$B$11="4.5.",Umse!$B$11="4.6."),'VKr-B Ist'!M34,"")))</f>
        <v/>
      </c>
      <c r="N47" s="308" t="str">
        <f>IF(OR(Umse!$C$24=0,Umse!$B$11=0),"",IF(OR(Umse!$B$11="3.1.",Umse!$B$11="3.2.",Umse!$B$11="3.5.",Umse!$B$11="3.6.",Umse!$B$11="3.9.",Umse!$B$11="3.10."),'VKr-K Ist'!N34,IF(OR(Umse!$B$11="4.1.",Umse!$B$11="4.2.",Umse!$B$11="4.3.",Umse!$B$11="4.4.",Umse!$B$11="4.5.",Umse!$B$11="4.6."),'VKr-B Ist'!N34,"")))</f>
        <v/>
      </c>
      <c r="O47" s="308" t="str">
        <f>IF(OR(Umse!$C$24=0,Umse!$B$11=0),"",IF(OR(Umse!$B$11="3.1.",Umse!$B$11="3.2.",Umse!$B$11="3.5.",Umse!$B$11="3.6.",Umse!$B$11="3.9.",Umse!$B$11="3.10."),'VKr-K Ist'!O34,IF(OR(Umse!$B$11="4.1.",Umse!$B$11="4.2.",Umse!$B$11="4.3.",Umse!$B$11="4.4.",Umse!$B$11="4.5.",Umse!$B$11="4.6."),'VKr-B Ist'!O34,"")))</f>
        <v/>
      </c>
      <c r="P47" s="308" t="str">
        <f>IF(OR(Umse!$C$24=0,Umse!$B$11=0),"",IF(OR(Umse!$B$11="3.1.",Umse!$B$11="3.2.",Umse!$B$11="3.5.",Umse!$B$11="3.6.",Umse!$B$11="3.9.",Umse!$B$11="3.10."),'VKr-K Ist'!P34,IF(OR(Umse!$B$11="4.1.",Umse!$B$11="4.2.",Umse!$B$11="4.3.",Umse!$B$11="4.4.",Umse!$B$11="4.5.",Umse!$B$11="4.6."),'VKr-B Ist'!P34,"")))</f>
        <v/>
      </c>
      <c r="Q47" s="308" t="str">
        <f>IF(OR(Umse!$C$24=0,Umse!$B$11=0),"",IF(OR(Umse!$B$11="3.1.",Umse!$B$11="3.2.",Umse!$B$11="3.5.",Umse!$B$11="3.6.",Umse!$B$11="3.9.",Umse!$B$11="3.10."),'VKr-K Ist'!Q34,IF(OR(Umse!$B$11="4.1.",Umse!$B$11="4.2.",Umse!$B$11="4.3.",Umse!$B$11="4.4.",Umse!$B$11="4.5.",Umse!$B$11="4.6."),'VKr-B Ist'!Q34,"")))</f>
        <v/>
      </c>
      <c r="R47" s="308" t="str">
        <f>IF(OR(Umse!$C$24=0,Umse!$B$11=0),"",IF(OR(Umse!$B$11="3.1.",Umse!$B$11="3.2.",Umse!$B$11="3.5.",Umse!$B$11="3.6.",Umse!$B$11="3.9.",Umse!$B$11="3.10."),'VKr-K Ist'!R34,IF(OR(Umse!$B$11="4.1.",Umse!$B$11="4.2.",Umse!$B$11="4.3.",Umse!$B$11="4.4.",Umse!$B$11="4.5.",Umse!$B$11="4.6."),'VKr-B Ist'!R34,"")))</f>
        <v/>
      </c>
    </row>
    <row r="48" spans="2:29" ht="11.25" customHeight="1">
      <c r="B48" s="306" t="str">
        <f>IF(OR(Umse!$C$24=0,Umse!$B$11=0),"",IF(OR(Umse!$B$11="3.1.",Umse!$B$11="3.2.",Umse!$B$11="3.5.",Umse!$B$11="3.6.",Umse!$B$11="3.9.",Umse!$B$11="3.10."),'VKr-K Ist'!B35,IF(OR(Umse!$B$11="4.1.",Umse!$B$11="4.2.",Umse!$B$11="4.3.",Umse!$B$11="4.4.",Umse!$B$11="4.5.",Umse!$B$11="4.6."),'VKr-B Ist'!B35,"")))</f>
        <v/>
      </c>
      <c r="C48" s="306" t="str">
        <f>IF(OR(Umse!$C$24=0,Umse!$B$11=0),"",IF(OR(Umse!$B$11="3.1.",Umse!$B$11="3.2.",Umse!$B$11="3.5.",Umse!$B$11="3.6.",Umse!$B$11="3.9.",Umse!$B$11="3.10."),'VKr-K Ist'!C35,IF(OR(Umse!$B$11="4.1.",Umse!$B$11="4.2.",Umse!$B$11="4.3.",Umse!$B$11="4.4.",Umse!$B$11="4.5.",Umse!$B$11="4.6."),'VKr-B Ist'!C35,"")))</f>
        <v/>
      </c>
      <c r="D48" s="308">
        <f>IF(OR(Umse!$C$24=0,Umse!$B$11=0),0,IF(OR(Umse!$B$11="3.1.",Umse!$B$11="3.2.",Umse!$B$11="3.5.",Umse!$B$11="3.6.",Umse!$B$11="3.9.",Umse!$B$11="3.10."),'VKr-K Ist'!D35,IF(OR(Umse!$B$11="4.1.",Umse!$B$11="4.2.",Umse!$B$11="4.3.",Umse!$B$11="4.4.",Umse!$B$11="4.5.",Umse!$B$11="4.6."),'VKr-B Ist'!D35,0)))</f>
        <v>0</v>
      </c>
      <c r="E48" s="308">
        <f>IF(OR(Umse!$C$24=0,Umse!$B$11=0),0,IF(OR(Umse!$B$11="3.1.",Umse!$B$11="3.2.",Umse!$B$11="3.5.",Umse!$B$11="3.6.",Umse!$B$11="3.9.",Umse!$B$11="3.10."),'VKr-K Ist'!E35,IF(OR(Umse!$B$11="4.1.",Umse!$B$11="4.2.",Umse!$B$11="4.3.",Umse!$B$11="4.4.",Umse!$B$11="4.5.",Umse!$B$11="4.6."),'VKr-B Ist'!E35,0)))</f>
        <v>0</v>
      </c>
      <c r="F48" s="308">
        <f>IF(OR(Umse!$C$24=0,Umse!$B$11=0),0,IF(OR(Umse!$B$11="3.1.",Umse!$B$11="3.2.",Umse!$B$11="3.5.",Umse!$B$11="3.6.",Umse!$B$11="3.9.",Umse!$B$11="3.10."),'VKr-K Ist'!F35,IF(OR(Umse!$B$11="4.1.",Umse!$B$11="4.2.",Umse!$B$11="4.3.",Umse!$B$11="4.4.",Umse!$B$11="4.5.",Umse!$B$11="4.6."),'VKr-B Ist'!F35,0)))</f>
        <v>0</v>
      </c>
      <c r="G48" s="308">
        <f>IF(OR(Umse!$C$24=0,Umse!$B$11=0),0,IF(OR(Umse!$B$11="3.1.",Umse!$B$11="3.2.",Umse!$B$11="3.5.",Umse!$B$11="3.6.",Umse!$B$11="3.9.",Umse!$B$11="3.10."),'VKr-K Ist'!G35,IF(OR(Umse!$B$11="4.1.",Umse!$B$11="4.2.",Umse!$B$11="4.3.",Umse!$B$11="4.4.",Umse!$B$11="4.5.",Umse!$B$11="4.6."),'VKr-B Ist'!G35,0)))</f>
        <v>0</v>
      </c>
      <c r="H48" s="308">
        <f>IF(OR(Umse!$C$24=0,Umse!$B$11=0),0,IF(OR(Umse!$B$11="3.1.",Umse!$B$11="3.2.",Umse!$B$11="3.5.",Umse!$B$11="3.6.",Umse!$B$11="3.9.",Umse!$B$11="3.10."),'VKr-K Ist'!H35,IF(OR(Umse!$B$11="4.1.",Umse!$B$11="4.2.",Umse!$B$11="4.3.",Umse!$B$11="4.4.",Umse!$B$11="4.5.",Umse!$B$11="4.6."),'VKr-B Ist'!H35,0)))</f>
        <v>0</v>
      </c>
      <c r="I48" s="308">
        <f>IF(OR(Umse!$C$24=0,Umse!$B$11=0),0,IF(OR(Umse!$B$11="3.1.",Umse!$B$11="3.2.",Umse!$B$11="3.5.",Umse!$B$11="3.6.",Umse!$B$11="3.9.",Umse!$B$11="3.10."),'VKr-K Ist'!I35,IF(OR(Umse!$B$11="4.1.",Umse!$B$11="4.2.",Umse!$B$11="4.3.",Umse!$B$11="4.4.",Umse!$B$11="4.5.",Umse!$B$11="4.6."),'VKr-B Ist'!I35,0)))</f>
        <v>0</v>
      </c>
      <c r="J48" s="307"/>
      <c r="K48" s="306" t="str">
        <f>IF(OR(Umse!$C$24=0,Umse!$B$11=0),"",IF(OR(Umse!$B$11="3.1.",Umse!$B$11="3.2.",Umse!$B$11="3.5.",Umse!$B$11="3.6.",Umse!$B$11="3.9.",Umse!$B$11="3.10."),'VKr-K Ist'!K35,IF(OR(Umse!$B$11="4.1.",Umse!$B$11="4.2.",Umse!$B$11="4.3.",Umse!$B$11="4.4.",Umse!$B$11="4.5.",Umse!$B$11="4.6."),'VKr-B Ist'!K35,"")))</f>
        <v/>
      </c>
      <c r="L48" s="322" t="str">
        <f>IF(OR(Umse!$C$24=0,Umse!$B$11=0),"",IF(OR(Umse!$B$11="3.1.",Umse!$B$11="3.2.",Umse!$B$11="3.5.",Umse!$B$11="3.6.",Umse!$B$11="3.9.",Umse!$B$11="3.10."),'VKr-K Ist'!L35,IF(OR(Umse!$B$11="4.1.",Umse!$B$11="4.2.",Umse!$B$11="4.3.",Umse!$B$11="4.4.",Umse!$B$11="4.5.",Umse!$B$11="4.6."),'VKr-B Ist'!L35,"")))</f>
        <v/>
      </c>
      <c r="M48" s="308" t="str">
        <f>IF(OR(Umse!$C$24=0,Umse!$B$11=0),"",IF(OR(Umse!$B$11="3.1.",Umse!$B$11="3.2.",Umse!$B$11="3.5.",Umse!$B$11="3.6.",Umse!$B$11="3.9.",Umse!$B$11="3.10."),'VKr-K Ist'!M35,IF(OR(Umse!$B$11="4.1.",Umse!$B$11="4.2.",Umse!$B$11="4.3.",Umse!$B$11="4.4.",Umse!$B$11="4.5.",Umse!$B$11="4.6."),'VKr-B Ist'!M35,"")))</f>
        <v/>
      </c>
      <c r="N48" s="308" t="str">
        <f>IF(OR(Umse!$C$24=0,Umse!$B$11=0),"",IF(OR(Umse!$B$11="3.1.",Umse!$B$11="3.2.",Umse!$B$11="3.5.",Umse!$B$11="3.6.",Umse!$B$11="3.9.",Umse!$B$11="3.10."),'VKr-K Ist'!N35,IF(OR(Umse!$B$11="4.1.",Umse!$B$11="4.2.",Umse!$B$11="4.3.",Umse!$B$11="4.4.",Umse!$B$11="4.5.",Umse!$B$11="4.6."),'VKr-B Ist'!N35,"")))</f>
        <v/>
      </c>
      <c r="O48" s="308" t="str">
        <f>IF(OR(Umse!$C$24=0,Umse!$B$11=0),"",IF(OR(Umse!$B$11="3.1.",Umse!$B$11="3.2.",Umse!$B$11="3.5.",Umse!$B$11="3.6.",Umse!$B$11="3.9.",Umse!$B$11="3.10."),'VKr-K Ist'!O35,IF(OR(Umse!$B$11="4.1.",Umse!$B$11="4.2.",Umse!$B$11="4.3.",Umse!$B$11="4.4.",Umse!$B$11="4.5.",Umse!$B$11="4.6."),'VKr-B Ist'!O35,"")))</f>
        <v/>
      </c>
      <c r="P48" s="308" t="str">
        <f>IF(OR(Umse!$C$24=0,Umse!$B$11=0),"",IF(OR(Umse!$B$11="3.1.",Umse!$B$11="3.2.",Umse!$B$11="3.5.",Umse!$B$11="3.6.",Umse!$B$11="3.9.",Umse!$B$11="3.10."),'VKr-K Ist'!P35,IF(OR(Umse!$B$11="4.1.",Umse!$B$11="4.2.",Umse!$B$11="4.3.",Umse!$B$11="4.4.",Umse!$B$11="4.5.",Umse!$B$11="4.6."),'VKr-B Ist'!P35,"")))</f>
        <v/>
      </c>
      <c r="Q48" s="308" t="str">
        <f>IF(OR(Umse!$C$24=0,Umse!$B$11=0),"",IF(OR(Umse!$B$11="3.1.",Umse!$B$11="3.2.",Umse!$B$11="3.5.",Umse!$B$11="3.6.",Umse!$B$11="3.9.",Umse!$B$11="3.10."),'VKr-K Ist'!Q35,IF(OR(Umse!$B$11="4.1.",Umse!$B$11="4.2.",Umse!$B$11="4.3.",Umse!$B$11="4.4.",Umse!$B$11="4.5.",Umse!$B$11="4.6."),'VKr-B Ist'!Q35,"")))</f>
        <v/>
      </c>
      <c r="R48" s="308" t="str">
        <f>IF(OR(Umse!$C$24=0,Umse!$B$11=0),"",IF(OR(Umse!$B$11="3.1.",Umse!$B$11="3.2.",Umse!$B$11="3.5.",Umse!$B$11="3.6.",Umse!$B$11="3.9.",Umse!$B$11="3.10."),'VKr-K Ist'!R35,IF(OR(Umse!$B$11="4.1.",Umse!$B$11="4.2.",Umse!$B$11="4.3.",Umse!$B$11="4.4.",Umse!$B$11="4.5.",Umse!$B$11="4.6."),'VKr-B Ist'!R35,"")))</f>
        <v/>
      </c>
    </row>
    <row r="49" spans="2:18" ht="11.25" customHeight="1">
      <c r="B49" s="306" t="str">
        <f>IF(OR(Umse!$C$24=0,Umse!$B$11=0),"",IF(OR(Umse!$B$11="3.1.",Umse!$B$11="3.2.",Umse!$B$11="3.5.",Umse!$B$11="3.6.",Umse!$B$11="3.9.",Umse!$B$11="3.10."),'VKr-K Ist'!B36,IF(OR(Umse!$B$11="4.1.",Umse!$B$11="4.2.",Umse!$B$11="4.3.",Umse!$B$11="4.4.",Umse!$B$11="4.5.",Umse!$B$11="4.6."),'VKr-B Ist'!B36,"")))</f>
        <v/>
      </c>
      <c r="C49" s="306" t="str">
        <f>IF(OR(Umse!$C$24=0,Umse!$B$11=0),"",IF(OR(Umse!$B$11="3.1.",Umse!$B$11="3.2.",Umse!$B$11="3.5.",Umse!$B$11="3.6.",Umse!$B$11="3.9.",Umse!$B$11="3.10."),'VKr-K Ist'!C36,IF(OR(Umse!$B$11="4.1.",Umse!$B$11="4.2.",Umse!$B$11="4.3.",Umse!$B$11="4.4.",Umse!$B$11="4.5.",Umse!$B$11="4.6."),'VKr-B Ist'!C36,"")))</f>
        <v/>
      </c>
      <c r="D49" s="308">
        <f>IF(OR(Umse!$C$24=0,Umse!$B$11=0),0,IF(OR(Umse!$B$11="3.1.",Umse!$B$11="3.2.",Umse!$B$11="3.5.",Umse!$B$11="3.6.",Umse!$B$11="3.9.",Umse!$B$11="3.10."),'VKr-K Ist'!D36,IF(OR(Umse!$B$11="4.1.",Umse!$B$11="4.2.",Umse!$B$11="4.3.",Umse!$B$11="4.4.",Umse!$B$11="4.5.",Umse!$B$11="4.6."),'VKr-B Ist'!D36,0)))</f>
        <v>0</v>
      </c>
      <c r="E49" s="308">
        <f>IF(OR(Umse!$C$24=0,Umse!$B$11=0),0,IF(OR(Umse!$B$11="3.1.",Umse!$B$11="3.2.",Umse!$B$11="3.5.",Umse!$B$11="3.6.",Umse!$B$11="3.9.",Umse!$B$11="3.10."),'VKr-K Ist'!E36,IF(OR(Umse!$B$11="4.1.",Umse!$B$11="4.2.",Umse!$B$11="4.3.",Umse!$B$11="4.4.",Umse!$B$11="4.5.",Umse!$B$11="4.6."),'VKr-B Ist'!E36,0)))</f>
        <v>0</v>
      </c>
      <c r="F49" s="308">
        <f>IF(OR(Umse!$C$24=0,Umse!$B$11=0),0,IF(OR(Umse!$B$11="3.1.",Umse!$B$11="3.2.",Umse!$B$11="3.5.",Umse!$B$11="3.6.",Umse!$B$11="3.9.",Umse!$B$11="3.10."),'VKr-K Ist'!F36,IF(OR(Umse!$B$11="4.1.",Umse!$B$11="4.2.",Umse!$B$11="4.3.",Umse!$B$11="4.4.",Umse!$B$11="4.5.",Umse!$B$11="4.6."),'VKr-B Ist'!F36,0)))</f>
        <v>0</v>
      </c>
      <c r="G49" s="308">
        <f>IF(OR(Umse!$C$24=0,Umse!$B$11=0),0,IF(OR(Umse!$B$11="3.1.",Umse!$B$11="3.2.",Umse!$B$11="3.5.",Umse!$B$11="3.6.",Umse!$B$11="3.9.",Umse!$B$11="3.10."),'VKr-K Ist'!G36,IF(OR(Umse!$B$11="4.1.",Umse!$B$11="4.2.",Umse!$B$11="4.3.",Umse!$B$11="4.4.",Umse!$B$11="4.5.",Umse!$B$11="4.6."),'VKr-B Ist'!G36,0)))</f>
        <v>0</v>
      </c>
      <c r="H49" s="308">
        <f>IF(OR(Umse!$C$24=0,Umse!$B$11=0),0,IF(OR(Umse!$B$11="3.1.",Umse!$B$11="3.2.",Umse!$B$11="3.5.",Umse!$B$11="3.6.",Umse!$B$11="3.9.",Umse!$B$11="3.10."),'VKr-K Ist'!H36,IF(OR(Umse!$B$11="4.1.",Umse!$B$11="4.2.",Umse!$B$11="4.3.",Umse!$B$11="4.4.",Umse!$B$11="4.5.",Umse!$B$11="4.6."),'VKr-B Ist'!H36,0)))</f>
        <v>0</v>
      </c>
      <c r="I49" s="308">
        <f>IF(OR(Umse!$C$24=0,Umse!$B$11=0),0,IF(OR(Umse!$B$11="3.1.",Umse!$B$11="3.2.",Umse!$B$11="3.5.",Umse!$B$11="3.6.",Umse!$B$11="3.9.",Umse!$B$11="3.10."),'VKr-K Ist'!I36,IF(OR(Umse!$B$11="4.1.",Umse!$B$11="4.2.",Umse!$B$11="4.3.",Umse!$B$11="4.4.",Umse!$B$11="4.5.",Umse!$B$11="4.6."),'VKr-B Ist'!I36,0)))</f>
        <v>0</v>
      </c>
      <c r="J49" s="307"/>
      <c r="K49" s="306" t="str">
        <f>IF(OR(Umse!$C$24=0,Umse!$B$11=0),"",IF(OR(Umse!$B$11="3.1.",Umse!$B$11="3.2.",Umse!$B$11="3.5.",Umse!$B$11="3.6.",Umse!$B$11="3.9.",Umse!$B$11="3.10."),'VKr-K Ist'!K36,IF(OR(Umse!$B$11="4.1.",Umse!$B$11="4.2.",Umse!$B$11="4.3.",Umse!$B$11="4.4.",Umse!$B$11="4.5.",Umse!$B$11="4.6."),'VKr-B Ist'!K36,"")))</f>
        <v/>
      </c>
      <c r="L49" s="322" t="str">
        <f>IF(OR(Umse!$C$24=0,Umse!$B$11=0),"",IF(OR(Umse!$B$11="3.1.",Umse!$B$11="3.2.",Umse!$B$11="3.5.",Umse!$B$11="3.6.",Umse!$B$11="3.9.",Umse!$B$11="3.10."),'VKr-K Ist'!L36,IF(OR(Umse!$B$11="4.1.",Umse!$B$11="4.2.",Umse!$B$11="4.3.",Umse!$B$11="4.4.",Umse!$B$11="4.5.",Umse!$B$11="4.6."),'VKr-B Ist'!L36,"")))</f>
        <v/>
      </c>
      <c r="M49" s="308" t="str">
        <f>IF(OR(Umse!$C$24=0,Umse!$B$11=0),"",IF(OR(Umse!$B$11="3.1.",Umse!$B$11="3.2.",Umse!$B$11="3.5.",Umse!$B$11="3.6.",Umse!$B$11="3.9.",Umse!$B$11="3.10."),'VKr-K Ist'!M36,IF(OR(Umse!$B$11="4.1.",Umse!$B$11="4.2.",Umse!$B$11="4.3.",Umse!$B$11="4.4.",Umse!$B$11="4.5.",Umse!$B$11="4.6."),'VKr-B Ist'!M36,"")))</f>
        <v/>
      </c>
      <c r="N49" s="308" t="str">
        <f>IF(OR(Umse!$C$24=0,Umse!$B$11=0),"",IF(OR(Umse!$B$11="3.1.",Umse!$B$11="3.2.",Umse!$B$11="3.5.",Umse!$B$11="3.6.",Umse!$B$11="3.9.",Umse!$B$11="3.10."),'VKr-K Ist'!N36,IF(OR(Umse!$B$11="4.1.",Umse!$B$11="4.2.",Umse!$B$11="4.3.",Umse!$B$11="4.4.",Umse!$B$11="4.5.",Umse!$B$11="4.6."),'VKr-B Ist'!N36,"")))</f>
        <v/>
      </c>
      <c r="O49" s="308" t="str">
        <f>IF(OR(Umse!$C$24=0,Umse!$B$11=0),"",IF(OR(Umse!$B$11="3.1.",Umse!$B$11="3.2.",Umse!$B$11="3.5.",Umse!$B$11="3.6.",Umse!$B$11="3.9.",Umse!$B$11="3.10."),'VKr-K Ist'!O36,IF(OR(Umse!$B$11="4.1.",Umse!$B$11="4.2.",Umse!$B$11="4.3.",Umse!$B$11="4.4.",Umse!$B$11="4.5.",Umse!$B$11="4.6."),'VKr-B Ist'!O36,"")))</f>
        <v/>
      </c>
      <c r="P49" s="308" t="str">
        <f>IF(OR(Umse!$C$24=0,Umse!$B$11=0),"",IF(OR(Umse!$B$11="3.1.",Umse!$B$11="3.2.",Umse!$B$11="3.5.",Umse!$B$11="3.6.",Umse!$B$11="3.9.",Umse!$B$11="3.10."),'VKr-K Ist'!P36,IF(OR(Umse!$B$11="4.1.",Umse!$B$11="4.2.",Umse!$B$11="4.3.",Umse!$B$11="4.4.",Umse!$B$11="4.5.",Umse!$B$11="4.6."),'VKr-B Ist'!P36,"")))</f>
        <v/>
      </c>
      <c r="Q49" s="308" t="str">
        <f>IF(OR(Umse!$C$24=0,Umse!$B$11=0),"",IF(OR(Umse!$B$11="3.1.",Umse!$B$11="3.2.",Umse!$B$11="3.5.",Umse!$B$11="3.6.",Umse!$B$11="3.9.",Umse!$B$11="3.10."),'VKr-K Ist'!Q36,IF(OR(Umse!$B$11="4.1.",Umse!$B$11="4.2.",Umse!$B$11="4.3.",Umse!$B$11="4.4.",Umse!$B$11="4.5.",Umse!$B$11="4.6."),'VKr-B Ist'!Q36,"")))</f>
        <v/>
      </c>
      <c r="R49" s="308" t="str">
        <f>IF(OR(Umse!$C$24=0,Umse!$B$11=0),"",IF(OR(Umse!$B$11="3.1.",Umse!$B$11="3.2.",Umse!$B$11="3.5.",Umse!$B$11="3.6.",Umse!$B$11="3.9.",Umse!$B$11="3.10."),'VKr-K Ist'!R36,IF(OR(Umse!$B$11="4.1.",Umse!$B$11="4.2.",Umse!$B$11="4.3.",Umse!$B$11="4.4.",Umse!$B$11="4.5.",Umse!$B$11="4.6."),'VKr-B Ist'!R36,"")))</f>
        <v/>
      </c>
    </row>
    <row r="50" spans="2:18" ht="11.25" customHeight="1">
      <c r="B50" s="306" t="str">
        <f>IF(OR(Umse!$C$24=0,Umse!$B$11=0),"",IF(OR(Umse!$B$11="3.1.",Umse!$B$11="3.2.",Umse!$B$11="3.5.",Umse!$B$11="3.6.",Umse!$B$11="3.9.",Umse!$B$11="3.10."),'VKr-K Ist'!B37,IF(OR(Umse!$B$11="4.1.",Umse!$B$11="4.2.",Umse!$B$11="4.3.",Umse!$B$11="4.4.",Umse!$B$11="4.5.",Umse!$B$11="4.6."),'VKr-B Ist'!B37,"")))</f>
        <v/>
      </c>
      <c r="C50" s="306" t="str">
        <f>IF(OR(Umse!$C$24=0,Umse!$B$11=0),"",IF(OR(Umse!$B$11="3.1.",Umse!$B$11="3.2.",Umse!$B$11="3.5.",Umse!$B$11="3.6.",Umse!$B$11="3.9.",Umse!$B$11="3.10."),'VKr-K Ist'!C37,IF(OR(Umse!$B$11="4.1.",Umse!$B$11="4.2.",Umse!$B$11="4.3.",Umse!$B$11="4.4.",Umse!$B$11="4.5.",Umse!$B$11="4.6."),'VKr-B Ist'!C37,"")))</f>
        <v/>
      </c>
      <c r="D50" s="308">
        <f>IF(OR(Umse!$C$24=0,Umse!$B$11=0),0,IF(OR(Umse!$B$11="3.1.",Umse!$B$11="3.2.",Umse!$B$11="3.5.",Umse!$B$11="3.6.",Umse!$B$11="3.9.",Umse!$B$11="3.10."),'VKr-K Ist'!D37,IF(OR(Umse!$B$11="4.1.",Umse!$B$11="4.2.",Umse!$B$11="4.3.",Umse!$B$11="4.4.",Umse!$B$11="4.5.",Umse!$B$11="4.6."),'VKr-B Ist'!D37,0)))</f>
        <v>0</v>
      </c>
      <c r="E50" s="308">
        <f>IF(OR(Umse!$C$24=0,Umse!$B$11=0),0,IF(OR(Umse!$B$11="3.1.",Umse!$B$11="3.2.",Umse!$B$11="3.5.",Umse!$B$11="3.6.",Umse!$B$11="3.9.",Umse!$B$11="3.10."),'VKr-K Ist'!E37,IF(OR(Umse!$B$11="4.1.",Umse!$B$11="4.2.",Umse!$B$11="4.3.",Umse!$B$11="4.4.",Umse!$B$11="4.5.",Umse!$B$11="4.6."),'VKr-B Ist'!E37,0)))</f>
        <v>0</v>
      </c>
      <c r="F50" s="308">
        <f>IF(OR(Umse!$C$24=0,Umse!$B$11=0),0,IF(OR(Umse!$B$11="3.1.",Umse!$B$11="3.2.",Umse!$B$11="3.5.",Umse!$B$11="3.6.",Umse!$B$11="3.9.",Umse!$B$11="3.10."),'VKr-K Ist'!F37,IF(OR(Umse!$B$11="4.1.",Umse!$B$11="4.2.",Umse!$B$11="4.3.",Umse!$B$11="4.4.",Umse!$B$11="4.5.",Umse!$B$11="4.6."),'VKr-B Ist'!F37,0)))</f>
        <v>0</v>
      </c>
      <c r="G50" s="308">
        <f>IF(OR(Umse!$C$24=0,Umse!$B$11=0),0,IF(OR(Umse!$B$11="3.1.",Umse!$B$11="3.2.",Umse!$B$11="3.5.",Umse!$B$11="3.6.",Umse!$B$11="3.9.",Umse!$B$11="3.10."),'VKr-K Ist'!G37,IF(OR(Umse!$B$11="4.1.",Umse!$B$11="4.2.",Umse!$B$11="4.3.",Umse!$B$11="4.4.",Umse!$B$11="4.5.",Umse!$B$11="4.6."),'VKr-B Ist'!G37,0)))</f>
        <v>0</v>
      </c>
      <c r="H50" s="308">
        <f>IF(OR(Umse!$C$24=0,Umse!$B$11=0),0,IF(OR(Umse!$B$11="3.1.",Umse!$B$11="3.2.",Umse!$B$11="3.5.",Umse!$B$11="3.6.",Umse!$B$11="3.9.",Umse!$B$11="3.10."),'VKr-K Ist'!H37,IF(OR(Umse!$B$11="4.1.",Umse!$B$11="4.2.",Umse!$B$11="4.3.",Umse!$B$11="4.4.",Umse!$B$11="4.5.",Umse!$B$11="4.6."),'VKr-B Ist'!H37,0)))</f>
        <v>0</v>
      </c>
      <c r="I50" s="308">
        <f>IF(OR(Umse!$C$24=0,Umse!$B$11=0),0,IF(OR(Umse!$B$11="3.1.",Umse!$B$11="3.2.",Umse!$B$11="3.5.",Umse!$B$11="3.6.",Umse!$B$11="3.9.",Umse!$B$11="3.10."),'VKr-K Ist'!I37,IF(OR(Umse!$B$11="4.1.",Umse!$B$11="4.2.",Umse!$B$11="4.3.",Umse!$B$11="4.4.",Umse!$B$11="4.5.",Umse!$B$11="4.6."),'VKr-B Ist'!I37,0)))</f>
        <v>0</v>
      </c>
      <c r="J50" s="307"/>
      <c r="K50" s="306" t="str">
        <f>IF(OR(Umse!$C$24=0,Umse!$B$11=0),"",IF(OR(Umse!$B$11="3.1.",Umse!$B$11="3.2.",Umse!$B$11="3.5.",Umse!$B$11="3.6.",Umse!$B$11="3.9.",Umse!$B$11="3.10."),'VKr-K Ist'!K37,IF(OR(Umse!$B$11="4.1.",Umse!$B$11="4.2.",Umse!$B$11="4.3.",Umse!$B$11="4.4.",Umse!$B$11="4.5.",Umse!$B$11="4.6."),'VKr-B Ist'!K37,"")))</f>
        <v/>
      </c>
      <c r="L50" s="322" t="str">
        <f>IF(OR(Umse!$C$24=0,Umse!$B$11=0),"",IF(OR(Umse!$B$11="3.1.",Umse!$B$11="3.2.",Umse!$B$11="3.5.",Umse!$B$11="3.6.",Umse!$B$11="3.9.",Umse!$B$11="3.10."),'VKr-K Ist'!L37,IF(OR(Umse!$B$11="4.1.",Umse!$B$11="4.2.",Umse!$B$11="4.3.",Umse!$B$11="4.4.",Umse!$B$11="4.5.",Umse!$B$11="4.6."),'VKr-B Ist'!L37,"")))</f>
        <v/>
      </c>
      <c r="M50" s="308" t="str">
        <f>IF(OR(Umse!$C$24=0,Umse!$B$11=0),"",IF(OR(Umse!$B$11="3.1.",Umse!$B$11="3.2.",Umse!$B$11="3.5.",Umse!$B$11="3.6.",Umse!$B$11="3.9.",Umse!$B$11="3.10."),'VKr-K Ist'!M37,IF(OR(Umse!$B$11="4.1.",Umse!$B$11="4.2.",Umse!$B$11="4.3.",Umse!$B$11="4.4.",Umse!$B$11="4.5.",Umse!$B$11="4.6."),'VKr-B Ist'!M37,"")))</f>
        <v/>
      </c>
      <c r="N50" s="308" t="str">
        <f>IF(OR(Umse!$C$24=0,Umse!$B$11=0),"",IF(OR(Umse!$B$11="3.1.",Umse!$B$11="3.2.",Umse!$B$11="3.5.",Umse!$B$11="3.6.",Umse!$B$11="3.9.",Umse!$B$11="3.10."),'VKr-K Ist'!N37,IF(OR(Umse!$B$11="4.1.",Umse!$B$11="4.2.",Umse!$B$11="4.3.",Umse!$B$11="4.4.",Umse!$B$11="4.5.",Umse!$B$11="4.6."),'VKr-B Ist'!N37,"")))</f>
        <v/>
      </c>
      <c r="O50" s="308" t="str">
        <f>IF(OR(Umse!$C$24=0,Umse!$B$11=0),"",IF(OR(Umse!$B$11="3.1.",Umse!$B$11="3.2.",Umse!$B$11="3.5.",Umse!$B$11="3.6.",Umse!$B$11="3.9.",Umse!$B$11="3.10."),'VKr-K Ist'!O37,IF(OR(Umse!$B$11="4.1.",Umse!$B$11="4.2.",Umse!$B$11="4.3.",Umse!$B$11="4.4.",Umse!$B$11="4.5.",Umse!$B$11="4.6."),'VKr-B Ist'!O37,"")))</f>
        <v/>
      </c>
      <c r="P50" s="308" t="str">
        <f>IF(OR(Umse!$C$24=0,Umse!$B$11=0),"",IF(OR(Umse!$B$11="3.1.",Umse!$B$11="3.2.",Umse!$B$11="3.5.",Umse!$B$11="3.6.",Umse!$B$11="3.9.",Umse!$B$11="3.10."),'VKr-K Ist'!P37,IF(OR(Umse!$B$11="4.1.",Umse!$B$11="4.2.",Umse!$B$11="4.3.",Umse!$B$11="4.4.",Umse!$B$11="4.5.",Umse!$B$11="4.6."),'VKr-B Ist'!P37,"")))</f>
        <v/>
      </c>
      <c r="Q50" s="308" t="str">
        <f>IF(OR(Umse!$C$24=0,Umse!$B$11=0),"",IF(OR(Umse!$B$11="3.1.",Umse!$B$11="3.2.",Umse!$B$11="3.5.",Umse!$B$11="3.6.",Umse!$B$11="3.9.",Umse!$B$11="3.10."),'VKr-K Ist'!Q37,IF(OR(Umse!$B$11="4.1.",Umse!$B$11="4.2.",Umse!$B$11="4.3.",Umse!$B$11="4.4.",Umse!$B$11="4.5.",Umse!$B$11="4.6."),'VKr-B Ist'!Q37,"")))</f>
        <v/>
      </c>
      <c r="R50" s="308" t="str">
        <f>IF(OR(Umse!$C$24=0,Umse!$B$11=0),"",IF(OR(Umse!$B$11="3.1.",Umse!$B$11="3.2.",Umse!$B$11="3.5.",Umse!$B$11="3.6.",Umse!$B$11="3.9.",Umse!$B$11="3.10."),'VKr-K Ist'!R37,IF(OR(Umse!$B$11="4.1.",Umse!$B$11="4.2.",Umse!$B$11="4.3.",Umse!$B$11="4.4.",Umse!$B$11="4.5.",Umse!$B$11="4.6."),'VKr-B Ist'!R37,"")))</f>
        <v/>
      </c>
    </row>
    <row r="51" spans="2:18" ht="11.25" customHeight="1">
      <c r="B51" s="306" t="str">
        <f>IF(OR(Umse!$C$24=0,Umse!$B$11=0),"",IF(OR(Umse!$B$11="3.1.",Umse!$B$11="3.2.",Umse!$B$11="3.5.",Umse!$B$11="3.6.",Umse!$B$11="3.9.",Umse!$B$11="3.10."),'VKr-K Ist'!B38,IF(OR(Umse!$B$11="4.1.",Umse!$B$11="4.2.",Umse!$B$11="4.3.",Umse!$B$11="4.4.",Umse!$B$11="4.5.",Umse!$B$11="4.6."),'VKr-B Ist'!B38,"")))</f>
        <v/>
      </c>
      <c r="C51" s="306" t="str">
        <f>IF(OR(Umse!$C$24=0,Umse!$B$11=0),"",IF(OR(Umse!$B$11="3.1.",Umse!$B$11="3.2.",Umse!$B$11="3.5.",Umse!$B$11="3.6.",Umse!$B$11="3.9.",Umse!$B$11="3.10."),'VKr-K Ist'!C38,IF(OR(Umse!$B$11="4.1.",Umse!$B$11="4.2.",Umse!$B$11="4.3.",Umse!$B$11="4.4.",Umse!$B$11="4.5.",Umse!$B$11="4.6."),'VKr-B Ist'!C38,"")))</f>
        <v/>
      </c>
      <c r="D51" s="308">
        <f>IF(OR(Umse!$C$24=0,Umse!$B$11=0),0,IF(OR(Umse!$B$11="3.1.",Umse!$B$11="3.2.",Umse!$B$11="3.5.",Umse!$B$11="3.6.",Umse!$B$11="3.9.",Umse!$B$11="3.10."),'VKr-K Ist'!D38,IF(OR(Umse!$B$11="4.1.",Umse!$B$11="4.2.",Umse!$B$11="4.3.",Umse!$B$11="4.4.",Umse!$B$11="4.5.",Umse!$B$11="4.6."),'VKr-B Ist'!D38,0)))</f>
        <v>0</v>
      </c>
      <c r="E51" s="308">
        <f>IF(OR(Umse!$C$24=0,Umse!$B$11=0),0,IF(OR(Umse!$B$11="3.1.",Umse!$B$11="3.2.",Umse!$B$11="3.5.",Umse!$B$11="3.6.",Umse!$B$11="3.9.",Umse!$B$11="3.10."),'VKr-K Ist'!E38,IF(OR(Umse!$B$11="4.1.",Umse!$B$11="4.2.",Umse!$B$11="4.3.",Umse!$B$11="4.4.",Umse!$B$11="4.5.",Umse!$B$11="4.6."),'VKr-B Ist'!E38,0)))</f>
        <v>0</v>
      </c>
      <c r="F51" s="308">
        <f>IF(OR(Umse!$C$24=0,Umse!$B$11=0),0,IF(OR(Umse!$B$11="3.1.",Umse!$B$11="3.2.",Umse!$B$11="3.5.",Umse!$B$11="3.6.",Umse!$B$11="3.9.",Umse!$B$11="3.10."),'VKr-K Ist'!F38,IF(OR(Umse!$B$11="4.1.",Umse!$B$11="4.2.",Umse!$B$11="4.3.",Umse!$B$11="4.4.",Umse!$B$11="4.5.",Umse!$B$11="4.6."),'VKr-B Ist'!F38,0)))</f>
        <v>0</v>
      </c>
      <c r="G51" s="308">
        <f>IF(OR(Umse!$C$24=0,Umse!$B$11=0),0,IF(OR(Umse!$B$11="3.1.",Umse!$B$11="3.2.",Umse!$B$11="3.5.",Umse!$B$11="3.6.",Umse!$B$11="3.9.",Umse!$B$11="3.10."),'VKr-K Ist'!G38,IF(OR(Umse!$B$11="4.1.",Umse!$B$11="4.2.",Umse!$B$11="4.3.",Umse!$B$11="4.4.",Umse!$B$11="4.5.",Umse!$B$11="4.6."),'VKr-B Ist'!G38,0)))</f>
        <v>0</v>
      </c>
      <c r="H51" s="308">
        <f>IF(OR(Umse!$C$24=0,Umse!$B$11=0),0,IF(OR(Umse!$B$11="3.1.",Umse!$B$11="3.2.",Umse!$B$11="3.5.",Umse!$B$11="3.6.",Umse!$B$11="3.9.",Umse!$B$11="3.10."),'VKr-K Ist'!H38,IF(OR(Umse!$B$11="4.1.",Umse!$B$11="4.2.",Umse!$B$11="4.3.",Umse!$B$11="4.4.",Umse!$B$11="4.5.",Umse!$B$11="4.6."),'VKr-B Ist'!H38,0)))</f>
        <v>0</v>
      </c>
      <c r="I51" s="308">
        <f>IF(OR(Umse!$C$24=0,Umse!$B$11=0),0,IF(OR(Umse!$B$11="3.1.",Umse!$B$11="3.2.",Umse!$B$11="3.5.",Umse!$B$11="3.6.",Umse!$B$11="3.9.",Umse!$B$11="3.10."),'VKr-K Ist'!I38,IF(OR(Umse!$B$11="4.1.",Umse!$B$11="4.2.",Umse!$B$11="4.3.",Umse!$B$11="4.4.",Umse!$B$11="4.5.",Umse!$B$11="4.6."),'VKr-B Ist'!I38,0)))</f>
        <v>0</v>
      </c>
      <c r="J51" s="307"/>
      <c r="K51" s="306" t="str">
        <f>IF(OR(Umse!$C$24=0,Umse!$B$11=0),"",IF(OR(Umse!$B$11="3.1.",Umse!$B$11="3.2.",Umse!$B$11="3.5.",Umse!$B$11="3.6.",Umse!$B$11="3.9.",Umse!$B$11="3.10."),'VKr-K Ist'!K38,IF(OR(Umse!$B$11="4.1.",Umse!$B$11="4.2.",Umse!$B$11="4.3.",Umse!$B$11="4.4.",Umse!$B$11="4.5.",Umse!$B$11="4.6."),'VKr-B Ist'!K38,"")))</f>
        <v/>
      </c>
      <c r="L51" s="322" t="str">
        <f>IF(OR(Umse!$C$24=0,Umse!$B$11=0),"",IF(OR(Umse!$B$11="3.1.",Umse!$B$11="3.2.",Umse!$B$11="3.5.",Umse!$B$11="3.6.",Umse!$B$11="3.9.",Umse!$B$11="3.10."),'VKr-K Ist'!L38,IF(OR(Umse!$B$11="4.1.",Umse!$B$11="4.2.",Umse!$B$11="4.3.",Umse!$B$11="4.4.",Umse!$B$11="4.5.",Umse!$B$11="4.6."),'VKr-B Ist'!L38,"")))</f>
        <v/>
      </c>
      <c r="M51" s="308" t="str">
        <f>IF(OR(Umse!$C$24=0,Umse!$B$11=0),"",IF(OR(Umse!$B$11="3.1.",Umse!$B$11="3.2.",Umse!$B$11="3.5.",Umse!$B$11="3.6.",Umse!$B$11="3.9.",Umse!$B$11="3.10."),'VKr-K Ist'!M38,IF(OR(Umse!$B$11="4.1.",Umse!$B$11="4.2.",Umse!$B$11="4.3.",Umse!$B$11="4.4.",Umse!$B$11="4.5.",Umse!$B$11="4.6."),'VKr-B Ist'!M38,"")))</f>
        <v/>
      </c>
      <c r="N51" s="308" t="str">
        <f>IF(OR(Umse!$C$24=0,Umse!$B$11=0),"",IF(OR(Umse!$B$11="3.1.",Umse!$B$11="3.2.",Umse!$B$11="3.5.",Umse!$B$11="3.6.",Umse!$B$11="3.9.",Umse!$B$11="3.10."),'VKr-K Ist'!N38,IF(OR(Umse!$B$11="4.1.",Umse!$B$11="4.2.",Umse!$B$11="4.3.",Umse!$B$11="4.4.",Umse!$B$11="4.5.",Umse!$B$11="4.6."),'VKr-B Ist'!N38,"")))</f>
        <v/>
      </c>
      <c r="O51" s="308" t="str">
        <f>IF(OR(Umse!$C$24=0,Umse!$B$11=0),"",IF(OR(Umse!$B$11="3.1.",Umse!$B$11="3.2.",Umse!$B$11="3.5.",Umse!$B$11="3.6.",Umse!$B$11="3.9.",Umse!$B$11="3.10."),'VKr-K Ist'!O38,IF(OR(Umse!$B$11="4.1.",Umse!$B$11="4.2.",Umse!$B$11="4.3.",Umse!$B$11="4.4.",Umse!$B$11="4.5.",Umse!$B$11="4.6."),'VKr-B Ist'!O38,"")))</f>
        <v/>
      </c>
      <c r="P51" s="308" t="str">
        <f>IF(OR(Umse!$C$24=0,Umse!$B$11=0),"",IF(OR(Umse!$B$11="3.1.",Umse!$B$11="3.2.",Umse!$B$11="3.5.",Umse!$B$11="3.6.",Umse!$B$11="3.9.",Umse!$B$11="3.10."),'VKr-K Ist'!P38,IF(OR(Umse!$B$11="4.1.",Umse!$B$11="4.2.",Umse!$B$11="4.3.",Umse!$B$11="4.4.",Umse!$B$11="4.5.",Umse!$B$11="4.6."),'VKr-B Ist'!P38,"")))</f>
        <v/>
      </c>
      <c r="Q51" s="308" t="str">
        <f>IF(OR(Umse!$C$24=0,Umse!$B$11=0),"",IF(OR(Umse!$B$11="3.1.",Umse!$B$11="3.2.",Umse!$B$11="3.5.",Umse!$B$11="3.6.",Umse!$B$11="3.9.",Umse!$B$11="3.10."),'VKr-K Ist'!Q38,IF(OR(Umse!$B$11="4.1.",Umse!$B$11="4.2.",Umse!$B$11="4.3.",Umse!$B$11="4.4.",Umse!$B$11="4.5.",Umse!$B$11="4.6."),'VKr-B Ist'!Q38,"")))</f>
        <v/>
      </c>
      <c r="R51" s="308" t="str">
        <f>IF(OR(Umse!$C$24=0,Umse!$B$11=0),"",IF(OR(Umse!$B$11="3.1.",Umse!$B$11="3.2.",Umse!$B$11="3.5.",Umse!$B$11="3.6.",Umse!$B$11="3.9.",Umse!$B$11="3.10."),'VKr-K Ist'!R38,IF(OR(Umse!$B$11="4.1.",Umse!$B$11="4.2.",Umse!$B$11="4.3.",Umse!$B$11="4.4.",Umse!$B$11="4.5.",Umse!$B$11="4.6."),'VKr-B Ist'!R38,"")))</f>
        <v/>
      </c>
    </row>
    <row r="52" spans="2:18" ht="11.25" customHeight="1">
      <c r="B52" s="306" t="str">
        <f>IF(OR(Umse!$C$24=0,Umse!$B$11=0),"",IF(OR(Umse!$B$11="3.1.",Umse!$B$11="3.2.",Umse!$B$11="3.5.",Umse!$B$11="3.6.",Umse!$B$11="3.9.",Umse!$B$11="3.10."),'VKr-K Ist'!B39,IF(OR(Umse!$B$11="4.1.",Umse!$B$11="4.2.",Umse!$B$11="4.3.",Umse!$B$11="4.4.",Umse!$B$11="4.5.",Umse!$B$11="4.6."),'VKr-B Ist'!B39,"")))</f>
        <v/>
      </c>
      <c r="C52" s="306" t="str">
        <f>IF(OR(Umse!$C$24=0,Umse!$B$11=0),"",IF(OR(Umse!$B$11="3.1.",Umse!$B$11="3.2.",Umse!$B$11="3.5.",Umse!$B$11="3.6.",Umse!$B$11="3.9.",Umse!$B$11="3.10."),'VKr-K Ist'!C39,IF(OR(Umse!$B$11="4.1.",Umse!$B$11="4.2.",Umse!$B$11="4.3.",Umse!$B$11="4.4.",Umse!$B$11="4.5.",Umse!$B$11="4.6."),'VKr-B Ist'!C39,"")))</f>
        <v/>
      </c>
      <c r="D52" s="308">
        <f>IF(OR(Umse!$C$24=0,Umse!$B$11=0),0,IF(OR(Umse!$B$11="3.1.",Umse!$B$11="3.2.",Umse!$B$11="3.5.",Umse!$B$11="3.6.",Umse!$B$11="3.9.",Umse!$B$11="3.10."),'VKr-K Ist'!D39,IF(OR(Umse!$B$11="4.1.",Umse!$B$11="4.2.",Umse!$B$11="4.3.",Umse!$B$11="4.4.",Umse!$B$11="4.5.",Umse!$B$11="4.6."),'VKr-B Ist'!D39,0)))</f>
        <v>0</v>
      </c>
      <c r="E52" s="308">
        <f>IF(OR(Umse!$C$24=0,Umse!$B$11=0),0,IF(OR(Umse!$B$11="3.1.",Umse!$B$11="3.2.",Umse!$B$11="3.5.",Umse!$B$11="3.6.",Umse!$B$11="3.9.",Umse!$B$11="3.10."),'VKr-K Ist'!E39,IF(OR(Umse!$B$11="4.1.",Umse!$B$11="4.2.",Umse!$B$11="4.3.",Umse!$B$11="4.4.",Umse!$B$11="4.5.",Umse!$B$11="4.6."),'VKr-B Ist'!E39,0)))</f>
        <v>0</v>
      </c>
      <c r="F52" s="308">
        <f>IF(OR(Umse!$C$24=0,Umse!$B$11=0),0,IF(OR(Umse!$B$11="3.1.",Umse!$B$11="3.2.",Umse!$B$11="3.5.",Umse!$B$11="3.6.",Umse!$B$11="3.9.",Umse!$B$11="3.10."),'VKr-K Ist'!F39,IF(OR(Umse!$B$11="4.1.",Umse!$B$11="4.2.",Umse!$B$11="4.3.",Umse!$B$11="4.4.",Umse!$B$11="4.5.",Umse!$B$11="4.6."),'VKr-B Ist'!F39,0)))</f>
        <v>0</v>
      </c>
      <c r="G52" s="308">
        <f>IF(OR(Umse!$C$24=0,Umse!$B$11=0),0,IF(OR(Umse!$B$11="3.1.",Umse!$B$11="3.2.",Umse!$B$11="3.5.",Umse!$B$11="3.6.",Umse!$B$11="3.9.",Umse!$B$11="3.10."),'VKr-K Ist'!G39,IF(OR(Umse!$B$11="4.1.",Umse!$B$11="4.2.",Umse!$B$11="4.3.",Umse!$B$11="4.4.",Umse!$B$11="4.5.",Umse!$B$11="4.6."),'VKr-B Ist'!G39,0)))</f>
        <v>0</v>
      </c>
      <c r="H52" s="308">
        <f>IF(OR(Umse!$C$24=0,Umse!$B$11=0),0,IF(OR(Umse!$B$11="3.1.",Umse!$B$11="3.2.",Umse!$B$11="3.5.",Umse!$B$11="3.6.",Umse!$B$11="3.9.",Umse!$B$11="3.10."),'VKr-K Ist'!H39,IF(OR(Umse!$B$11="4.1.",Umse!$B$11="4.2.",Umse!$B$11="4.3.",Umse!$B$11="4.4.",Umse!$B$11="4.5.",Umse!$B$11="4.6."),'VKr-B Ist'!H39,0)))</f>
        <v>0</v>
      </c>
      <c r="I52" s="308">
        <f>IF(OR(Umse!$C$24=0,Umse!$B$11=0),0,IF(OR(Umse!$B$11="3.1.",Umse!$B$11="3.2.",Umse!$B$11="3.5.",Umse!$B$11="3.6.",Umse!$B$11="3.9.",Umse!$B$11="3.10."),'VKr-K Ist'!I39,IF(OR(Umse!$B$11="4.1.",Umse!$B$11="4.2.",Umse!$B$11="4.3.",Umse!$B$11="4.4.",Umse!$B$11="4.5.",Umse!$B$11="4.6."),'VKr-B Ist'!I39,0)))</f>
        <v>0</v>
      </c>
      <c r="J52" s="307"/>
      <c r="K52" s="306" t="str">
        <f>IF(OR(Umse!$C$24=0,Umse!$B$11=0),"",IF(OR(Umse!$B$11="3.1.",Umse!$B$11="3.2.",Umse!$B$11="3.5.",Umse!$B$11="3.6.",Umse!$B$11="3.9.",Umse!$B$11="3.10."),'VKr-K Ist'!K39,IF(OR(Umse!$B$11="4.1.",Umse!$B$11="4.2.",Umse!$B$11="4.3.",Umse!$B$11="4.4.",Umse!$B$11="4.5.",Umse!$B$11="4.6."),'VKr-B Ist'!K39,"")))</f>
        <v/>
      </c>
      <c r="L52" s="322" t="str">
        <f>IF(OR(Umse!$C$24=0,Umse!$B$11=0),"",IF(OR(Umse!$B$11="3.1.",Umse!$B$11="3.2.",Umse!$B$11="3.5.",Umse!$B$11="3.6.",Umse!$B$11="3.9.",Umse!$B$11="3.10."),'VKr-K Ist'!L39,IF(OR(Umse!$B$11="4.1.",Umse!$B$11="4.2.",Umse!$B$11="4.3.",Umse!$B$11="4.4.",Umse!$B$11="4.5.",Umse!$B$11="4.6."),'VKr-B Ist'!L39,"")))</f>
        <v/>
      </c>
      <c r="M52" s="308" t="str">
        <f>IF(OR(Umse!$C$24=0,Umse!$B$11=0),"",IF(OR(Umse!$B$11="3.1.",Umse!$B$11="3.2.",Umse!$B$11="3.5.",Umse!$B$11="3.6.",Umse!$B$11="3.9.",Umse!$B$11="3.10."),'VKr-K Ist'!M39,IF(OR(Umse!$B$11="4.1.",Umse!$B$11="4.2.",Umse!$B$11="4.3.",Umse!$B$11="4.4.",Umse!$B$11="4.5.",Umse!$B$11="4.6."),'VKr-B Ist'!M39,"")))</f>
        <v/>
      </c>
      <c r="N52" s="308" t="str">
        <f>IF(OR(Umse!$C$24=0,Umse!$B$11=0),"",IF(OR(Umse!$B$11="3.1.",Umse!$B$11="3.2.",Umse!$B$11="3.5.",Umse!$B$11="3.6.",Umse!$B$11="3.9.",Umse!$B$11="3.10."),'VKr-K Ist'!N39,IF(OR(Umse!$B$11="4.1.",Umse!$B$11="4.2.",Umse!$B$11="4.3.",Umse!$B$11="4.4.",Umse!$B$11="4.5.",Umse!$B$11="4.6."),'VKr-B Ist'!N39,"")))</f>
        <v/>
      </c>
      <c r="O52" s="308" t="str">
        <f>IF(OR(Umse!$C$24=0,Umse!$B$11=0),"",IF(OR(Umse!$B$11="3.1.",Umse!$B$11="3.2.",Umse!$B$11="3.5.",Umse!$B$11="3.6.",Umse!$B$11="3.9.",Umse!$B$11="3.10."),'VKr-K Ist'!O39,IF(OR(Umse!$B$11="4.1.",Umse!$B$11="4.2.",Umse!$B$11="4.3.",Umse!$B$11="4.4.",Umse!$B$11="4.5.",Umse!$B$11="4.6."),'VKr-B Ist'!O39,"")))</f>
        <v/>
      </c>
      <c r="P52" s="308" t="str">
        <f>IF(OR(Umse!$C$24=0,Umse!$B$11=0),"",IF(OR(Umse!$B$11="3.1.",Umse!$B$11="3.2.",Umse!$B$11="3.5.",Umse!$B$11="3.6.",Umse!$B$11="3.9.",Umse!$B$11="3.10."),'VKr-K Ist'!P39,IF(OR(Umse!$B$11="4.1.",Umse!$B$11="4.2.",Umse!$B$11="4.3.",Umse!$B$11="4.4.",Umse!$B$11="4.5.",Umse!$B$11="4.6."),'VKr-B Ist'!P39,"")))</f>
        <v/>
      </c>
      <c r="Q52" s="308" t="str">
        <f>IF(OR(Umse!$C$24=0,Umse!$B$11=0),"",IF(OR(Umse!$B$11="3.1.",Umse!$B$11="3.2.",Umse!$B$11="3.5.",Umse!$B$11="3.6.",Umse!$B$11="3.9.",Umse!$B$11="3.10."),'VKr-K Ist'!Q39,IF(OR(Umse!$B$11="4.1.",Umse!$B$11="4.2.",Umse!$B$11="4.3.",Umse!$B$11="4.4.",Umse!$B$11="4.5.",Umse!$B$11="4.6."),'VKr-B Ist'!Q39,"")))</f>
        <v/>
      </c>
      <c r="R52" s="308" t="str">
        <f>IF(OR(Umse!$C$24=0,Umse!$B$11=0),"",IF(OR(Umse!$B$11="3.1.",Umse!$B$11="3.2.",Umse!$B$11="3.5.",Umse!$B$11="3.6.",Umse!$B$11="3.9.",Umse!$B$11="3.10."),'VKr-K Ist'!R39,IF(OR(Umse!$B$11="4.1.",Umse!$B$11="4.2.",Umse!$B$11="4.3.",Umse!$B$11="4.4.",Umse!$B$11="4.5.",Umse!$B$11="4.6."),'VKr-B Ist'!R39,"")))</f>
        <v/>
      </c>
    </row>
    <row r="53" spans="2:18" ht="11.25" customHeight="1">
      <c r="B53" s="306" t="str">
        <f>IF(OR(Umse!$C$24=0,Umse!$B$11=0),"",IF(OR(Umse!$B$11="3.1.",Umse!$B$11="3.2.",Umse!$B$11="3.5.",Umse!$B$11="3.6.",Umse!$B$11="3.9.",Umse!$B$11="3.10."),'VKr-K Ist'!B40,IF(OR(Umse!$B$11="4.1.",Umse!$B$11="4.2.",Umse!$B$11="4.3.",Umse!$B$11="4.4.",Umse!$B$11="4.5.",Umse!$B$11="4.6."),'VKr-B Ist'!B40,"")))</f>
        <v/>
      </c>
      <c r="C53" s="306" t="str">
        <f>IF(OR(Umse!$C$24=0,Umse!$B$11=0),"",IF(OR(Umse!$B$11="3.1.",Umse!$B$11="3.2.",Umse!$B$11="3.5.",Umse!$B$11="3.6.",Umse!$B$11="3.9.",Umse!$B$11="3.10."),'VKr-K Ist'!C40,IF(OR(Umse!$B$11="4.1.",Umse!$B$11="4.2.",Umse!$B$11="4.3.",Umse!$B$11="4.4.",Umse!$B$11="4.5.",Umse!$B$11="4.6."),'VKr-B Ist'!C40,"")))</f>
        <v/>
      </c>
      <c r="D53" s="308">
        <f>IF(OR(Umse!$C$24=0,Umse!$B$11=0),0,IF(OR(Umse!$B$11="3.1.",Umse!$B$11="3.2.",Umse!$B$11="3.5.",Umse!$B$11="3.6.",Umse!$B$11="3.9.",Umse!$B$11="3.10."),'VKr-K Ist'!D40,IF(OR(Umse!$B$11="4.1.",Umse!$B$11="4.2.",Umse!$B$11="4.3.",Umse!$B$11="4.4.",Umse!$B$11="4.5.",Umse!$B$11="4.6."),'VKr-B Ist'!D40,0)))</f>
        <v>0</v>
      </c>
      <c r="E53" s="308">
        <f>IF(OR(Umse!$C$24=0,Umse!$B$11=0),0,IF(OR(Umse!$B$11="3.1.",Umse!$B$11="3.2.",Umse!$B$11="3.5.",Umse!$B$11="3.6.",Umse!$B$11="3.9.",Umse!$B$11="3.10."),'VKr-K Ist'!E40,IF(OR(Umse!$B$11="4.1.",Umse!$B$11="4.2.",Umse!$B$11="4.3.",Umse!$B$11="4.4.",Umse!$B$11="4.5.",Umse!$B$11="4.6."),'VKr-B Ist'!E40,0)))</f>
        <v>0</v>
      </c>
      <c r="F53" s="308">
        <f>IF(OR(Umse!$C$24=0,Umse!$B$11=0),0,IF(OR(Umse!$B$11="3.1.",Umse!$B$11="3.2.",Umse!$B$11="3.5.",Umse!$B$11="3.6.",Umse!$B$11="3.9.",Umse!$B$11="3.10."),'VKr-K Ist'!F40,IF(OR(Umse!$B$11="4.1.",Umse!$B$11="4.2.",Umse!$B$11="4.3.",Umse!$B$11="4.4.",Umse!$B$11="4.5.",Umse!$B$11="4.6."),'VKr-B Ist'!F40,0)))</f>
        <v>0</v>
      </c>
      <c r="G53" s="308">
        <f>IF(OR(Umse!$C$24=0,Umse!$B$11=0),0,IF(OR(Umse!$B$11="3.1.",Umse!$B$11="3.2.",Umse!$B$11="3.5.",Umse!$B$11="3.6.",Umse!$B$11="3.9.",Umse!$B$11="3.10."),'VKr-K Ist'!G40,IF(OR(Umse!$B$11="4.1.",Umse!$B$11="4.2.",Umse!$B$11="4.3.",Umse!$B$11="4.4.",Umse!$B$11="4.5.",Umse!$B$11="4.6."),'VKr-B Ist'!G40,0)))</f>
        <v>0</v>
      </c>
      <c r="H53" s="308">
        <f>IF(OR(Umse!$C$24=0,Umse!$B$11=0),0,IF(OR(Umse!$B$11="3.1.",Umse!$B$11="3.2.",Umse!$B$11="3.5.",Umse!$B$11="3.6.",Umse!$B$11="3.9.",Umse!$B$11="3.10."),'VKr-K Ist'!H40,IF(OR(Umse!$B$11="4.1.",Umse!$B$11="4.2.",Umse!$B$11="4.3.",Umse!$B$11="4.4.",Umse!$B$11="4.5.",Umse!$B$11="4.6."),'VKr-B Ist'!H40,0)))</f>
        <v>0</v>
      </c>
      <c r="I53" s="308">
        <f>IF(OR(Umse!$C$24=0,Umse!$B$11=0),0,IF(OR(Umse!$B$11="3.1.",Umse!$B$11="3.2.",Umse!$B$11="3.5.",Umse!$B$11="3.6.",Umse!$B$11="3.9.",Umse!$B$11="3.10."),'VKr-K Ist'!I40,IF(OR(Umse!$B$11="4.1.",Umse!$B$11="4.2.",Umse!$B$11="4.3.",Umse!$B$11="4.4.",Umse!$B$11="4.5.",Umse!$B$11="4.6."),'VKr-B Ist'!I40,0)))</f>
        <v>0</v>
      </c>
      <c r="J53" s="307"/>
      <c r="K53" s="306" t="str">
        <f>IF(OR(Umse!$C$24=0,Umse!$B$11=0),"",IF(OR(Umse!$B$11="3.1.",Umse!$B$11="3.2.",Umse!$B$11="3.5.",Umse!$B$11="3.6.",Umse!$B$11="3.9.",Umse!$B$11="3.10."),'VKr-K Ist'!K40,IF(OR(Umse!$B$11="4.1.",Umse!$B$11="4.2.",Umse!$B$11="4.3.",Umse!$B$11="4.4.",Umse!$B$11="4.5.",Umse!$B$11="4.6."),'VKr-B Ist'!K40,"")))</f>
        <v/>
      </c>
      <c r="L53" s="322" t="str">
        <f>IF(OR(Umse!$C$24=0,Umse!$B$11=0),"",IF(OR(Umse!$B$11="3.1.",Umse!$B$11="3.2.",Umse!$B$11="3.5.",Umse!$B$11="3.6.",Umse!$B$11="3.9.",Umse!$B$11="3.10."),'VKr-K Ist'!L40,IF(OR(Umse!$B$11="4.1.",Umse!$B$11="4.2.",Umse!$B$11="4.3.",Umse!$B$11="4.4.",Umse!$B$11="4.5.",Umse!$B$11="4.6."),'VKr-B Ist'!L40,"")))</f>
        <v/>
      </c>
      <c r="M53" s="308" t="str">
        <f>IF(OR(Umse!$C$24=0,Umse!$B$11=0),"",IF(OR(Umse!$B$11="3.1.",Umse!$B$11="3.2.",Umse!$B$11="3.5.",Umse!$B$11="3.6.",Umse!$B$11="3.9.",Umse!$B$11="3.10."),'VKr-K Ist'!M40,IF(OR(Umse!$B$11="4.1.",Umse!$B$11="4.2.",Umse!$B$11="4.3.",Umse!$B$11="4.4.",Umse!$B$11="4.5.",Umse!$B$11="4.6."),'VKr-B Ist'!M40,"")))</f>
        <v/>
      </c>
      <c r="N53" s="308" t="str">
        <f>IF(OR(Umse!$C$24=0,Umse!$B$11=0),"",IF(OR(Umse!$B$11="3.1.",Umse!$B$11="3.2.",Umse!$B$11="3.5.",Umse!$B$11="3.6.",Umse!$B$11="3.9.",Umse!$B$11="3.10."),'VKr-K Ist'!N40,IF(OR(Umse!$B$11="4.1.",Umse!$B$11="4.2.",Umse!$B$11="4.3.",Umse!$B$11="4.4.",Umse!$B$11="4.5.",Umse!$B$11="4.6."),'VKr-B Ist'!N40,"")))</f>
        <v/>
      </c>
      <c r="O53" s="308" t="str">
        <f>IF(OR(Umse!$C$24=0,Umse!$B$11=0),"",IF(OR(Umse!$B$11="3.1.",Umse!$B$11="3.2.",Umse!$B$11="3.5.",Umse!$B$11="3.6.",Umse!$B$11="3.9.",Umse!$B$11="3.10."),'VKr-K Ist'!O40,IF(OR(Umse!$B$11="4.1.",Umse!$B$11="4.2.",Umse!$B$11="4.3.",Umse!$B$11="4.4.",Umse!$B$11="4.5.",Umse!$B$11="4.6."),'VKr-B Ist'!O40,"")))</f>
        <v/>
      </c>
      <c r="P53" s="308" t="str">
        <f>IF(OR(Umse!$C$24=0,Umse!$B$11=0),"",IF(OR(Umse!$B$11="3.1.",Umse!$B$11="3.2.",Umse!$B$11="3.5.",Umse!$B$11="3.6.",Umse!$B$11="3.9.",Umse!$B$11="3.10."),'VKr-K Ist'!P40,IF(OR(Umse!$B$11="4.1.",Umse!$B$11="4.2.",Umse!$B$11="4.3.",Umse!$B$11="4.4.",Umse!$B$11="4.5.",Umse!$B$11="4.6."),'VKr-B Ist'!P40,"")))</f>
        <v/>
      </c>
      <c r="Q53" s="308" t="str">
        <f>IF(OR(Umse!$C$24=0,Umse!$B$11=0),"",IF(OR(Umse!$B$11="3.1.",Umse!$B$11="3.2.",Umse!$B$11="3.5.",Umse!$B$11="3.6.",Umse!$B$11="3.9.",Umse!$B$11="3.10."),'VKr-K Ist'!Q40,IF(OR(Umse!$B$11="4.1.",Umse!$B$11="4.2.",Umse!$B$11="4.3.",Umse!$B$11="4.4.",Umse!$B$11="4.5.",Umse!$B$11="4.6."),'VKr-B Ist'!Q40,"")))</f>
        <v/>
      </c>
      <c r="R53" s="308" t="str">
        <f>IF(OR(Umse!$C$24=0,Umse!$B$11=0),"",IF(OR(Umse!$B$11="3.1.",Umse!$B$11="3.2.",Umse!$B$11="3.5.",Umse!$B$11="3.6.",Umse!$B$11="3.9.",Umse!$B$11="3.10."),'VKr-K Ist'!R40,IF(OR(Umse!$B$11="4.1.",Umse!$B$11="4.2.",Umse!$B$11="4.3.",Umse!$B$11="4.4.",Umse!$B$11="4.5.",Umse!$B$11="4.6."),'VKr-B Ist'!R40,"")))</f>
        <v/>
      </c>
    </row>
    <row r="54" spans="2:18" ht="11.25" customHeight="1">
      <c r="B54" s="306" t="str">
        <f>IF(OR(Umse!$C$24=0,Umse!$B$11=0),"",IF(OR(Umse!$B$11="3.1.",Umse!$B$11="3.2.",Umse!$B$11="3.5.",Umse!$B$11="3.6.",Umse!$B$11="3.9.",Umse!$B$11="3.10."),'VKr-K Ist'!B41,IF(OR(Umse!$B$11="4.1.",Umse!$B$11="4.2.",Umse!$B$11="4.3.",Umse!$B$11="4.4.",Umse!$B$11="4.5.",Umse!$B$11="4.6."),'VKr-B Ist'!B41,"")))</f>
        <v/>
      </c>
      <c r="C54" s="306" t="str">
        <f>IF(OR(Umse!$C$24=0,Umse!$B$11=0),"",IF(OR(Umse!$B$11="3.1.",Umse!$B$11="3.2.",Umse!$B$11="3.5.",Umse!$B$11="3.6.",Umse!$B$11="3.9.",Umse!$B$11="3.10."),'VKr-K Ist'!C41,IF(OR(Umse!$B$11="4.1.",Umse!$B$11="4.2.",Umse!$B$11="4.3.",Umse!$B$11="4.4.",Umse!$B$11="4.5.",Umse!$B$11="4.6."),'VKr-B Ist'!C41,"")))</f>
        <v/>
      </c>
      <c r="D54" s="308">
        <f>IF(OR(Umse!$C$24=0,Umse!$B$11=0),0,IF(OR(Umse!$B$11="3.1.",Umse!$B$11="3.2.",Umse!$B$11="3.5.",Umse!$B$11="3.6.",Umse!$B$11="3.9.",Umse!$B$11="3.10."),'VKr-K Ist'!D41,IF(OR(Umse!$B$11="4.1.",Umse!$B$11="4.2.",Umse!$B$11="4.3.",Umse!$B$11="4.4.",Umse!$B$11="4.5.",Umse!$B$11="4.6."),'VKr-B Ist'!D41,0)))</f>
        <v>0</v>
      </c>
      <c r="E54" s="308">
        <f>IF(OR(Umse!$C$24=0,Umse!$B$11=0),0,IF(OR(Umse!$B$11="3.1.",Umse!$B$11="3.2.",Umse!$B$11="3.5.",Umse!$B$11="3.6.",Umse!$B$11="3.9.",Umse!$B$11="3.10."),'VKr-K Ist'!E41,IF(OR(Umse!$B$11="4.1.",Umse!$B$11="4.2.",Umse!$B$11="4.3.",Umse!$B$11="4.4.",Umse!$B$11="4.5.",Umse!$B$11="4.6."),'VKr-B Ist'!E41,0)))</f>
        <v>0</v>
      </c>
      <c r="F54" s="308">
        <f>IF(OR(Umse!$C$24=0,Umse!$B$11=0),0,IF(OR(Umse!$B$11="3.1.",Umse!$B$11="3.2.",Umse!$B$11="3.5.",Umse!$B$11="3.6.",Umse!$B$11="3.9.",Umse!$B$11="3.10."),'VKr-K Ist'!F41,IF(OR(Umse!$B$11="4.1.",Umse!$B$11="4.2.",Umse!$B$11="4.3.",Umse!$B$11="4.4.",Umse!$B$11="4.5.",Umse!$B$11="4.6."),'VKr-B Ist'!F41,0)))</f>
        <v>0</v>
      </c>
      <c r="G54" s="308">
        <f>IF(OR(Umse!$C$24=0,Umse!$B$11=0),0,IF(OR(Umse!$B$11="3.1.",Umse!$B$11="3.2.",Umse!$B$11="3.5.",Umse!$B$11="3.6.",Umse!$B$11="3.9.",Umse!$B$11="3.10."),'VKr-K Ist'!G41,IF(OR(Umse!$B$11="4.1.",Umse!$B$11="4.2.",Umse!$B$11="4.3.",Umse!$B$11="4.4.",Umse!$B$11="4.5.",Umse!$B$11="4.6."),'VKr-B Ist'!G41,0)))</f>
        <v>0</v>
      </c>
      <c r="H54" s="308">
        <f>IF(OR(Umse!$C$24=0,Umse!$B$11=0),0,IF(OR(Umse!$B$11="3.1.",Umse!$B$11="3.2.",Umse!$B$11="3.5.",Umse!$B$11="3.6.",Umse!$B$11="3.9.",Umse!$B$11="3.10."),'VKr-K Ist'!H41,IF(OR(Umse!$B$11="4.1.",Umse!$B$11="4.2.",Umse!$B$11="4.3.",Umse!$B$11="4.4.",Umse!$B$11="4.5.",Umse!$B$11="4.6."),'VKr-B Ist'!H41,0)))</f>
        <v>0</v>
      </c>
      <c r="I54" s="308">
        <f>IF(OR(Umse!$C$24=0,Umse!$B$11=0),0,IF(OR(Umse!$B$11="3.1.",Umse!$B$11="3.2.",Umse!$B$11="3.5.",Umse!$B$11="3.6.",Umse!$B$11="3.9.",Umse!$B$11="3.10."),'VKr-K Ist'!I41,IF(OR(Umse!$B$11="4.1.",Umse!$B$11="4.2.",Umse!$B$11="4.3.",Umse!$B$11="4.4.",Umse!$B$11="4.5.",Umse!$B$11="4.6."),'VKr-B Ist'!I41,0)))</f>
        <v>0</v>
      </c>
      <c r="J54" s="307"/>
      <c r="K54" s="306" t="str">
        <f>IF(OR(Umse!$C$24=0,Umse!$B$11=0),"",IF(OR(Umse!$B$11="3.1.",Umse!$B$11="3.2.",Umse!$B$11="3.5.",Umse!$B$11="3.6.",Umse!$B$11="3.9.",Umse!$B$11="3.10."),'VKr-K Ist'!K41,IF(OR(Umse!$B$11="4.1.",Umse!$B$11="4.2.",Umse!$B$11="4.3.",Umse!$B$11="4.4.",Umse!$B$11="4.5.",Umse!$B$11="4.6."),'VKr-B Ist'!K41,"")))</f>
        <v/>
      </c>
      <c r="L54" s="322" t="str">
        <f>IF(OR(Umse!$C$24=0,Umse!$B$11=0),"",IF(OR(Umse!$B$11="3.1.",Umse!$B$11="3.2.",Umse!$B$11="3.5.",Umse!$B$11="3.6.",Umse!$B$11="3.9.",Umse!$B$11="3.10."),'VKr-K Ist'!L41,IF(OR(Umse!$B$11="4.1.",Umse!$B$11="4.2.",Umse!$B$11="4.3.",Umse!$B$11="4.4.",Umse!$B$11="4.5.",Umse!$B$11="4.6."),'VKr-B Ist'!L41,"")))</f>
        <v/>
      </c>
      <c r="M54" s="308" t="str">
        <f>IF(OR(Umse!$C$24=0,Umse!$B$11=0),"",IF(OR(Umse!$B$11="3.1.",Umse!$B$11="3.2.",Umse!$B$11="3.5.",Umse!$B$11="3.6.",Umse!$B$11="3.9.",Umse!$B$11="3.10."),'VKr-K Ist'!M41,IF(OR(Umse!$B$11="4.1.",Umse!$B$11="4.2.",Umse!$B$11="4.3.",Umse!$B$11="4.4.",Umse!$B$11="4.5.",Umse!$B$11="4.6."),'VKr-B Ist'!M41,"")))</f>
        <v/>
      </c>
      <c r="N54" s="308" t="str">
        <f>IF(OR(Umse!$C$24=0,Umse!$B$11=0),"",IF(OR(Umse!$B$11="3.1.",Umse!$B$11="3.2.",Umse!$B$11="3.5.",Umse!$B$11="3.6.",Umse!$B$11="3.9.",Umse!$B$11="3.10."),'VKr-K Ist'!N41,IF(OR(Umse!$B$11="4.1.",Umse!$B$11="4.2.",Umse!$B$11="4.3.",Umse!$B$11="4.4.",Umse!$B$11="4.5.",Umse!$B$11="4.6."),'VKr-B Ist'!N41,"")))</f>
        <v/>
      </c>
      <c r="O54" s="308" t="str">
        <f>IF(OR(Umse!$C$24=0,Umse!$B$11=0),"",IF(OR(Umse!$B$11="3.1.",Umse!$B$11="3.2.",Umse!$B$11="3.5.",Umse!$B$11="3.6.",Umse!$B$11="3.9.",Umse!$B$11="3.10."),'VKr-K Ist'!O41,IF(OR(Umse!$B$11="4.1.",Umse!$B$11="4.2.",Umse!$B$11="4.3.",Umse!$B$11="4.4.",Umse!$B$11="4.5.",Umse!$B$11="4.6."),'VKr-B Ist'!O41,"")))</f>
        <v/>
      </c>
      <c r="P54" s="308" t="str">
        <f>IF(OR(Umse!$C$24=0,Umse!$B$11=0),"",IF(OR(Umse!$B$11="3.1.",Umse!$B$11="3.2.",Umse!$B$11="3.5.",Umse!$B$11="3.6.",Umse!$B$11="3.9.",Umse!$B$11="3.10."),'VKr-K Ist'!P41,IF(OR(Umse!$B$11="4.1.",Umse!$B$11="4.2.",Umse!$B$11="4.3.",Umse!$B$11="4.4.",Umse!$B$11="4.5.",Umse!$B$11="4.6."),'VKr-B Ist'!P41,"")))</f>
        <v/>
      </c>
      <c r="Q54" s="308" t="str">
        <f>IF(OR(Umse!$C$24=0,Umse!$B$11=0),"",IF(OR(Umse!$B$11="3.1.",Umse!$B$11="3.2.",Umse!$B$11="3.5.",Umse!$B$11="3.6.",Umse!$B$11="3.9.",Umse!$B$11="3.10."),'VKr-K Ist'!Q41,IF(OR(Umse!$B$11="4.1.",Umse!$B$11="4.2.",Umse!$B$11="4.3.",Umse!$B$11="4.4.",Umse!$B$11="4.5.",Umse!$B$11="4.6."),'VKr-B Ist'!Q41,"")))</f>
        <v/>
      </c>
      <c r="R54" s="308" t="str">
        <f>IF(OR(Umse!$C$24=0,Umse!$B$11=0),"",IF(OR(Umse!$B$11="3.1.",Umse!$B$11="3.2.",Umse!$B$11="3.5.",Umse!$B$11="3.6.",Umse!$B$11="3.9.",Umse!$B$11="3.10."),'VKr-K Ist'!R41,IF(OR(Umse!$B$11="4.1.",Umse!$B$11="4.2.",Umse!$B$11="4.3.",Umse!$B$11="4.4.",Umse!$B$11="4.5.",Umse!$B$11="4.6."),'VKr-B Ist'!R41,"")))</f>
        <v/>
      </c>
    </row>
    <row r="55" spans="2:18" ht="11.25" customHeight="1">
      <c r="B55" s="306" t="str">
        <f>IF(OR(Umse!$C$24=0,Umse!$B$11=0),"",IF(OR(Umse!$B$11="3.1.",Umse!$B$11="3.2.",Umse!$B$11="3.5.",Umse!$B$11="3.6.",Umse!$B$11="3.9.",Umse!$B$11="3.10."),'VKr-K Ist'!B42,IF(OR(Umse!$B$11="4.1.",Umse!$B$11="4.2.",Umse!$B$11="4.3.",Umse!$B$11="4.4.",Umse!$B$11="4.5.",Umse!$B$11="4.6."),'VKr-B Ist'!B42,"")))</f>
        <v/>
      </c>
      <c r="C55" s="306" t="str">
        <f>IF(OR(Umse!$C$24=0,Umse!$B$11=0),"",IF(OR(Umse!$B$11="3.1.",Umse!$B$11="3.2.",Umse!$B$11="3.5.",Umse!$B$11="3.6.",Umse!$B$11="3.9.",Umse!$B$11="3.10."),'VKr-K Ist'!C42,IF(OR(Umse!$B$11="4.1.",Umse!$B$11="4.2.",Umse!$B$11="4.3.",Umse!$B$11="4.4.",Umse!$B$11="4.5.",Umse!$B$11="4.6."),'VKr-B Ist'!C42,"")))</f>
        <v/>
      </c>
      <c r="D55" s="308">
        <f>IF(OR(Umse!$C$24=0,Umse!$B$11=0),0,IF(OR(Umse!$B$11="3.1.",Umse!$B$11="3.2.",Umse!$B$11="3.5.",Umse!$B$11="3.6.",Umse!$B$11="3.9.",Umse!$B$11="3.10."),'VKr-K Ist'!D42,IF(OR(Umse!$B$11="4.1.",Umse!$B$11="4.2.",Umse!$B$11="4.3.",Umse!$B$11="4.4.",Umse!$B$11="4.5.",Umse!$B$11="4.6."),'VKr-B Ist'!D42,0)))</f>
        <v>0</v>
      </c>
      <c r="E55" s="308">
        <f>IF(OR(Umse!$C$24=0,Umse!$B$11=0),0,IF(OR(Umse!$B$11="3.1.",Umse!$B$11="3.2.",Umse!$B$11="3.5.",Umse!$B$11="3.6.",Umse!$B$11="3.9.",Umse!$B$11="3.10."),'VKr-K Ist'!E42,IF(OR(Umse!$B$11="4.1.",Umse!$B$11="4.2.",Umse!$B$11="4.3.",Umse!$B$11="4.4.",Umse!$B$11="4.5.",Umse!$B$11="4.6."),'VKr-B Ist'!E42,0)))</f>
        <v>0</v>
      </c>
      <c r="F55" s="308">
        <f>IF(OR(Umse!$C$24=0,Umse!$B$11=0),0,IF(OR(Umse!$B$11="3.1.",Umse!$B$11="3.2.",Umse!$B$11="3.5.",Umse!$B$11="3.6.",Umse!$B$11="3.9.",Umse!$B$11="3.10."),'VKr-K Ist'!F42,IF(OR(Umse!$B$11="4.1.",Umse!$B$11="4.2.",Umse!$B$11="4.3.",Umse!$B$11="4.4.",Umse!$B$11="4.5.",Umse!$B$11="4.6."),'VKr-B Ist'!F42,0)))</f>
        <v>0</v>
      </c>
      <c r="G55" s="308">
        <f>IF(OR(Umse!$C$24=0,Umse!$B$11=0),0,IF(OR(Umse!$B$11="3.1.",Umse!$B$11="3.2.",Umse!$B$11="3.5.",Umse!$B$11="3.6.",Umse!$B$11="3.9.",Umse!$B$11="3.10."),'VKr-K Ist'!G42,IF(OR(Umse!$B$11="4.1.",Umse!$B$11="4.2.",Umse!$B$11="4.3.",Umse!$B$11="4.4.",Umse!$B$11="4.5.",Umse!$B$11="4.6."),'VKr-B Ist'!G42,0)))</f>
        <v>0</v>
      </c>
      <c r="H55" s="308">
        <f>IF(OR(Umse!$C$24=0,Umse!$B$11=0),0,IF(OR(Umse!$B$11="3.1.",Umse!$B$11="3.2.",Umse!$B$11="3.5.",Umse!$B$11="3.6.",Umse!$B$11="3.9.",Umse!$B$11="3.10."),'VKr-K Ist'!H42,IF(OR(Umse!$B$11="4.1.",Umse!$B$11="4.2.",Umse!$B$11="4.3.",Umse!$B$11="4.4.",Umse!$B$11="4.5.",Umse!$B$11="4.6."),'VKr-B Ist'!H42,0)))</f>
        <v>0</v>
      </c>
      <c r="I55" s="308">
        <f>IF(OR(Umse!$C$24=0,Umse!$B$11=0),0,IF(OR(Umse!$B$11="3.1.",Umse!$B$11="3.2.",Umse!$B$11="3.5.",Umse!$B$11="3.6.",Umse!$B$11="3.9.",Umse!$B$11="3.10."),'VKr-K Ist'!I42,IF(OR(Umse!$B$11="4.1.",Umse!$B$11="4.2.",Umse!$B$11="4.3.",Umse!$B$11="4.4.",Umse!$B$11="4.5.",Umse!$B$11="4.6."),'VKr-B Ist'!I42,0)))</f>
        <v>0</v>
      </c>
      <c r="J55" s="307"/>
      <c r="K55" s="306" t="str">
        <f>IF(OR(Umse!$C$24=0,Umse!$B$11=0),"",IF(OR(Umse!$B$11="3.1.",Umse!$B$11="3.2.",Umse!$B$11="3.5.",Umse!$B$11="3.6.",Umse!$B$11="3.9.",Umse!$B$11="3.10."),'VKr-K Ist'!K42,IF(OR(Umse!$B$11="4.1.",Umse!$B$11="4.2.",Umse!$B$11="4.3.",Umse!$B$11="4.4.",Umse!$B$11="4.5.",Umse!$B$11="4.6."),'VKr-B Ist'!K42,"")))</f>
        <v/>
      </c>
      <c r="L55" s="322" t="str">
        <f>IF(OR(Umse!$C$24=0,Umse!$B$11=0),"",IF(OR(Umse!$B$11="3.1.",Umse!$B$11="3.2.",Umse!$B$11="3.5.",Umse!$B$11="3.6.",Umse!$B$11="3.9.",Umse!$B$11="3.10."),'VKr-K Ist'!L42,IF(OR(Umse!$B$11="4.1.",Umse!$B$11="4.2.",Umse!$B$11="4.3.",Umse!$B$11="4.4.",Umse!$B$11="4.5.",Umse!$B$11="4.6."),'VKr-B Ist'!L42,"")))</f>
        <v/>
      </c>
      <c r="M55" s="308" t="str">
        <f>IF(OR(Umse!$C$24=0,Umse!$B$11=0),"",IF(OR(Umse!$B$11="3.1.",Umse!$B$11="3.2.",Umse!$B$11="3.5.",Umse!$B$11="3.6.",Umse!$B$11="3.9.",Umse!$B$11="3.10."),'VKr-K Ist'!M42,IF(OR(Umse!$B$11="4.1.",Umse!$B$11="4.2.",Umse!$B$11="4.3.",Umse!$B$11="4.4.",Umse!$B$11="4.5.",Umse!$B$11="4.6."),'VKr-B Ist'!M42,"")))</f>
        <v/>
      </c>
      <c r="N55" s="308" t="str">
        <f>IF(OR(Umse!$C$24=0,Umse!$B$11=0),"",IF(OR(Umse!$B$11="3.1.",Umse!$B$11="3.2.",Umse!$B$11="3.5.",Umse!$B$11="3.6.",Umse!$B$11="3.9.",Umse!$B$11="3.10."),'VKr-K Ist'!N42,IF(OR(Umse!$B$11="4.1.",Umse!$B$11="4.2.",Umse!$B$11="4.3.",Umse!$B$11="4.4.",Umse!$B$11="4.5.",Umse!$B$11="4.6."),'VKr-B Ist'!N42,"")))</f>
        <v/>
      </c>
      <c r="O55" s="308" t="str">
        <f>IF(OR(Umse!$C$24=0,Umse!$B$11=0),"",IF(OR(Umse!$B$11="3.1.",Umse!$B$11="3.2.",Umse!$B$11="3.5.",Umse!$B$11="3.6.",Umse!$B$11="3.9.",Umse!$B$11="3.10."),'VKr-K Ist'!O42,IF(OR(Umse!$B$11="4.1.",Umse!$B$11="4.2.",Umse!$B$11="4.3.",Umse!$B$11="4.4.",Umse!$B$11="4.5.",Umse!$B$11="4.6."),'VKr-B Ist'!O42,"")))</f>
        <v/>
      </c>
      <c r="P55" s="308" t="str">
        <f>IF(OR(Umse!$C$24=0,Umse!$B$11=0),"",IF(OR(Umse!$B$11="3.1.",Umse!$B$11="3.2.",Umse!$B$11="3.5.",Umse!$B$11="3.6.",Umse!$B$11="3.9.",Umse!$B$11="3.10."),'VKr-K Ist'!P42,IF(OR(Umse!$B$11="4.1.",Umse!$B$11="4.2.",Umse!$B$11="4.3.",Umse!$B$11="4.4.",Umse!$B$11="4.5.",Umse!$B$11="4.6."),'VKr-B Ist'!P42,"")))</f>
        <v/>
      </c>
      <c r="Q55" s="308" t="str">
        <f>IF(OR(Umse!$C$24=0,Umse!$B$11=0),"",IF(OR(Umse!$B$11="3.1.",Umse!$B$11="3.2.",Umse!$B$11="3.5.",Umse!$B$11="3.6.",Umse!$B$11="3.9.",Umse!$B$11="3.10."),'VKr-K Ist'!Q42,IF(OR(Umse!$B$11="4.1.",Umse!$B$11="4.2.",Umse!$B$11="4.3.",Umse!$B$11="4.4.",Umse!$B$11="4.5.",Umse!$B$11="4.6."),'VKr-B Ist'!Q42,"")))</f>
        <v/>
      </c>
      <c r="R55" s="308" t="str">
        <f>IF(OR(Umse!$C$24=0,Umse!$B$11=0),"",IF(OR(Umse!$B$11="3.1.",Umse!$B$11="3.2.",Umse!$B$11="3.5.",Umse!$B$11="3.6.",Umse!$B$11="3.9.",Umse!$B$11="3.10."),'VKr-K Ist'!R42,IF(OR(Umse!$B$11="4.1.",Umse!$B$11="4.2.",Umse!$B$11="4.3.",Umse!$B$11="4.4.",Umse!$B$11="4.5.",Umse!$B$11="4.6."),'VKr-B Ist'!R42,"")))</f>
        <v/>
      </c>
    </row>
    <row r="56" spans="2:18" ht="11.25" customHeight="1">
      <c r="B56" s="306" t="str">
        <f>IF(OR(Umse!$C$24=0,Umse!$B$11=0),"",IF(OR(Umse!$B$11="3.1.",Umse!$B$11="3.2.",Umse!$B$11="3.5.",Umse!$B$11="3.6.",Umse!$B$11="3.9.",Umse!$B$11="3.10."),'VKr-K Ist'!B43,IF(OR(Umse!$B$11="4.1.",Umse!$B$11="4.2.",Umse!$B$11="4.3.",Umse!$B$11="4.4.",Umse!$B$11="4.5.",Umse!$B$11="4.6."),'VKr-B Ist'!B43,"")))</f>
        <v/>
      </c>
      <c r="C56" s="306" t="str">
        <f>IF(OR(Umse!$C$24=0,Umse!$B$11=0),"",IF(OR(Umse!$B$11="3.1.",Umse!$B$11="3.2.",Umse!$B$11="3.5.",Umse!$B$11="3.6.",Umse!$B$11="3.9.",Umse!$B$11="3.10."),'VKr-K Ist'!C43,IF(OR(Umse!$B$11="4.1.",Umse!$B$11="4.2.",Umse!$B$11="4.3.",Umse!$B$11="4.4.",Umse!$B$11="4.5.",Umse!$B$11="4.6."),'VKr-B Ist'!C43,"")))</f>
        <v/>
      </c>
      <c r="D56" s="308">
        <f>IF(OR(Umse!$C$24=0,Umse!$B$11=0),0,IF(OR(Umse!$B$11="3.1.",Umse!$B$11="3.2.",Umse!$B$11="3.5.",Umse!$B$11="3.6.",Umse!$B$11="3.9.",Umse!$B$11="3.10."),'VKr-K Ist'!D43,IF(OR(Umse!$B$11="4.1.",Umse!$B$11="4.2.",Umse!$B$11="4.3.",Umse!$B$11="4.4.",Umse!$B$11="4.5.",Umse!$B$11="4.6."),'VKr-B Ist'!D43,0)))</f>
        <v>0</v>
      </c>
      <c r="E56" s="308">
        <f>IF(OR(Umse!$C$24=0,Umse!$B$11=0),0,IF(OR(Umse!$B$11="3.1.",Umse!$B$11="3.2.",Umse!$B$11="3.5.",Umse!$B$11="3.6.",Umse!$B$11="3.9.",Umse!$B$11="3.10."),'VKr-K Ist'!E43,IF(OR(Umse!$B$11="4.1.",Umse!$B$11="4.2.",Umse!$B$11="4.3.",Umse!$B$11="4.4.",Umse!$B$11="4.5.",Umse!$B$11="4.6."),'VKr-B Ist'!E43,0)))</f>
        <v>0</v>
      </c>
      <c r="F56" s="308">
        <f>IF(OR(Umse!$C$24=0,Umse!$B$11=0),0,IF(OR(Umse!$B$11="3.1.",Umse!$B$11="3.2.",Umse!$B$11="3.5.",Umse!$B$11="3.6.",Umse!$B$11="3.9.",Umse!$B$11="3.10."),'VKr-K Ist'!F43,IF(OR(Umse!$B$11="4.1.",Umse!$B$11="4.2.",Umse!$B$11="4.3.",Umse!$B$11="4.4.",Umse!$B$11="4.5.",Umse!$B$11="4.6."),'VKr-B Ist'!F43,0)))</f>
        <v>0</v>
      </c>
      <c r="G56" s="308">
        <f>IF(OR(Umse!$C$24=0,Umse!$B$11=0),0,IF(OR(Umse!$B$11="3.1.",Umse!$B$11="3.2.",Umse!$B$11="3.5.",Umse!$B$11="3.6.",Umse!$B$11="3.9.",Umse!$B$11="3.10."),'VKr-K Ist'!G43,IF(OR(Umse!$B$11="4.1.",Umse!$B$11="4.2.",Umse!$B$11="4.3.",Umse!$B$11="4.4.",Umse!$B$11="4.5.",Umse!$B$11="4.6."),'VKr-B Ist'!G43,0)))</f>
        <v>0</v>
      </c>
      <c r="H56" s="308">
        <f>IF(OR(Umse!$C$24=0,Umse!$B$11=0),0,IF(OR(Umse!$B$11="3.1.",Umse!$B$11="3.2.",Umse!$B$11="3.5.",Umse!$B$11="3.6.",Umse!$B$11="3.9.",Umse!$B$11="3.10."),'VKr-K Ist'!H43,IF(OR(Umse!$B$11="4.1.",Umse!$B$11="4.2.",Umse!$B$11="4.3.",Umse!$B$11="4.4.",Umse!$B$11="4.5.",Umse!$B$11="4.6."),'VKr-B Ist'!H43,0)))</f>
        <v>0</v>
      </c>
      <c r="I56" s="308">
        <f>IF(OR(Umse!$C$24=0,Umse!$B$11=0),0,IF(OR(Umse!$B$11="3.1.",Umse!$B$11="3.2.",Umse!$B$11="3.5.",Umse!$B$11="3.6.",Umse!$B$11="3.9.",Umse!$B$11="3.10."),'VKr-K Ist'!I43,IF(OR(Umse!$B$11="4.1.",Umse!$B$11="4.2.",Umse!$B$11="4.3.",Umse!$B$11="4.4.",Umse!$B$11="4.5.",Umse!$B$11="4.6."),'VKr-B Ist'!I43,0)))</f>
        <v>0</v>
      </c>
      <c r="J56" s="307"/>
      <c r="K56" s="306" t="str">
        <f>IF(OR(Umse!$C$24=0,Umse!$B$11=0),"",IF(OR(Umse!$B$11="3.1.",Umse!$B$11="3.2.",Umse!$B$11="3.5.",Umse!$B$11="3.6.",Umse!$B$11="3.9.",Umse!$B$11="3.10."),'VKr-K Ist'!K43,IF(OR(Umse!$B$11="4.1.",Umse!$B$11="4.2.",Umse!$B$11="4.3.",Umse!$B$11="4.4.",Umse!$B$11="4.5.",Umse!$B$11="4.6."),'VKr-B Ist'!K43,"")))</f>
        <v/>
      </c>
      <c r="L56" s="322" t="str">
        <f>IF(OR(Umse!$C$24=0,Umse!$B$11=0),"",IF(OR(Umse!$B$11="3.1.",Umse!$B$11="3.2.",Umse!$B$11="3.5.",Umse!$B$11="3.6.",Umse!$B$11="3.9.",Umse!$B$11="3.10."),'VKr-K Ist'!L43,IF(OR(Umse!$B$11="4.1.",Umse!$B$11="4.2.",Umse!$B$11="4.3.",Umse!$B$11="4.4.",Umse!$B$11="4.5.",Umse!$B$11="4.6."),'VKr-B Ist'!L43,"")))</f>
        <v/>
      </c>
      <c r="M56" s="308" t="str">
        <f>IF(OR(Umse!$C$24=0,Umse!$B$11=0),"",IF(OR(Umse!$B$11="3.1.",Umse!$B$11="3.2.",Umse!$B$11="3.5.",Umse!$B$11="3.6.",Umse!$B$11="3.9.",Umse!$B$11="3.10."),'VKr-K Ist'!M43,IF(OR(Umse!$B$11="4.1.",Umse!$B$11="4.2.",Umse!$B$11="4.3.",Umse!$B$11="4.4.",Umse!$B$11="4.5.",Umse!$B$11="4.6."),'VKr-B Ist'!M43,"")))</f>
        <v/>
      </c>
      <c r="N56" s="308" t="str">
        <f>IF(OR(Umse!$C$24=0,Umse!$B$11=0),"",IF(OR(Umse!$B$11="3.1.",Umse!$B$11="3.2.",Umse!$B$11="3.5.",Umse!$B$11="3.6.",Umse!$B$11="3.9.",Umse!$B$11="3.10."),'VKr-K Ist'!N43,IF(OR(Umse!$B$11="4.1.",Umse!$B$11="4.2.",Umse!$B$11="4.3.",Umse!$B$11="4.4.",Umse!$B$11="4.5.",Umse!$B$11="4.6."),'VKr-B Ist'!N43,"")))</f>
        <v/>
      </c>
      <c r="O56" s="308" t="str">
        <f>IF(OR(Umse!$C$24=0,Umse!$B$11=0),"",IF(OR(Umse!$B$11="3.1.",Umse!$B$11="3.2.",Umse!$B$11="3.5.",Umse!$B$11="3.6.",Umse!$B$11="3.9.",Umse!$B$11="3.10."),'VKr-K Ist'!O43,IF(OR(Umse!$B$11="4.1.",Umse!$B$11="4.2.",Umse!$B$11="4.3.",Umse!$B$11="4.4.",Umse!$B$11="4.5.",Umse!$B$11="4.6."),'VKr-B Ist'!O43,"")))</f>
        <v/>
      </c>
      <c r="P56" s="308" t="str">
        <f>IF(OR(Umse!$C$24=0,Umse!$B$11=0),"",IF(OR(Umse!$B$11="3.1.",Umse!$B$11="3.2.",Umse!$B$11="3.5.",Umse!$B$11="3.6.",Umse!$B$11="3.9.",Umse!$B$11="3.10."),'VKr-K Ist'!P43,IF(OR(Umse!$B$11="4.1.",Umse!$B$11="4.2.",Umse!$B$11="4.3.",Umse!$B$11="4.4.",Umse!$B$11="4.5.",Umse!$B$11="4.6."),'VKr-B Ist'!P43,"")))</f>
        <v/>
      </c>
      <c r="Q56" s="308" t="str">
        <f>IF(OR(Umse!$C$24=0,Umse!$B$11=0),"",IF(OR(Umse!$B$11="3.1.",Umse!$B$11="3.2.",Umse!$B$11="3.5.",Umse!$B$11="3.6.",Umse!$B$11="3.9.",Umse!$B$11="3.10."),'VKr-K Ist'!Q43,IF(OR(Umse!$B$11="4.1.",Umse!$B$11="4.2.",Umse!$B$11="4.3.",Umse!$B$11="4.4.",Umse!$B$11="4.5.",Umse!$B$11="4.6."),'VKr-B Ist'!Q43,"")))</f>
        <v/>
      </c>
      <c r="R56" s="308" t="str">
        <f>IF(OR(Umse!$C$24=0,Umse!$B$11=0),"",IF(OR(Umse!$B$11="3.1.",Umse!$B$11="3.2.",Umse!$B$11="3.5.",Umse!$B$11="3.6.",Umse!$B$11="3.9.",Umse!$B$11="3.10."),'VKr-K Ist'!R43,IF(OR(Umse!$B$11="4.1.",Umse!$B$11="4.2.",Umse!$B$11="4.3.",Umse!$B$11="4.4.",Umse!$B$11="4.5.",Umse!$B$11="4.6."),'VKr-B Ist'!R43,"")))</f>
        <v/>
      </c>
    </row>
    <row r="57" spans="2:18" ht="11.25" customHeight="1">
      <c r="B57" s="306" t="str">
        <f>IF(OR(Umse!$C$24=0,Umse!$B$11=0),"",IF(OR(Umse!$B$11="3.1.",Umse!$B$11="3.2.",Umse!$B$11="3.5.",Umse!$B$11="3.6.",Umse!$B$11="3.9.",Umse!$B$11="3.10."),'VKr-K Ist'!B44,IF(OR(Umse!$B$11="4.1.",Umse!$B$11="4.2.",Umse!$B$11="4.3.",Umse!$B$11="4.4.",Umse!$B$11="4.5.",Umse!$B$11="4.6."),'VKr-B Ist'!B44,"")))</f>
        <v/>
      </c>
      <c r="C57" s="306" t="str">
        <f>IF(OR(Umse!$C$24=0,Umse!$B$11=0),"",IF(OR(Umse!$B$11="3.1.",Umse!$B$11="3.2.",Umse!$B$11="3.5.",Umse!$B$11="3.6.",Umse!$B$11="3.9.",Umse!$B$11="3.10."),'VKr-K Ist'!C44,IF(OR(Umse!$B$11="4.1.",Umse!$B$11="4.2.",Umse!$B$11="4.3.",Umse!$B$11="4.4.",Umse!$B$11="4.5.",Umse!$B$11="4.6."),'VKr-B Ist'!C44,"")))</f>
        <v/>
      </c>
      <c r="D57" s="308">
        <f>IF(OR(Umse!$C$24=0,Umse!$B$11=0),0,IF(OR(Umse!$B$11="3.1.",Umse!$B$11="3.2.",Umse!$B$11="3.5.",Umse!$B$11="3.6.",Umse!$B$11="3.9.",Umse!$B$11="3.10."),'VKr-K Ist'!D44,IF(OR(Umse!$B$11="4.1.",Umse!$B$11="4.2.",Umse!$B$11="4.3.",Umse!$B$11="4.4.",Umse!$B$11="4.5.",Umse!$B$11="4.6."),'VKr-B Ist'!D44,0)))</f>
        <v>0</v>
      </c>
      <c r="E57" s="308">
        <f>IF(OR(Umse!$C$24=0,Umse!$B$11=0),0,IF(OR(Umse!$B$11="3.1.",Umse!$B$11="3.2.",Umse!$B$11="3.5.",Umse!$B$11="3.6.",Umse!$B$11="3.9.",Umse!$B$11="3.10."),'VKr-K Ist'!E44,IF(OR(Umse!$B$11="4.1.",Umse!$B$11="4.2.",Umse!$B$11="4.3.",Umse!$B$11="4.4.",Umse!$B$11="4.5.",Umse!$B$11="4.6."),'VKr-B Ist'!E44,0)))</f>
        <v>0</v>
      </c>
      <c r="F57" s="308">
        <f>IF(OR(Umse!$C$24=0,Umse!$B$11=0),0,IF(OR(Umse!$B$11="3.1.",Umse!$B$11="3.2.",Umse!$B$11="3.5.",Umse!$B$11="3.6.",Umse!$B$11="3.9.",Umse!$B$11="3.10."),'VKr-K Ist'!F44,IF(OR(Umse!$B$11="4.1.",Umse!$B$11="4.2.",Umse!$B$11="4.3.",Umse!$B$11="4.4.",Umse!$B$11="4.5.",Umse!$B$11="4.6."),'VKr-B Ist'!F44,0)))</f>
        <v>0</v>
      </c>
      <c r="G57" s="308">
        <f>IF(OR(Umse!$C$24=0,Umse!$B$11=0),0,IF(OR(Umse!$B$11="3.1.",Umse!$B$11="3.2.",Umse!$B$11="3.5.",Umse!$B$11="3.6.",Umse!$B$11="3.9.",Umse!$B$11="3.10."),'VKr-K Ist'!G44,IF(OR(Umse!$B$11="4.1.",Umse!$B$11="4.2.",Umse!$B$11="4.3.",Umse!$B$11="4.4.",Umse!$B$11="4.5.",Umse!$B$11="4.6."),'VKr-B Ist'!G44,0)))</f>
        <v>0</v>
      </c>
      <c r="H57" s="308">
        <f>IF(OR(Umse!$C$24=0,Umse!$B$11=0),0,IF(OR(Umse!$B$11="3.1.",Umse!$B$11="3.2.",Umse!$B$11="3.5.",Umse!$B$11="3.6.",Umse!$B$11="3.9.",Umse!$B$11="3.10."),'VKr-K Ist'!H44,IF(OR(Umse!$B$11="4.1.",Umse!$B$11="4.2.",Umse!$B$11="4.3.",Umse!$B$11="4.4.",Umse!$B$11="4.5.",Umse!$B$11="4.6."),'VKr-B Ist'!H44,0)))</f>
        <v>0</v>
      </c>
      <c r="I57" s="308">
        <f>IF(OR(Umse!$C$24=0,Umse!$B$11=0),0,IF(OR(Umse!$B$11="3.1.",Umse!$B$11="3.2.",Umse!$B$11="3.5.",Umse!$B$11="3.6.",Umse!$B$11="3.9.",Umse!$B$11="3.10."),'VKr-K Ist'!I44,IF(OR(Umse!$B$11="4.1.",Umse!$B$11="4.2.",Umse!$B$11="4.3.",Umse!$B$11="4.4.",Umse!$B$11="4.5.",Umse!$B$11="4.6."),'VKr-B Ist'!I44,0)))</f>
        <v>0</v>
      </c>
      <c r="J57" s="307"/>
      <c r="K57" s="306" t="str">
        <f>IF(OR(Umse!$C$24=0,Umse!$B$11=0),"",IF(OR(Umse!$B$11="3.1.",Umse!$B$11="3.2.",Umse!$B$11="3.5.",Umse!$B$11="3.6.",Umse!$B$11="3.9.",Umse!$B$11="3.10."),'VKr-K Ist'!K44,IF(OR(Umse!$B$11="4.1.",Umse!$B$11="4.2.",Umse!$B$11="4.3.",Umse!$B$11="4.4.",Umse!$B$11="4.5.",Umse!$B$11="4.6."),'VKr-B Ist'!K44,"")))</f>
        <v/>
      </c>
      <c r="L57" s="322" t="str">
        <f>IF(OR(Umse!$C$24=0,Umse!$B$11=0),"",IF(OR(Umse!$B$11="3.1.",Umse!$B$11="3.2.",Umse!$B$11="3.5.",Umse!$B$11="3.6.",Umse!$B$11="3.9.",Umse!$B$11="3.10."),'VKr-K Ist'!L44,IF(OR(Umse!$B$11="4.1.",Umse!$B$11="4.2.",Umse!$B$11="4.3.",Umse!$B$11="4.4.",Umse!$B$11="4.5.",Umse!$B$11="4.6."),'VKr-B Ist'!L44,"")))</f>
        <v/>
      </c>
      <c r="M57" s="308" t="str">
        <f>IF(OR(Umse!$C$24=0,Umse!$B$11=0),"",IF(OR(Umse!$B$11="3.1.",Umse!$B$11="3.2.",Umse!$B$11="3.5.",Umse!$B$11="3.6.",Umse!$B$11="3.9.",Umse!$B$11="3.10."),'VKr-K Ist'!M44,IF(OR(Umse!$B$11="4.1.",Umse!$B$11="4.2.",Umse!$B$11="4.3.",Umse!$B$11="4.4.",Umse!$B$11="4.5.",Umse!$B$11="4.6."),'VKr-B Ist'!M44,"")))</f>
        <v/>
      </c>
      <c r="N57" s="308" t="str">
        <f>IF(OR(Umse!$C$24=0,Umse!$B$11=0),"",IF(OR(Umse!$B$11="3.1.",Umse!$B$11="3.2.",Umse!$B$11="3.5.",Umse!$B$11="3.6.",Umse!$B$11="3.9.",Umse!$B$11="3.10."),'VKr-K Ist'!N44,IF(OR(Umse!$B$11="4.1.",Umse!$B$11="4.2.",Umse!$B$11="4.3.",Umse!$B$11="4.4.",Umse!$B$11="4.5.",Umse!$B$11="4.6."),'VKr-B Ist'!N44,"")))</f>
        <v/>
      </c>
      <c r="O57" s="308" t="str">
        <f>IF(OR(Umse!$C$24=0,Umse!$B$11=0),"",IF(OR(Umse!$B$11="3.1.",Umse!$B$11="3.2.",Umse!$B$11="3.5.",Umse!$B$11="3.6.",Umse!$B$11="3.9.",Umse!$B$11="3.10."),'VKr-K Ist'!O44,IF(OR(Umse!$B$11="4.1.",Umse!$B$11="4.2.",Umse!$B$11="4.3.",Umse!$B$11="4.4.",Umse!$B$11="4.5.",Umse!$B$11="4.6."),'VKr-B Ist'!O44,"")))</f>
        <v/>
      </c>
      <c r="P57" s="308" t="str">
        <f>IF(OR(Umse!$C$24=0,Umse!$B$11=0),"",IF(OR(Umse!$B$11="3.1.",Umse!$B$11="3.2.",Umse!$B$11="3.5.",Umse!$B$11="3.6.",Umse!$B$11="3.9.",Umse!$B$11="3.10."),'VKr-K Ist'!P44,IF(OR(Umse!$B$11="4.1.",Umse!$B$11="4.2.",Umse!$B$11="4.3.",Umse!$B$11="4.4.",Umse!$B$11="4.5.",Umse!$B$11="4.6."),'VKr-B Ist'!P44,"")))</f>
        <v/>
      </c>
      <c r="Q57" s="308" t="str">
        <f>IF(OR(Umse!$C$24=0,Umse!$B$11=0),"",IF(OR(Umse!$B$11="3.1.",Umse!$B$11="3.2.",Umse!$B$11="3.5.",Umse!$B$11="3.6.",Umse!$B$11="3.9.",Umse!$B$11="3.10."),'VKr-K Ist'!Q44,IF(OR(Umse!$B$11="4.1.",Umse!$B$11="4.2.",Umse!$B$11="4.3.",Umse!$B$11="4.4.",Umse!$B$11="4.5.",Umse!$B$11="4.6."),'VKr-B Ist'!Q44,"")))</f>
        <v/>
      </c>
      <c r="R57" s="308" t="str">
        <f>IF(OR(Umse!$C$24=0,Umse!$B$11=0),"",IF(OR(Umse!$B$11="3.1.",Umse!$B$11="3.2.",Umse!$B$11="3.5.",Umse!$B$11="3.6.",Umse!$B$11="3.9.",Umse!$B$11="3.10."),'VKr-K Ist'!R44,IF(OR(Umse!$B$11="4.1.",Umse!$B$11="4.2.",Umse!$B$11="4.3.",Umse!$B$11="4.4.",Umse!$B$11="4.5.",Umse!$B$11="4.6."),'VKr-B Ist'!R44,"")))</f>
        <v/>
      </c>
    </row>
    <row r="58" spans="2:18" ht="11.25" customHeight="1">
      <c r="B58" s="306" t="str">
        <f>IF(OR(Umse!$C$24=0,Umse!$B$11=0),"",IF(OR(Umse!$B$11="3.1.",Umse!$B$11="3.2.",Umse!$B$11="3.5.",Umse!$B$11="3.6.",Umse!$B$11="3.9.",Umse!$B$11="3.10."),'VKr-K Ist'!B45,IF(OR(Umse!$B$11="4.1.",Umse!$B$11="4.2.",Umse!$B$11="4.3.",Umse!$B$11="4.4.",Umse!$B$11="4.5.",Umse!$B$11="4.6."),'VKr-B Ist'!B45,"")))</f>
        <v/>
      </c>
      <c r="C58" s="306" t="str">
        <f>IF(OR(Umse!$C$24=0,Umse!$B$11=0),"",IF(OR(Umse!$B$11="3.1.",Umse!$B$11="3.2.",Umse!$B$11="3.5.",Umse!$B$11="3.6.",Umse!$B$11="3.9.",Umse!$B$11="3.10."),'VKr-K Ist'!C45,IF(OR(Umse!$B$11="4.1.",Umse!$B$11="4.2.",Umse!$B$11="4.3.",Umse!$B$11="4.4.",Umse!$B$11="4.5.",Umse!$B$11="4.6."),'VKr-B Ist'!C45,"")))</f>
        <v/>
      </c>
      <c r="D58" s="308">
        <f>IF(OR(Umse!$C$24=0,Umse!$B$11=0),0,IF(OR(Umse!$B$11="3.1.",Umse!$B$11="3.2.",Umse!$B$11="3.5.",Umse!$B$11="3.6.",Umse!$B$11="3.9.",Umse!$B$11="3.10."),'VKr-K Ist'!D45,IF(OR(Umse!$B$11="4.1.",Umse!$B$11="4.2.",Umse!$B$11="4.3.",Umse!$B$11="4.4.",Umse!$B$11="4.5.",Umse!$B$11="4.6."),'VKr-B Ist'!D45,0)))</f>
        <v>0</v>
      </c>
      <c r="E58" s="308">
        <f>IF(OR(Umse!$C$24=0,Umse!$B$11=0),0,IF(OR(Umse!$B$11="3.1.",Umse!$B$11="3.2.",Umse!$B$11="3.5.",Umse!$B$11="3.6.",Umse!$B$11="3.9.",Umse!$B$11="3.10."),'VKr-K Ist'!E45,IF(OR(Umse!$B$11="4.1.",Umse!$B$11="4.2.",Umse!$B$11="4.3.",Umse!$B$11="4.4.",Umse!$B$11="4.5.",Umse!$B$11="4.6."),'VKr-B Ist'!E45,0)))</f>
        <v>0</v>
      </c>
      <c r="F58" s="308">
        <f>IF(OR(Umse!$C$24=0,Umse!$B$11=0),0,IF(OR(Umse!$B$11="3.1.",Umse!$B$11="3.2.",Umse!$B$11="3.5.",Umse!$B$11="3.6.",Umse!$B$11="3.9.",Umse!$B$11="3.10."),'VKr-K Ist'!F45,IF(OR(Umse!$B$11="4.1.",Umse!$B$11="4.2.",Umse!$B$11="4.3.",Umse!$B$11="4.4.",Umse!$B$11="4.5.",Umse!$B$11="4.6."),'VKr-B Ist'!F45,0)))</f>
        <v>0</v>
      </c>
      <c r="G58" s="308">
        <f>IF(OR(Umse!$C$24=0,Umse!$B$11=0),0,IF(OR(Umse!$B$11="3.1.",Umse!$B$11="3.2.",Umse!$B$11="3.5.",Umse!$B$11="3.6.",Umse!$B$11="3.9.",Umse!$B$11="3.10."),'VKr-K Ist'!G45,IF(OR(Umse!$B$11="4.1.",Umse!$B$11="4.2.",Umse!$B$11="4.3.",Umse!$B$11="4.4.",Umse!$B$11="4.5.",Umse!$B$11="4.6."),'VKr-B Ist'!G45,0)))</f>
        <v>0</v>
      </c>
      <c r="H58" s="308">
        <f>IF(OR(Umse!$C$24=0,Umse!$B$11=0),0,IF(OR(Umse!$B$11="3.1.",Umse!$B$11="3.2.",Umse!$B$11="3.5.",Umse!$B$11="3.6.",Umse!$B$11="3.9.",Umse!$B$11="3.10."),'VKr-K Ist'!H45,IF(OR(Umse!$B$11="4.1.",Umse!$B$11="4.2.",Umse!$B$11="4.3.",Umse!$B$11="4.4.",Umse!$B$11="4.5.",Umse!$B$11="4.6."),'VKr-B Ist'!H45,0)))</f>
        <v>0</v>
      </c>
      <c r="I58" s="308">
        <f>IF(OR(Umse!$C$24=0,Umse!$B$11=0),0,IF(OR(Umse!$B$11="3.1.",Umse!$B$11="3.2.",Umse!$B$11="3.5.",Umse!$B$11="3.6.",Umse!$B$11="3.9.",Umse!$B$11="3.10."),'VKr-K Ist'!I45,IF(OR(Umse!$B$11="4.1.",Umse!$B$11="4.2.",Umse!$B$11="4.3.",Umse!$B$11="4.4.",Umse!$B$11="4.5.",Umse!$B$11="4.6."),'VKr-B Ist'!I45,0)))</f>
        <v>0</v>
      </c>
      <c r="J58" s="307"/>
      <c r="K58" s="306" t="str">
        <f>IF(OR(Umse!$C$24=0,Umse!$B$11=0),"",IF(OR(Umse!$B$11="3.1.",Umse!$B$11="3.2.",Umse!$B$11="3.5.",Umse!$B$11="3.6.",Umse!$B$11="3.9.",Umse!$B$11="3.10."),'VKr-K Ist'!K45,IF(OR(Umse!$B$11="4.1.",Umse!$B$11="4.2.",Umse!$B$11="4.3.",Umse!$B$11="4.4.",Umse!$B$11="4.5.",Umse!$B$11="4.6."),'VKr-B Ist'!K45,"")))</f>
        <v/>
      </c>
      <c r="L58" s="322" t="str">
        <f>IF(OR(Umse!$C$24=0,Umse!$B$11=0),"",IF(OR(Umse!$B$11="3.1.",Umse!$B$11="3.2.",Umse!$B$11="3.5.",Umse!$B$11="3.6.",Umse!$B$11="3.9.",Umse!$B$11="3.10."),'VKr-K Ist'!L45,IF(OR(Umse!$B$11="4.1.",Umse!$B$11="4.2.",Umse!$B$11="4.3.",Umse!$B$11="4.4.",Umse!$B$11="4.5.",Umse!$B$11="4.6."),'VKr-B Ist'!L45,"")))</f>
        <v/>
      </c>
      <c r="M58" s="308" t="str">
        <f>IF(OR(Umse!$C$24=0,Umse!$B$11=0),"",IF(OR(Umse!$B$11="3.1.",Umse!$B$11="3.2.",Umse!$B$11="3.5.",Umse!$B$11="3.6.",Umse!$B$11="3.9.",Umse!$B$11="3.10."),'VKr-K Ist'!M45,IF(OR(Umse!$B$11="4.1.",Umse!$B$11="4.2.",Umse!$B$11="4.3.",Umse!$B$11="4.4.",Umse!$B$11="4.5.",Umse!$B$11="4.6."),'VKr-B Ist'!M45,"")))</f>
        <v/>
      </c>
      <c r="N58" s="308" t="str">
        <f>IF(OR(Umse!$C$24=0,Umse!$B$11=0),"",IF(OR(Umse!$B$11="3.1.",Umse!$B$11="3.2.",Umse!$B$11="3.5.",Umse!$B$11="3.6.",Umse!$B$11="3.9.",Umse!$B$11="3.10."),'VKr-K Ist'!N45,IF(OR(Umse!$B$11="4.1.",Umse!$B$11="4.2.",Umse!$B$11="4.3.",Umse!$B$11="4.4.",Umse!$B$11="4.5.",Umse!$B$11="4.6."),'VKr-B Ist'!N45,"")))</f>
        <v/>
      </c>
      <c r="O58" s="308" t="str">
        <f>IF(OR(Umse!$C$24=0,Umse!$B$11=0),"",IF(OR(Umse!$B$11="3.1.",Umse!$B$11="3.2.",Umse!$B$11="3.5.",Umse!$B$11="3.6.",Umse!$B$11="3.9.",Umse!$B$11="3.10."),'VKr-K Ist'!O45,IF(OR(Umse!$B$11="4.1.",Umse!$B$11="4.2.",Umse!$B$11="4.3.",Umse!$B$11="4.4.",Umse!$B$11="4.5.",Umse!$B$11="4.6."),'VKr-B Ist'!O45,"")))</f>
        <v/>
      </c>
      <c r="P58" s="308" t="str">
        <f>IF(OR(Umse!$C$24=0,Umse!$B$11=0),"",IF(OR(Umse!$B$11="3.1.",Umse!$B$11="3.2.",Umse!$B$11="3.5.",Umse!$B$11="3.6.",Umse!$B$11="3.9.",Umse!$B$11="3.10."),'VKr-K Ist'!P45,IF(OR(Umse!$B$11="4.1.",Umse!$B$11="4.2.",Umse!$B$11="4.3.",Umse!$B$11="4.4.",Umse!$B$11="4.5.",Umse!$B$11="4.6."),'VKr-B Ist'!P45,"")))</f>
        <v/>
      </c>
      <c r="Q58" s="308" t="str">
        <f>IF(OR(Umse!$C$24=0,Umse!$B$11=0),"",IF(OR(Umse!$B$11="3.1.",Umse!$B$11="3.2.",Umse!$B$11="3.5.",Umse!$B$11="3.6.",Umse!$B$11="3.9.",Umse!$B$11="3.10."),'VKr-K Ist'!Q45,IF(OR(Umse!$B$11="4.1.",Umse!$B$11="4.2.",Umse!$B$11="4.3.",Umse!$B$11="4.4.",Umse!$B$11="4.5.",Umse!$B$11="4.6."),'VKr-B Ist'!Q45,"")))</f>
        <v/>
      </c>
      <c r="R58" s="308" t="str">
        <f>IF(OR(Umse!$C$24=0,Umse!$B$11=0),"",IF(OR(Umse!$B$11="3.1.",Umse!$B$11="3.2.",Umse!$B$11="3.5.",Umse!$B$11="3.6.",Umse!$B$11="3.9.",Umse!$B$11="3.10."),'VKr-K Ist'!R45,IF(OR(Umse!$B$11="4.1.",Umse!$B$11="4.2.",Umse!$B$11="4.3.",Umse!$B$11="4.4.",Umse!$B$11="4.5.",Umse!$B$11="4.6."),'VKr-B Ist'!R45,"")))</f>
        <v/>
      </c>
    </row>
    <row r="59" spans="2:18" ht="11.25" customHeight="1">
      <c r="B59" s="306" t="str">
        <f>""</f>
        <v/>
      </c>
      <c r="C59" s="306" t="str">
        <f>""</f>
        <v/>
      </c>
      <c r="D59" s="308"/>
      <c r="E59" s="308"/>
      <c r="F59" s="308"/>
      <c r="G59" s="308"/>
      <c r="H59" s="308"/>
      <c r="I59" s="308"/>
      <c r="J59" s="307"/>
      <c r="K59" s="306" t="str">
        <f>IF(OR(Umse!$C$24=0,Umse!$B$11=0),"",IF(OR(Umse!$B$11="3.1.",Umse!$B$11="3.2.",Umse!$B$11="3.5.",Umse!$B$11="3.6.",Umse!$B$11="3.9.",Umse!$B$11="3.10."),'VKr-K Ist'!K46,IF(OR(Umse!$B$11="4.1.",Umse!$B$11="4.2.",Umse!$B$11="4.3.",Umse!$B$11="4.4.",Umse!$B$11="4.5.",Umse!$B$11="4.6."),'VKr-B Ist'!K46,"")))</f>
        <v/>
      </c>
      <c r="L59" s="322" t="str">
        <f>IF(OR(Umse!$C$24=0,Umse!$B$11=0),"",IF(OR(Umse!$B$11="3.1.",Umse!$B$11="3.2.",Umse!$B$11="3.5.",Umse!$B$11="3.6.",Umse!$B$11="3.9.",Umse!$B$11="3.10."),'VKr-K Ist'!L46,IF(OR(Umse!$B$11="4.1.",Umse!$B$11="4.2.",Umse!$B$11="4.3.",Umse!$B$11="4.4.",Umse!$B$11="4.5.",Umse!$B$11="4.6."),'VKr-B Ist'!L46,"")))</f>
        <v/>
      </c>
      <c r="M59" s="308" t="str">
        <f>IF(OR(Umse!$C$24=0,Umse!$B$11=0),"",IF(OR(Umse!$B$11="3.1.",Umse!$B$11="3.2.",Umse!$B$11="3.5.",Umse!$B$11="3.6.",Umse!$B$11="3.9.",Umse!$B$11="3.10."),'VKr-K Ist'!M46,IF(OR(Umse!$B$11="4.1.",Umse!$B$11="4.2.",Umse!$B$11="4.3.",Umse!$B$11="4.4.",Umse!$B$11="4.5.",Umse!$B$11="4.6."),'VKr-B Ist'!M46,"")))</f>
        <v/>
      </c>
      <c r="N59" s="308" t="str">
        <f>IF(OR(Umse!$C$24=0,Umse!$B$11=0),"",IF(OR(Umse!$B$11="3.1.",Umse!$B$11="3.2.",Umse!$B$11="3.5.",Umse!$B$11="3.6.",Umse!$B$11="3.9.",Umse!$B$11="3.10."),'VKr-K Ist'!N46,IF(OR(Umse!$B$11="4.1.",Umse!$B$11="4.2.",Umse!$B$11="4.3.",Umse!$B$11="4.4.",Umse!$B$11="4.5.",Umse!$B$11="4.6."),'VKr-B Ist'!N46,"")))</f>
        <v/>
      </c>
      <c r="O59" s="308" t="str">
        <f>IF(OR(Umse!$C$24=0,Umse!$B$11=0),"",IF(OR(Umse!$B$11="3.1.",Umse!$B$11="3.2.",Umse!$B$11="3.5.",Umse!$B$11="3.6.",Umse!$B$11="3.9.",Umse!$B$11="3.10."),'VKr-K Ist'!O46,IF(OR(Umse!$B$11="4.1.",Umse!$B$11="4.2.",Umse!$B$11="4.3.",Umse!$B$11="4.4.",Umse!$B$11="4.5.",Umse!$B$11="4.6."),'VKr-B Ist'!O46,"")))</f>
        <v/>
      </c>
      <c r="P59" s="308" t="str">
        <f>IF(OR(Umse!$C$24=0,Umse!$B$11=0),"",IF(OR(Umse!$B$11="3.1.",Umse!$B$11="3.2.",Umse!$B$11="3.5.",Umse!$B$11="3.6.",Umse!$B$11="3.9.",Umse!$B$11="3.10."),'VKr-K Ist'!P46,IF(OR(Umse!$B$11="4.1.",Umse!$B$11="4.2.",Umse!$B$11="4.3.",Umse!$B$11="4.4.",Umse!$B$11="4.5.",Umse!$B$11="4.6."),'VKr-B Ist'!P46,"")))</f>
        <v/>
      </c>
      <c r="Q59" s="308" t="str">
        <f>IF(OR(Umse!$C$24=0,Umse!$B$11=0),"",IF(OR(Umse!$B$11="3.1.",Umse!$B$11="3.2.",Umse!$B$11="3.5.",Umse!$B$11="3.6.",Umse!$B$11="3.9.",Umse!$B$11="3.10."),'VKr-K Ist'!Q46,IF(OR(Umse!$B$11="4.1.",Umse!$B$11="4.2.",Umse!$B$11="4.3.",Umse!$B$11="4.4.",Umse!$B$11="4.5.",Umse!$B$11="4.6."),'VKr-B Ist'!Q46,"")))</f>
        <v/>
      </c>
      <c r="R59" s="308" t="str">
        <f>IF(OR(Umse!$C$24=0,Umse!$B$11=0),"",IF(OR(Umse!$B$11="3.1.",Umse!$B$11="3.2.",Umse!$B$11="3.5.",Umse!$B$11="3.6.",Umse!$B$11="3.9.",Umse!$B$11="3.10."),'VKr-K Ist'!R46,IF(OR(Umse!$B$11="4.1.",Umse!$B$11="4.2.",Umse!$B$11="4.3.",Umse!$B$11="4.4.",Umse!$B$11="4.5.",Umse!$B$11="4.6."),'VKr-B Ist'!R46,"")))</f>
        <v/>
      </c>
    </row>
    <row r="60" spans="2:18" ht="11.25" customHeight="1">
      <c r="B60" s="306"/>
      <c r="C60" s="306"/>
      <c r="D60" s="308"/>
      <c r="E60" s="308"/>
      <c r="F60" s="308"/>
      <c r="G60" s="308"/>
      <c r="H60" s="308"/>
      <c r="I60" s="308"/>
      <c r="J60" s="307"/>
      <c r="K60" s="306" t="str">
        <f>IF(OR(Umse!$C$24=0,Umse!$B$11=0),"",IF(OR(Umse!$B$11="3.1.",Umse!$B$11="3.2.",Umse!$B$11="3.5.",Umse!$B$11="3.6.",Umse!$B$11="3.9.",Umse!$B$11="3.10."),'VKr-K Ist'!K47,IF(OR(Umse!$B$11="4.1.",Umse!$B$11="4.2.",Umse!$B$11="4.3.",Umse!$B$11="4.4.",Umse!$B$11="4.5.",Umse!$B$11="4.6."),'VKr-B Ist'!K47,"")))</f>
        <v/>
      </c>
      <c r="L60" s="322" t="str">
        <f>IF(OR(Umse!$C$24=0,Umse!$B$11=0),"",IF(OR(Umse!$B$11="3.1.",Umse!$B$11="3.2.",Umse!$B$11="3.5.",Umse!$B$11="3.6.",Umse!$B$11="3.9.",Umse!$B$11="3.10."),'VKr-K Ist'!L47,IF(OR(Umse!$B$11="4.1.",Umse!$B$11="4.2.",Umse!$B$11="4.3.",Umse!$B$11="4.4.",Umse!$B$11="4.5.",Umse!$B$11="4.6."),'VKr-B Ist'!L47,"")))</f>
        <v/>
      </c>
      <c r="M60" s="308" t="str">
        <f>IF(OR(Umse!$C$24=0,Umse!$B$11=0),"",IF(OR(Umse!$B$11="3.1.",Umse!$B$11="3.2.",Umse!$B$11="3.5.",Umse!$B$11="3.6.",Umse!$B$11="3.9.",Umse!$B$11="3.10."),'VKr-K Ist'!M47,IF(OR(Umse!$B$11="4.1.",Umse!$B$11="4.2.",Umse!$B$11="4.3.",Umse!$B$11="4.4.",Umse!$B$11="4.5.",Umse!$B$11="4.6."),'VKr-B Ist'!M47,"")))</f>
        <v/>
      </c>
      <c r="N60" s="308" t="str">
        <f>IF(OR(Umse!$C$24=0,Umse!$B$11=0),"",IF(OR(Umse!$B$11="3.1.",Umse!$B$11="3.2.",Umse!$B$11="3.5.",Umse!$B$11="3.6.",Umse!$B$11="3.9.",Umse!$B$11="3.10."),'VKr-K Ist'!N47,IF(OR(Umse!$B$11="4.1.",Umse!$B$11="4.2.",Umse!$B$11="4.3.",Umse!$B$11="4.4.",Umse!$B$11="4.5.",Umse!$B$11="4.6."),'VKr-B Ist'!N47,"")))</f>
        <v/>
      </c>
      <c r="O60" s="308" t="str">
        <f>IF(OR(Umse!$C$24=0,Umse!$B$11=0),"",IF(OR(Umse!$B$11="3.1.",Umse!$B$11="3.2.",Umse!$B$11="3.5.",Umse!$B$11="3.6.",Umse!$B$11="3.9.",Umse!$B$11="3.10."),'VKr-K Ist'!O47,IF(OR(Umse!$B$11="4.1.",Umse!$B$11="4.2.",Umse!$B$11="4.3.",Umse!$B$11="4.4.",Umse!$B$11="4.5.",Umse!$B$11="4.6."),'VKr-B Ist'!O47,"")))</f>
        <v/>
      </c>
      <c r="P60" s="308" t="str">
        <f>IF(OR(Umse!$C$24=0,Umse!$B$11=0),"",IF(OR(Umse!$B$11="3.1.",Umse!$B$11="3.2.",Umse!$B$11="3.5.",Umse!$B$11="3.6.",Umse!$B$11="3.9.",Umse!$B$11="3.10."),'VKr-K Ist'!P47,IF(OR(Umse!$B$11="4.1.",Umse!$B$11="4.2.",Umse!$B$11="4.3.",Umse!$B$11="4.4.",Umse!$B$11="4.5.",Umse!$B$11="4.6."),'VKr-B Ist'!P47,"")))</f>
        <v/>
      </c>
      <c r="Q60" s="308" t="str">
        <f>IF(OR(Umse!$C$24=0,Umse!$B$11=0),"",IF(OR(Umse!$B$11="3.1.",Umse!$B$11="3.2.",Umse!$B$11="3.5.",Umse!$B$11="3.6.",Umse!$B$11="3.9.",Umse!$B$11="3.10."),'VKr-K Ist'!Q47,IF(OR(Umse!$B$11="4.1.",Umse!$B$11="4.2.",Umse!$B$11="4.3.",Umse!$B$11="4.4.",Umse!$B$11="4.5.",Umse!$B$11="4.6."),'VKr-B Ist'!Q47,"")))</f>
        <v/>
      </c>
      <c r="R60" s="308" t="str">
        <f>IF(OR(Umse!$C$24=0,Umse!$B$11=0),"",IF(OR(Umse!$B$11="3.1.",Umse!$B$11="3.2.",Umse!$B$11="3.5.",Umse!$B$11="3.6."),'VKr-K Ist'!R47,IF(OR(Umse!$B$11="4.1.",Umse!$B$11="4.2.",Umse!$B$11="4.3.",Umse!$B$11="4.4.",Umse!$B$11="4.5.",Umse!$B$11="4.6."),'VKr-B Ist'!R47,"")))</f>
        <v/>
      </c>
    </row>
    <row r="61" spans="2:18" ht="11.25" customHeight="1">
      <c r="B61" s="306"/>
      <c r="C61" s="306"/>
      <c r="D61" s="308"/>
      <c r="E61" s="308"/>
      <c r="F61" s="308"/>
      <c r="G61" s="308"/>
      <c r="H61" s="308"/>
      <c r="I61" s="308"/>
      <c r="J61" s="307"/>
      <c r="K61" s="366"/>
      <c r="L61" s="366"/>
      <c r="M61" s="308"/>
      <c r="N61" s="308"/>
      <c r="O61" s="308"/>
      <c r="P61" s="308"/>
      <c r="Q61" s="308"/>
      <c r="R61" s="308"/>
    </row>
    <row r="62" spans="2:18" ht="11.25" customHeight="1">
      <c r="B62" s="306"/>
      <c r="C62" s="306"/>
      <c r="D62" s="308"/>
      <c r="E62" s="308"/>
      <c r="F62" s="308"/>
      <c r="G62" s="308"/>
      <c r="H62" s="308"/>
      <c r="I62" s="308"/>
      <c r="J62" s="307"/>
      <c r="K62" s="306"/>
      <c r="L62" s="306"/>
      <c r="M62" s="308"/>
      <c r="N62" s="308"/>
      <c r="O62" s="308"/>
      <c r="P62" s="308"/>
      <c r="Q62" s="308"/>
      <c r="R62" s="308"/>
    </row>
    <row r="63" spans="2:18" ht="11.25" customHeight="1">
      <c r="B63" s="306"/>
      <c r="C63" s="306"/>
      <c r="D63" s="308"/>
      <c r="E63" s="308"/>
      <c r="F63" s="308"/>
      <c r="G63" s="308"/>
      <c r="H63" s="308"/>
      <c r="I63" s="308"/>
      <c r="J63" s="307"/>
      <c r="K63" s="306"/>
      <c r="L63" s="306"/>
      <c r="M63" s="308"/>
      <c r="N63" s="308"/>
      <c r="O63" s="308"/>
      <c r="P63" s="308"/>
      <c r="Q63" s="308"/>
      <c r="R63" s="308"/>
    </row>
    <row r="64" spans="2:18" ht="11.25" customHeight="1">
      <c r="B64" s="306"/>
      <c r="C64" s="306"/>
      <c r="D64" s="308"/>
      <c r="E64" s="308"/>
      <c r="F64" s="308"/>
      <c r="G64" s="308"/>
      <c r="H64" s="308"/>
      <c r="I64" s="308"/>
      <c r="J64" s="307"/>
      <c r="K64" s="306"/>
      <c r="L64" s="306"/>
      <c r="M64" s="308"/>
      <c r="N64" s="308"/>
      <c r="O64" s="308"/>
      <c r="P64" s="308"/>
      <c r="Q64" s="308"/>
      <c r="R64" s="308"/>
    </row>
    <row r="65" spans="2:18" ht="11.25" customHeight="1">
      <c r="B65" s="306"/>
      <c r="C65" s="306"/>
      <c r="D65" s="308"/>
      <c r="E65" s="308"/>
      <c r="F65" s="308"/>
      <c r="G65" s="308"/>
      <c r="H65" s="308"/>
      <c r="I65" s="308"/>
      <c r="J65" s="307"/>
      <c r="K65" s="307"/>
      <c r="L65" s="307"/>
      <c r="M65" s="308"/>
      <c r="N65" s="308"/>
      <c r="O65" s="308"/>
      <c r="P65" s="308"/>
      <c r="Q65" s="308"/>
      <c r="R65" s="308"/>
    </row>
    <row r="66" spans="2:18" ht="11.25" customHeight="1">
      <c r="B66" s="307"/>
      <c r="C66" s="307"/>
      <c r="D66" s="316"/>
      <c r="E66" s="316"/>
      <c r="F66" s="316"/>
      <c r="G66" s="316"/>
      <c r="H66" s="316"/>
      <c r="I66" s="316"/>
      <c r="K66" s="307"/>
      <c r="L66" s="307"/>
      <c r="M66" s="317"/>
      <c r="N66" s="317"/>
      <c r="O66" s="317"/>
      <c r="P66" s="317"/>
      <c r="Q66" s="317"/>
      <c r="R66" s="317"/>
    </row>
    <row r="89" spans="1:18" ht="11.25" customHeight="1">
      <c r="A89" s="307"/>
      <c r="B89" s="307"/>
      <c r="C89" s="307"/>
      <c r="D89" s="307"/>
      <c r="E89" s="318"/>
      <c r="F89" s="307"/>
      <c r="G89" s="307"/>
      <c r="H89" s="307"/>
      <c r="I89" s="319"/>
      <c r="J89" s="307"/>
      <c r="K89" s="319"/>
      <c r="L89" s="319"/>
      <c r="M89" s="307"/>
      <c r="N89" s="307"/>
      <c r="O89" s="307"/>
      <c r="P89" s="307"/>
      <c r="Q89" s="307"/>
      <c r="R89" s="307"/>
    </row>
    <row r="90" spans="1:18" ht="11.25" customHeight="1">
      <c r="A90" s="307"/>
      <c r="B90" s="307"/>
      <c r="C90" s="307"/>
      <c r="D90" s="307"/>
      <c r="E90" s="318"/>
      <c r="F90" s="307"/>
      <c r="G90" s="307"/>
      <c r="H90" s="307"/>
      <c r="I90" s="319"/>
      <c r="J90" s="307"/>
      <c r="K90" s="319"/>
      <c r="L90" s="319"/>
      <c r="M90" s="307"/>
      <c r="N90" s="307"/>
      <c r="O90" s="307"/>
      <c r="P90" s="307"/>
      <c r="Q90" s="307"/>
      <c r="R90" s="307"/>
    </row>
    <row r="91" spans="1:18" ht="11.25" customHeight="1">
      <c r="A91" s="307"/>
      <c r="B91" s="307"/>
      <c r="C91" s="307"/>
      <c r="D91" s="307"/>
      <c r="E91" s="318"/>
      <c r="F91" s="307"/>
      <c r="G91" s="307"/>
      <c r="H91" s="307"/>
      <c r="I91" s="307"/>
      <c r="J91" s="307"/>
      <c r="K91" s="319"/>
      <c r="L91" s="319"/>
      <c r="M91" s="307"/>
      <c r="N91" s="307"/>
      <c r="O91" s="307"/>
      <c r="P91" s="307"/>
      <c r="Q91" s="307"/>
      <c r="R91" s="307"/>
    </row>
    <row r="92" spans="1:18" ht="11.25" customHeight="1">
      <c r="A92" s="320"/>
      <c r="B92" s="299"/>
      <c r="C92" s="299"/>
      <c r="D92" s="320"/>
      <c r="E92" s="321"/>
      <c r="F92" s="299"/>
      <c r="G92" s="299"/>
      <c r="H92" s="299"/>
      <c r="I92" s="299"/>
      <c r="J92" s="299"/>
      <c r="K92" s="309"/>
      <c r="L92" s="309"/>
      <c r="M92" s="299"/>
      <c r="N92" s="299"/>
      <c r="O92" s="299"/>
      <c r="P92" s="299"/>
      <c r="Q92" s="299"/>
      <c r="R92" s="299"/>
    </row>
    <row r="93" spans="1:18" ht="11.25" customHeight="1">
      <c r="A93" s="320"/>
      <c r="B93" s="299"/>
      <c r="C93" s="299"/>
      <c r="D93" s="320"/>
      <c r="E93" s="321"/>
      <c r="F93" s="299"/>
      <c r="G93" s="299"/>
      <c r="H93" s="299"/>
      <c r="I93" s="299"/>
      <c r="J93" s="299"/>
      <c r="K93" s="309"/>
      <c r="L93" s="309"/>
      <c r="M93" s="299"/>
      <c r="N93" s="299"/>
      <c r="O93" s="299"/>
      <c r="P93" s="299"/>
      <c r="Q93" s="299"/>
      <c r="R93" s="299"/>
    </row>
  </sheetData>
  <mergeCells count="24">
    <mergeCell ref="K10:M10"/>
    <mergeCell ref="N10:P10"/>
    <mergeCell ref="Q10:R10"/>
    <mergeCell ref="B36:C45"/>
    <mergeCell ref="G36:G45"/>
    <mergeCell ref="H36:H45"/>
    <mergeCell ref="I36:I45"/>
    <mergeCell ref="K45:M45"/>
    <mergeCell ref="B2:D2"/>
    <mergeCell ref="E2:P2"/>
    <mergeCell ref="K4:P6"/>
    <mergeCell ref="F5:G5"/>
    <mergeCell ref="K36:R42"/>
    <mergeCell ref="B10:D10"/>
    <mergeCell ref="B35:D35"/>
    <mergeCell ref="E35:G35"/>
    <mergeCell ref="H35:I35"/>
    <mergeCell ref="D36:D45"/>
    <mergeCell ref="N45:P45"/>
    <mergeCell ref="E36:E45"/>
    <mergeCell ref="F36:F45"/>
    <mergeCell ref="Q45:R45"/>
    <mergeCell ref="E10:G10"/>
    <mergeCell ref="H10:I10"/>
  </mergeCells>
  <conditionalFormatting sqref="K11 B47:R63 B12:R28">
    <cfRule type="cellIs" dxfId="13" priority="7" stopIfTrue="1" operator="equal">
      <formula>0</formula>
    </cfRule>
    <cfRule type="cellIs" dxfId="12" priority="8" stopIfTrue="1" operator="equal">
      <formula>""</formula>
    </cfRule>
  </conditionalFormatting>
  <conditionalFormatting sqref="B11">
    <cfRule type="cellIs" dxfId="11" priority="5" stopIfTrue="1" operator="equal">
      <formula>0</formula>
    </cfRule>
    <cfRule type="cellIs" dxfId="10" priority="6" stopIfTrue="1" operator="equal">
      <formula>""</formula>
    </cfRule>
  </conditionalFormatting>
  <conditionalFormatting sqref="B46">
    <cfRule type="cellIs" dxfId="9" priority="3" stopIfTrue="1" operator="equal">
      <formula>0</formula>
    </cfRule>
    <cfRule type="cellIs" dxfId="8" priority="4" stopIfTrue="1" operator="equal">
      <formula>""</formula>
    </cfRule>
  </conditionalFormatting>
  <conditionalFormatting sqref="K46">
    <cfRule type="cellIs" dxfId="7" priority="1" stopIfTrue="1" operator="equal">
      <formula>0</formula>
    </cfRule>
    <cfRule type="cellIs" dxfId="6" priority="2" stopIfTrue="1" operator="equal">
      <formula>""</formula>
    </cfRule>
  </conditionalFormatting>
  <printOptions horizontalCentered="1" verticalCentered="1"/>
  <pageMargins left="0.39370078740157483" right="0.39370078740157483" top="0.19685039370078741" bottom="0.19685039370078741" header="0.51181102362204722" footer="0.51181102362204722"/>
  <pageSetup paperSize="9" scale="84" orientation="landscape" r:id="rId1"/>
  <headerFooter alignWithMargins="0">
    <oddFooter>&amp;L&amp;"Arial,Standard"&amp;4dbb
tarifunion
Entgelte
Version 1.1.
10.10.2007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6"/>
  </sheetPr>
  <dimension ref="A1:AA53"/>
  <sheetViews>
    <sheetView workbookViewId="0">
      <selection activeCell="E23" sqref="E23:E32"/>
    </sheetView>
  </sheetViews>
  <sheetFormatPr baseColWidth="10" defaultColWidth="8.5703125" defaultRowHeight="12.75"/>
  <cols>
    <col min="1" max="1" width="23.140625" style="329" customWidth="1"/>
    <col min="2" max="3" width="6.42578125" style="329" customWidth="1"/>
    <col min="4" max="9" width="8.5703125" style="329" customWidth="1"/>
    <col min="10" max="10" width="17.85546875" style="328" customWidth="1"/>
    <col min="11" max="12" width="6.42578125" style="329" customWidth="1"/>
    <col min="13" max="19" width="8.5703125" style="329"/>
    <col min="20" max="23" width="5.7109375" style="329" customWidth="1"/>
    <col min="24" max="16384" width="8.5703125" style="329"/>
  </cols>
  <sheetData>
    <row r="1" spans="1:23">
      <c r="A1" s="323" t="str">
        <f>Umse!B11</f>
        <v>1.2.</v>
      </c>
      <c r="B1" s="352"/>
      <c r="C1" s="326"/>
      <c r="D1" s="326" t="str">
        <f>IF(A1=0,"","Stundenentgelt  ( Vollzeit )")</f>
        <v>Stundenentgelt  ( Vollzeit )</v>
      </c>
      <c r="E1" s="326"/>
      <c r="F1" s="326"/>
      <c r="G1" s="326"/>
      <c r="H1" s="326"/>
      <c r="I1" s="353"/>
      <c r="K1" s="324"/>
      <c r="L1" s="325"/>
      <c r="M1" s="525" t="str">
        <f>IF(A1=0,"",IF(OR($A$1="3.1.",$A$1="3.2."),"Anlage E VKA",IF(OR($A$1="3.5.",$A$1="3.6."),"Anlage E VKA",IF(OR($A$1="3.9.",$A$1="3.10."),"Anlage E VKA",""))))</f>
        <v/>
      </c>
      <c r="N1" s="325"/>
      <c r="O1" s="325"/>
      <c r="P1" s="325"/>
      <c r="Q1" s="525" t="str">
        <f>IF(OR(Umse!$C$24=0,Kalk!B4=1,Kalk!B4=2,Kalk!B4=4,Kalk!B4=5,Kalk!B4=6,Kalk!B4=7,Kalk!B4=8,Kalk!B4=9,Kalk!B4=10),"",IF(OR(A1="3.1.",A1="3.2."),Para!C106,IF(OR(A1="3.5.",A1="3.6."),Para!C107,IF(OR(A1="3.9.",A1="3.10."),Para!C108,""))))</f>
        <v/>
      </c>
      <c r="R1" s="327"/>
    </row>
    <row r="2" spans="1:23" ht="21" customHeight="1">
      <c r="A2" s="330" t="str">
        <f>VLOOKUP(Kalk!B5,Kalk!A20:B29,2)</f>
        <v>TVöD ( Bund )</v>
      </c>
      <c r="B2" s="354" t="str">
        <f>K2</f>
        <v/>
      </c>
      <c r="C2" s="331"/>
      <c r="D2" s="332" t="str">
        <f t="shared" ref="D2:I2" si="0">M2</f>
        <v>Stufe 1</v>
      </c>
      <c r="E2" s="332" t="str">
        <f t="shared" si="0"/>
        <v>Stufe 2</v>
      </c>
      <c r="F2" s="332" t="str">
        <f t="shared" si="0"/>
        <v>Stufe 3</v>
      </c>
      <c r="G2" s="332" t="str">
        <f t="shared" si="0"/>
        <v>Stufe 4</v>
      </c>
      <c r="H2" s="332" t="str">
        <f t="shared" si="0"/>
        <v>Stufe 5</v>
      </c>
      <c r="I2" s="332" t="str">
        <f t="shared" si="0"/>
        <v>Stufe 6</v>
      </c>
      <c r="J2" s="333" t="str">
        <f>IF(OR(Umse!$C$24=0,$A$1=0),"",IF(Umse!B11="3.2.","",""))</f>
        <v/>
      </c>
      <c r="K2" s="354" t="str">
        <f>IF(Umse!$C$24=0,"",IF(OR($A$1="3.1.",$A$1="3.2.",$A$1="3.5.",$A$1="3.6.",$A$1="3.9.",$A$1="3.10."),V2,""))</f>
        <v/>
      </c>
      <c r="L2" s="331"/>
      <c r="M2" s="332" t="s">
        <v>7</v>
      </c>
      <c r="N2" s="332" t="s">
        <v>8</v>
      </c>
      <c r="O2" s="332" t="s">
        <v>9</v>
      </c>
      <c r="P2" s="332" t="s">
        <v>10</v>
      </c>
      <c r="Q2" s="332" t="s">
        <v>11</v>
      </c>
      <c r="R2" s="332" t="s">
        <v>12</v>
      </c>
      <c r="V2" s="355" t="s">
        <v>277</v>
      </c>
    </row>
    <row r="3" spans="1:23">
      <c r="A3" s="323" t="str">
        <f>Umse!B23</f>
        <v>West und Ost ( ab 1.04.2021 )</v>
      </c>
      <c r="B3" s="356" t="str">
        <f>K3</f>
        <v/>
      </c>
      <c r="C3" s="357" t="str">
        <f>L3</f>
        <v/>
      </c>
      <c r="D3" s="335" t="str">
        <f>IF(M3=0,0,IF(M3="-","-",IF(M3="","",FIXED(ROUND(M3/$A$5,2),2))))</f>
        <v/>
      </c>
      <c r="E3" s="335" t="str">
        <f t="shared" ref="E3:I14" si="1">IF(N3=0,0,IF(N3="-","-",IF(N3="","",FIXED(ROUND(N3/$A$5,2),2))))</f>
        <v/>
      </c>
      <c r="F3" s="335" t="str">
        <f t="shared" si="1"/>
        <v/>
      </c>
      <c r="G3" s="335" t="str">
        <f t="shared" si="1"/>
        <v/>
      </c>
      <c r="H3" s="335" t="str">
        <f t="shared" si="1"/>
        <v/>
      </c>
      <c r="I3" s="335" t="str">
        <f t="shared" si="1"/>
        <v/>
      </c>
      <c r="J3" s="328" t="str">
        <f>""</f>
        <v/>
      </c>
      <c r="K3" s="356" t="str">
        <f>IF(Umse!$C$24=0,"",IF(OR($A$1="3.1.",$A$1="3.2.",$A$1="3.5.",$A$1="3.6.",$A$1="3.9.",$A$1="3.10."),V3,""))</f>
        <v/>
      </c>
      <c r="L3" s="357" t="str">
        <f>IF(Umse!$C$24=0,"",IF(OR($A$1="3.1.",$A$1="3.2.",$A$1="3.5.",$A$1="3.6.",$A$1="3.9.",$A$1="3.10."),W3,""))</f>
        <v/>
      </c>
      <c r="M3" s="335" t="str">
        <f>IF(Umse!$C$24=0,"",IF(OR($A$1="3.1.",$A$1="3.2."),'VKr Tab'!C464,IF(OR($A$1="3.5.",$A$1="3.6."),'VKr Tab'!C485,IF(OR($A$1="3.9.",$A$1="3.10."),'VKr Tab'!C506,""))))</f>
        <v/>
      </c>
      <c r="N3" s="335" t="str">
        <f>IF(Umse!$C$24=0,"",IF(OR($A$1="3.1.",$A$1="3.2."),'VKr Tab'!D464,IF(OR($A$1="3.5.",$A$1="3.6."),'VKr Tab'!D485,IF(OR($A$1="3.9.",$A$1="3.10."),'VKr Tab'!D506,""))))</f>
        <v/>
      </c>
      <c r="O3" s="335" t="str">
        <f>IF(Umse!$C$24=0,"",IF(OR($A$1="3.1.",$A$1="3.2."),'VKr Tab'!E464,IF(OR($A$1="3.5.",$A$1="3.6."),'VKr Tab'!E485,IF(OR($A$1="3.9.",$A$1="3.10."),'VKr Tab'!E506,""))))</f>
        <v/>
      </c>
      <c r="P3" s="335" t="str">
        <f>IF(Umse!$C$24=0,"",IF(OR($A$1="3.1.",$A$1="3.2."),'VKr Tab'!F464,IF(OR($A$1="3.5.",$A$1="3.6."),'VKr Tab'!F485,IF(OR($A$1="3.9.",$A$1="3.10."),'VKr Tab'!F506,""))))</f>
        <v/>
      </c>
      <c r="Q3" s="335" t="str">
        <f>IF(Umse!$C$24=0,"",IF(OR($A$1="3.1.",$A$1="3.2."),'VKr Tab'!G464,IF(OR($A$1="3.5.",$A$1="3.6."),'VKr Tab'!G485,IF(OR($A$1="3.9.",$A$1="3.10."),'VKr Tab'!G506,""))))</f>
        <v/>
      </c>
      <c r="R3" s="335" t="str">
        <f>IF(Umse!$C$24=0,"",IF(OR($A$1="3.1.",$A$1="3.2."),'VKr Tab'!H464,IF(OR($A$1="3.5.",$A$1="3.6."),'VKr Tab'!H485,IF(OR($A$1="3.9.",$A$1="3.10."),'VKr Tab'!H506,""))))</f>
        <v/>
      </c>
      <c r="V3" s="332" t="s">
        <v>387</v>
      </c>
      <c r="W3" s="363">
        <v>16</v>
      </c>
    </row>
    <row r="4" spans="1:23">
      <c r="A4" s="336">
        <f>Umse!B24</f>
        <v>39</v>
      </c>
      <c r="B4" s="356" t="str">
        <f t="shared" ref="B4:B14" si="2">K4</f>
        <v/>
      </c>
      <c r="C4" s="357" t="str">
        <f t="shared" ref="C4:C14" si="3">L4</f>
        <v/>
      </c>
      <c r="D4" s="335" t="str">
        <f t="shared" ref="D4:D14" si="4">IF(M4=0,0,IF(M4="-","-",IF(M4="","",FIXED(ROUND(M4/$A$5,2),2))))</f>
        <v/>
      </c>
      <c r="E4" s="335" t="str">
        <f t="shared" si="1"/>
        <v/>
      </c>
      <c r="F4" s="335" t="str">
        <f t="shared" si="1"/>
        <v/>
      </c>
      <c r="G4" s="335" t="str">
        <f t="shared" si="1"/>
        <v/>
      </c>
      <c r="H4" s="335" t="str">
        <f t="shared" si="1"/>
        <v/>
      </c>
      <c r="I4" s="335" t="str">
        <f t="shared" si="1"/>
        <v/>
      </c>
      <c r="J4" s="328" t="str">
        <f>""</f>
        <v/>
      </c>
      <c r="K4" s="356" t="str">
        <f>IF(Umse!$C$24=0,"",IF(OR($A$1="3.1.",$A$1="3.2.",$A$1="3.5.",$A$1="3.6.",$A$1="3.9.",$A$1="3.10."),V4,""))</f>
        <v/>
      </c>
      <c r="L4" s="357" t="str">
        <f>IF(Umse!$C$24=0,"",IF(OR($A$1="3.1.",$A$1="3.2.",$A$1="3.5.",$A$1="3.6.",$A$1="3.9.",$A$1="3.10."),W4,""))</f>
        <v/>
      </c>
      <c r="M4" s="335" t="str">
        <f>IF(Umse!$C$24=0,"",IF(OR($A$1="3.1.",$A$1="3.2."),'VKr Tab'!C465,IF(OR($A$1="3.5.",$A$1="3.6."),'VKr Tab'!C486,IF(OR($A$1="3.9.",$A$1="3.10."),'VKr Tab'!C507,""))))</f>
        <v/>
      </c>
      <c r="N4" s="335" t="str">
        <f>IF(Umse!$C$24=0,"",IF(OR($A$1="3.1.",$A$1="3.2."),'VKr Tab'!D465,IF(OR($A$1="3.5.",$A$1="3.6."),'VKr Tab'!D486,IF(OR($A$1="3.9.",$A$1="3.10."),'VKr Tab'!D507,""))))</f>
        <v/>
      </c>
      <c r="O4" s="335" t="str">
        <f>IF(Umse!$C$24=0,"",IF(OR($A$1="3.1.",$A$1="3.2."),'VKr Tab'!E465,IF(OR($A$1="3.5.",$A$1="3.6."),'VKr Tab'!E486,IF(OR($A$1="3.9.",$A$1="3.10."),'VKr Tab'!E507,""))))</f>
        <v/>
      </c>
      <c r="P4" s="335" t="str">
        <f>IF(Umse!$C$24=0,"",IF(OR($A$1="3.1.",$A$1="3.2."),'VKr Tab'!F465,IF(OR($A$1="3.5.",$A$1="3.6."),'VKr Tab'!F486,IF(OR($A$1="3.9.",$A$1="3.10."),'VKr Tab'!F507,""))))</f>
        <v/>
      </c>
      <c r="Q4" s="335" t="str">
        <f>IF(Umse!$C$24=0,"",IF(OR($A$1="3.1.",$A$1="3.2."),'VKr Tab'!G465,IF(OR($A$1="3.5.",$A$1="3.6."),'VKr Tab'!G486,IF(OR($A$1="3.9.",$A$1="3.10."),'VKr Tab'!G507,""))))</f>
        <v/>
      </c>
      <c r="R4" s="335" t="str">
        <f>IF(Umse!$C$24=0,"",IF(OR($A$1="3.1.",$A$1="3.2."),'VKr Tab'!H465,IF(OR($A$1="3.5.",$A$1="3.6."),'VKr Tab'!H486,IF(OR($A$1="3.9.",$A$1="3.10."),'VKr Tab'!H507,""))))</f>
        <v/>
      </c>
      <c r="V4" s="332" t="s">
        <v>387</v>
      </c>
      <c r="W4" s="363">
        <v>15</v>
      </c>
    </row>
    <row r="5" spans="1:23">
      <c r="A5" s="337">
        <f>Umse!C24</f>
        <v>169.57</v>
      </c>
      <c r="B5" s="356" t="str">
        <f t="shared" si="2"/>
        <v/>
      </c>
      <c r="C5" s="357" t="str">
        <f t="shared" si="3"/>
        <v/>
      </c>
      <c r="D5" s="335" t="str">
        <f t="shared" si="4"/>
        <v/>
      </c>
      <c r="E5" s="335" t="str">
        <f t="shared" si="1"/>
        <v/>
      </c>
      <c r="F5" s="335" t="str">
        <f t="shared" si="1"/>
        <v/>
      </c>
      <c r="G5" s="335" t="str">
        <f t="shared" si="1"/>
        <v/>
      </c>
      <c r="H5" s="335" t="str">
        <f t="shared" si="1"/>
        <v/>
      </c>
      <c r="I5" s="335" t="str">
        <f t="shared" si="1"/>
        <v/>
      </c>
      <c r="J5" s="328" t="str">
        <f>""</f>
        <v/>
      </c>
      <c r="K5" s="356" t="str">
        <f>IF(Umse!$C$24=0,"",IF(OR($A$1="3.1.",$A$1="3.2.",$A$1="3.5.",$A$1="3.6.",$A$1="3.9.",$A$1="3.10."),V5,""))</f>
        <v/>
      </c>
      <c r="L5" s="357" t="str">
        <f>IF(Umse!$C$24=0,"",IF(OR($A$1="3.1.",$A$1="3.2.",$A$1="3.5.",$A$1="3.6.",$A$1="3.9.",$A$1="3.10."),W5,""))</f>
        <v/>
      </c>
      <c r="M5" s="335" t="str">
        <f>IF(Umse!$C$24=0,"",IF(OR($A$1="3.1.",$A$1="3.2."),'VKr Tab'!C466,IF(OR($A$1="3.5.",$A$1="3.6."),'VKr Tab'!C487,IF(OR($A$1="3.9.",$A$1="3.10."),'VKr Tab'!C508,""))))</f>
        <v/>
      </c>
      <c r="N5" s="335" t="str">
        <f>IF(Umse!$C$24=0,"",IF(OR($A$1="3.1.",$A$1="3.2."),'VKr Tab'!D466,IF(OR($A$1="3.5.",$A$1="3.6."),'VKr Tab'!D487,IF(OR($A$1="3.9.",$A$1="3.10."),'VKr Tab'!D508,""))))</f>
        <v/>
      </c>
      <c r="O5" s="335" t="str">
        <f>IF(Umse!$C$24=0,"",IF(OR($A$1="3.1.",$A$1="3.2."),'VKr Tab'!E466,IF(OR($A$1="3.5.",$A$1="3.6."),'VKr Tab'!E487,IF(OR($A$1="3.9.",$A$1="3.10."),'VKr Tab'!E508,""))))</f>
        <v/>
      </c>
      <c r="P5" s="335" t="str">
        <f>IF(Umse!$C$24=0,"",IF(OR($A$1="3.1.",$A$1="3.2."),'VKr Tab'!F466,IF(OR($A$1="3.5.",$A$1="3.6."),'VKr Tab'!F487,IF(OR($A$1="3.9.",$A$1="3.10."),'VKr Tab'!F508,""))))</f>
        <v/>
      </c>
      <c r="Q5" s="335" t="str">
        <f>IF(Umse!$C$24=0,"",IF(OR($A$1="3.1.",$A$1="3.2."),'VKr Tab'!G466,IF(OR($A$1="3.5.",$A$1="3.6."),'VKr Tab'!G487,IF(OR($A$1="3.9.",$A$1="3.10."),'VKr Tab'!G508,""))))</f>
        <v/>
      </c>
      <c r="R5" s="335" t="str">
        <f>IF(Umse!$C$24=0,"",IF(OR($A$1="3.1.",$A$1="3.2."),'VKr Tab'!H466,IF(OR($A$1="3.5.",$A$1="3.6."),'VKr Tab'!H487,IF(OR($A$1="3.9.",$A$1="3.10."),'VKr Tab'!H508,""))))</f>
        <v/>
      </c>
      <c r="V5" s="332" t="s">
        <v>387</v>
      </c>
      <c r="W5" s="363">
        <v>14</v>
      </c>
    </row>
    <row r="6" spans="1:23">
      <c r="A6" s="338"/>
      <c r="B6" s="356" t="str">
        <f t="shared" si="2"/>
        <v/>
      </c>
      <c r="C6" s="357" t="str">
        <f t="shared" si="3"/>
        <v/>
      </c>
      <c r="D6" s="335" t="str">
        <f t="shared" si="4"/>
        <v/>
      </c>
      <c r="E6" s="335" t="str">
        <f t="shared" si="1"/>
        <v/>
      </c>
      <c r="F6" s="335" t="str">
        <f t="shared" si="1"/>
        <v/>
      </c>
      <c r="G6" s="335" t="str">
        <f t="shared" si="1"/>
        <v/>
      </c>
      <c r="H6" s="335" t="str">
        <f t="shared" si="1"/>
        <v/>
      </c>
      <c r="I6" s="335" t="str">
        <f t="shared" si="1"/>
        <v/>
      </c>
      <c r="J6" s="328" t="str">
        <f>""</f>
        <v/>
      </c>
      <c r="K6" s="356" t="str">
        <f>IF(Umse!$C$24=0,"",IF(OR($A$1="3.1.",$A$1="3.2.",$A$1="3.5.",$A$1="3.6.",$A$1="3.9.",$A$1="3.10."),V6,""))</f>
        <v/>
      </c>
      <c r="L6" s="357" t="str">
        <f>IF(Umse!$C$24=0,"",IF(OR($A$1="3.1.",$A$1="3.2.",$A$1="3.5.",$A$1="3.6.",$A$1="3.9.",$A$1="3.10."),W6,""))</f>
        <v/>
      </c>
      <c r="M6" s="335" t="str">
        <f>IF(Umse!$C$24=0,"",IF(OR($A$1="3.1.",$A$1="3.2."),'VKr Tab'!C467,IF(OR($A$1="3.5.",$A$1="3.6."),'VKr Tab'!C488,IF(OR($A$1="3.9.",$A$1="3.10."),'VKr Tab'!C509,""))))</f>
        <v/>
      </c>
      <c r="N6" s="335" t="str">
        <f>IF(Umse!$C$24=0,"",IF(OR($A$1="3.1.",$A$1="3.2."),'VKr Tab'!D467,IF(OR($A$1="3.5.",$A$1="3.6."),'VKr Tab'!D488,IF(OR($A$1="3.9.",$A$1="3.10."),'VKr Tab'!D509,""))))</f>
        <v/>
      </c>
      <c r="O6" s="335" t="str">
        <f>IF(Umse!$C$24=0,"",IF(OR($A$1="3.1.",$A$1="3.2."),'VKr Tab'!E467,IF(OR($A$1="3.5.",$A$1="3.6."),'VKr Tab'!E488,IF(OR($A$1="3.9.",$A$1="3.10."),'VKr Tab'!E509,""))))</f>
        <v/>
      </c>
      <c r="P6" s="335" t="str">
        <f>IF(Umse!$C$24=0,"",IF(OR($A$1="3.1.",$A$1="3.2."),'VKr Tab'!F467,IF(OR($A$1="3.5.",$A$1="3.6."),'VKr Tab'!F488,IF(OR($A$1="3.9.",$A$1="3.10."),'VKr Tab'!F509,""))))</f>
        <v/>
      </c>
      <c r="Q6" s="335" t="str">
        <f>IF(Umse!$C$24=0,"",IF(OR($A$1="3.1.",$A$1="3.2."),'VKr Tab'!G467,IF(OR($A$1="3.5.",$A$1="3.6."),'VKr Tab'!G488,IF(OR($A$1="3.9.",$A$1="3.10."),'VKr Tab'!G509,""))))</f>
        <v/>
      </c>
      <c r="R6" s="335" t="str">
        <f>IF(Umse!$C$24=0,"",IF(OR($A$1="3.1.",$A$1="3.2."),'VKr Tab'!H467,IF(OR($A$1="3.5.",$A$1="3.6."),'VKr Tab'!H488,IF(OR($A$1="3.9.",$A$1="3.10."),'VKr Tab'!H509,""))))</f>
        <v/>
      </c>
      <c r="V6" s="332" t="s">
        <v>387</v>
      </c>
      <c r="W6" s="363">
        <v>13</v>
      </c>
    </row>
    <row r="7" spans="1:23">
      <c r="A7" s="338"/>
      <c r="B7" s="356" t="str">
        <f t="shared" si="2"/>
        <v/>
      </c>
      <c r="C7" s="357" t="str">
        <f t="shared" si="3"/>
        <v/>
      </c>
      <c r="D7" s="335" t="str">
        <f t="shared" si="4"/>
        <v/>
      </c>
      <c r="E7" s="335" t="str">
        <f t="shared" si="1"/>
        <v/>
      </c>
      <c r="F7" s="335" t="str">
        <f t="shared" si="1"/>
        <v/>
      </c>
      <c r="G7" s="335" t="str">
        <f t="shared" si="1"/>
        <v/>
      </c>
      <c r="H7" s="335" t="str">
        <f t="shared" si="1"/>
        <v/>
      </c>
      <c r="I7" s="335" t="str">
        <f t="shared" si="1"/>
        <v/>
      </c>
      <c r="J7" s="328" t="str">
        <f>IF(OR(Umse!$C$24=0,$A$1=0),"",IF(Umse!B11="3.2.","",""))</f>
        <v/>
      </c>
      <c r="K7" s="356" t="str">
        <f>IF(Umse!$C$24=0,"",IF(OR($A$1="3.1.",$A$1="3.2.",$A$1="3.5.",$A$1="3.6.",$A$1="3.9.",$A$1="3.10."),V7,""))</f>
        <v/>
      </c>
      <c r="L7" s="357" t="str">
        <f>IF(Umse!$C$24=0,"",IF(OR($A$1="3.1.",$A$1="3.2.",$A$1="3.5.",$A$1="3.6.",$A$1="3.9.",$A$1="3.10."),W7,""))</f>
        <v/>
      </c>
      <c r="M7" s="335" t="str">
        <f>IF(Umse!$C$24=0,"",IF(OR($A$1="3.1.",$A$1="3.2."),'VKr Tab'!C468,IF(OR($A$1="3.5.",$A$1="3.6."),'VKr Tab'!C489,IF(OR($A$1="3.9.",$A$1="3.10."),'VKr Tab'!C510,""))))</f>
        <v/>
      </c>
      <c r="N7" s="335" t="str">
        <f>IF(Umse!$C$24=0,"",IF(OR($A$1="3.1.",$A$1="3.2."),'VKr Tab'!D468,IF(OR($A$1="3.5.",$A$1="3.6."),'VKr Tab'!D489,IF(OR($A$1="3.9.",$A$1="3.10."),'VKr Tab'!D510,""))))</f>
        <v/>
      </c>
      <c r="O7" s="335" t="str">
        <f>IF(Umse!$C$24=0,"",IF(OR($A$1="3.1.",$A$1="3.2."),'VKr Tab'!E468,IF(OR($A$1="3.5.",$A$1="3.6."),'VKr Tab'!E489,IF(OR($A$1="3.9.",$A$1="3.10."),'VKr Tab'!E510,""))))</f>
        <v/>
      </c>
      <c r="P7" s="335" t="str">
        <f>IF(Umse!$C$24=0,"",IF(OR($A$1="3.1.",$A$1="3.2."),'VKr Tab'!F468,IF(OR($A$1="3.5.",$A$1="3.6."),'VKr Tab'!F489,IF(OR($A$1="3.9.",$A$1="3.10."),'VKr Tab'!F510,""))))</f>
        <v/>
      </c>
      <c r="Q7" s="335" t="str">
        <f>IF(Umse!$C$24=0,"",IF(OR($A$1="3.1.",$A$1="3.2."),'VKr Tab'!G468,IF(OR($A$1="3.5.",$A$1="3.6."),'VKr Tab'!G489,IF(OR($A$1="3.9.",$A$1="3.10."),'VKr Tab'!G510,""))))</f>
        <v/>
      </c>
      <c r="R7" s="335" t="str">
        <f>IF(Umse!$C$24=0,"",IF(OR($A$1="3.1.",$A$1="3.2."),'VKr Tab'!H468,IF(OR($A$1="3.5.",$A$1="3.6."),'VKr Tab'!H489,IF(OR($A$1="3.9.",$A$1="3.10."),'VKr Tab'!H510,""))))</f>
        <v/>
      </c>
      <c r="V7" s="332" t="s">
        <v>387</v>
      </c>
      <c r="W7" s="363">
        <v>12</v>
      </c>
    </row>
    <row r="8" spans="1:23">
      <c r="A8" s="338"/>
      <c r="B8" s="356" t="str">
        <f t="shared" si="2"/>
        <v/>
      </c>
      <c r="C8" s="357" t="str">
        <f t="shared" si="3"/>
        <v/>
      </c>
      <c r="D8" s="335" t="str">
        <f t="shared" si="4"/>
        <v/>
      </c>
      <c r="E8" s="335" t="str">
        <f t="shared" si="1"/>
        <v/>
      </c>
      <c r="F8" s="335" t="str">
        <f t="shared" si="1"/>
        <v/>
      </c>
      <c r="G8" s="335" t="str">
        <f t="shared" si="1"/>
        <v/>
      </c>
      <c r="H8" s="335" t="str">
        <f t="shared" si="1"/>
        <v/>
      </c>
      <c r="I8" s="335" t="str">
        <f t="shared" si="1"/>
        <v/>
      </c>
      <c r="J8" s="328" t="str">
        <f>IF(OR(Umse!$C$24=0,$A$1=0),"",IF(Umse!B11="3.2.","",""))</f>
        <v/>
      </c>
      <c r="K8" s="356" t="str">
        <f>IF(Umse!$C$24=0,"",IF(OR($A$1="3.1.",$A$1="3.2.",$A$1="3.5.",$A$1="3.6.",$A$1="3.9.",$A$1="3.10."),V8,""))</f>
        <v/>
      </c>
      <c r="L8" s="357" t="str">
        <f>IF(Umse!$C$24=0,"",IF(OR($A$1="3.1.",$A$1="3.2.",$A$1="3.5.",$A$1="3.6.",$A$1="3.9.",$A$1="3.10."),W8,""))</f>
        <v/>
      </c>
      <c r="M8" s="335" t="str">
        <f>IF(Umse!$C$24=0,"",IF(OR($A$1="3.1.",$A$1="3.2."),'VKr Tab'!C469,IF(OR($A$1="3.5.",$A$1="3.6."),'VKr Tab'!C490,IF(OR($A$1="3.9.",$A$1="3.10."),'VKr Tab'!C511,""))))</f>
        <v/>
      </c>
      <c r="N8" s="335" t="str">
        <f>IF(Umse!$C$24=0,"",IF(OR($A$1="3.1.",$A$1="3.2."),'VKr Tab'!D469,IF(OR($A$1="3.5.",$A$1="3.6."),'VKr Tab'!D490,IF(OR($A$1="3.9.",$A$1="3.10."),'VKr Tab'!D511,""))))</f>
        <v/>
      </c>
      <c r="O8" s="335" t="str">
        <f>IF(Umse!$C$24=0,"",IF(OR($A$1="3.1.",$A$1="3.2."),'VKr Tab'!E469,IF(OR($A$1="3.5.",$A$1="3.6."),'VKr Tab'!E490,IF(OR($A$1="3.9.",$A$1="3.10."),'VKr Tab'!E511,""))))</f>
        <v/>
      </c>
      <c r="P8" s="335" t="str">
        <f>IF(Umse!$C$24=0,"",IF(OR($A$1="3.1.",$A$1="3.2."),'VKr Tab'!F469,IF(OR($A$1="3.5.",$A$1="3.6."),'VKr Tab'!F490,IF(OR($A$1="3.9.",$A$1="3.10."),'VKr Tab'!F511,""))))</f>
        <v/>
      </c>
      <c r="Q8" s="335" t="str">
        <f>IF(Umse!$C$24=0,"",IF(OR($A$1="3.1.",$A$1="3.2."),'VKr Tab'!G469,IF(OR($A$1="3.5.",$A$1="3.6."),'VKr Tab'!G490,IF(OR($A$1="3.9.",$A$1="3.10."),'VKr Tab'!G511,""))))</f>
        <v/>
      </c>
      <c r="R8" s="335" t="str">
        <f>IF(Umse!$C$24=0,"",IF(OR($A$1="3.1.",$A$1="3.2."),'VKr Tab'!H469,IF(OR($A$1="3.5.",$A$1="3.6."),'VKr Tab'!H490,IF(OR($A$1="3.9.",$A$1="3.10."),'VKr Tab'!H511,""))))</f>
        <v/>
      </c>
      <c r="V8" s="332" t="s">
        <v>387</v>
      </c>
      <c r="W8" s="363">
        <v>11</v>
      </c>
    </row>
    <row r="9" spans="1:23">
      <c r="A9" s="338"/>
      <c r="B9" s="356" t="str">
        <f t="shared" si="2"/>
        <v/>
      </c>
      <c r="C9" s="357" t="str">
        <f t="shared" si="3"/>
        <v/>
      </c>
      <c r="D9" s="335" t="str">
        <f t="shared" si="4"/>
        <v/>
      </c>
      <c r="E9" s="335" t="str">
        <f t="shared" si="1"/>
        <v/>
      </c>
      <c r="F9" s="335" t="str">
        <f t="shared" si="1"/>
        <v/>
      </c>
      <c r="G9" s="335" t="str">
        <f t="shared" si="1"/>
        <v/>
      </c>
      <c r="H9" s="335" t="str">
        <f t="shared" si="1"/>
        <v/>
      </c>
      <c r="I9" s="335" t="str">
        <f t="shared" si="1"/>
        <v/>
      </c>
      <c r="J9" s="333" t="str">
        <f>IF(OR(Umse!$C$24=0,$A$1=0),"",IF(Umse!B11="3.2.","",""))</f>
        <v/>
      </c>
      <c r="K9" s="356" t="str">
        <f>IF(Umse!$C$24=0,"",IF(OR($A$1="3.1.",$A$1="3.2.",$A$1="3.5.",$A$1="3.6.",$A$1="3.9.",$A$1="3.10."),V9,""))</f>
        <v/>
      </c>
      <c r="L9" s="357" t="str">
        <f>IF(Umse!$C$24=0,"",IF(OR($A$1="3.1.",$A$1="3.2.",$A$1="3.5.",$A$1="3.6.",$A$1="3.9.",$A$1="3.10."),W9,""))</f>
        <v/>
      </c>
      <c r="M9" s="335" t="str">
        <f>IF(Umse!$C$24=0,"",IF(OR($A$1="3.1.",$A$1="3.2."),'VKr Tab'!C470,IF(OR($A$1="3.5.",$A$1="3.6."),'VKr Tab'!C491,IF(OR($A$1="3.9.",$A$1="3.10."),'VKr Tab'!C512,""))))</f>
        <v/>
      </c>
      <c r="N9" s="335" t="str">
        <f>IF(Umse!$C$24=0,"",IF(OR($A$1="3.1.",$A$1="3.2."),'VKr Tab'!D470,IF(OR($A$1="3.5.",$A$1="3.6."),'VKr Tab'!D491,IF(OR($A$1="3.9.",$A$1="3.10."),'VKr Tab'!D512,""))))</f>
        <v/>
      </c>
      <c r="O9" s="335" t="str">
        <f>IF(Umse!$C$24=0,"",IF(OR($A$1="3.1.",$A$1="3.2."),'VKr Tab'!E470,IF(OR($A$1="3.5.",$A$1="3.6."),'VKr Tab'!E491,IF(OR($A$1="3.9.",$A$1="3.10."),'VKr Tab'!E512,""))))</f>
        <v/>
      </c>
      <c r="P9" s="335" t="str">
        <f>IF(Umse!$C$24=0,"",IF(OR($A$1="3.1.",$A$1="3.2."),'VKr Tab'!F470,IF(OR($A$1="3.5.",$A$1="3.6."),'VKr Tab'!F491,IF(OR($A$1="3.9.",$A$1="3.10."),'VKr Tab'!F512,""))))</f>
        <v/>
      </c>
      <c r="Q9" s="335" t="str">
        <f>IF(Umse!$C$24=0,"",IF(OR($A$1="3.1.",$A$1="3.2."),'VKr Tab'!G470,IF(OR($A$1="3.5.",$A$1="3.6."),'VKr Tab'!G491,IF(OR($A$1="3.9.",$A$1="3.10."),'VKr Tab'!G512,""))))</f>
        <v/>
      </c>
      <c r="R9" s="335" t="str">
        <f>IF(Umse!$C$24=0,"",IF(OR($A$1="3.1.",$A$1="3.2."),'VKr Tab'!H470,IF(OR($A$1="3.5.",$A$1="3.6."),'VKr Tab'!H491,IF(OR($A$1="3.9.",$A$1="3.10."),'VKr Tab'!H512,""))))</f>
        <v/>
      </c>
      <c r="S9" s="358"/>
      <c r="V9" s="332" t="s">
        <v>387</v>
      </c>
      <c r="W9" s="363">
        <v>10</v>
      </c>
    </row>
    <row r="10" spans="1:23">
      <c r="B10" s="356" t="str">
        <f t="shared" si="2"/>
        <v/>
      </c>
      <c r="C10" s="357" t="str">
        <f t="shared" si="3"/>
        <v/>
      </c>
      <c r="D10" s="335" t="str">
        <f t="shared" si="4"/>
        <v/>
      </c>
      <c r="E10" s="335" t="str">
        <f t="shared" si="1"/>
        <v/>
      </c>
      <c r="F10" s="335" t="str">
        <f t="shared" si="1"/>
        <v/>
      </c>
      <c r="G10" s="335" t="str">
        <f t="shared" si="1"/>
        <v/>
      </c>
      <c r="H10" s="335" t="str">
        <f t="shared" si="1"/>
        <v/>
      </c>
      <c r="I10" s="335" t="str">
        <f t="shared" si="1"/>
        <v/>
      </c>
      <c r="J10" s="328" t="str">
        <f>IF(OR(Umse!$C$24=0,$A$1=0),"",IF(Umse!B11="3.2.","",""))</f>
        <v/>
      </c>
      <c r="K10" s="356" t="str">
        <f>IF(Umse!$C$24=0,"",IF(OR($A$1="3.1.",$A$1="3.2.",$A$1="3.5.",$A$1="3.6.",$A$1="3.9.",$A$1="3.10."),V10,""))</f>
        <v/>
      </c>
      <c r="L10" s="357" t="str">
        <f>IF(Umse!$C$24=0,"",IF(OR($A$1="3.1.",$A$1="3.2.",$A$1="3.5.",$A$1="3.6.",$A$1="3.9.",$A$1="3.10."),W10,""))</f>
        <v/>
      </c>
      <c r="M10" s="335" t="str">
        <f>IF(Umse!$C$24=0,"",IF(OR($A$1="3.1.",$A$1="3.2."),'VKr Tab'!C471,IF(OR($A$1="3.5.",$A$1="3.6."),'VKr Tab'!C492,IF(OR($A$1="3.9.",$A$1="3.10."),'VKr Tab'!C513,""))))</f>
        <v/>
      </c>
      <c r="N10" s="335" t="str">
        <f>IF(Umse!$C$24=0,"",IF(OR($A$1="3.1.",$A$1="3.2."),'VKr Tab'!D471,IF(OR($A$1="3.5.",$A$1="3.6."),'VKr Tab'!D492,IF(OR($A$1="3.9.",$A$1="3.10."),'VKr Tab'!D513,""))))</f>
        <v/>
      </c>
      <c r="O10" s="335" t="str">
        <f>IF(Umse!$C$24=0,"",IF(OR($A$1="3.1.",$A$1="3.2."),'VKr Tab'!E471,IF(OR($A$1="3.5.",$A$1="3.6."),'VKr Tab'!E492,IF(OR($A$1="3.9.",$A$1="3.10."),'VKr Tab'!E513,""))))</f>
        <v/>
      </c>
      <c r="P10" s="335" t="str">
        <f>IF(Umse!$C$24=0,"",IF(OR($A$1="3.1.",$A$1="3.2."),'VKr Tab'!F471,IF(OR($A$1="3.5.",$A$1="3.6."),'VKr Tab'!F492,IF(OR($A$1="3.9.",$A$1="3.10."),'VKr Tab'!F513,""))))</f>
        <v/>
      </c>
      <c r="Q10" s="335" t="str">
        <f>IF(Umse!$C$24=0,"",IF(OR($A$1="3.1.",$A$1="3.2."),'VKr Tab'!G471,IF(OR($A$1="3.5.",$A$1="3.6."),'VKr Tab'!G492,IF(OR($A$1="3.9.",$A$1="3.10."),'VKr Tab'!G513,""))))</f>
        <v/>
      </c>
      <c r="R10" s="335" t="str">
        <f>IF(Umse!$C$24=0,"",IF(OR($A$1="3.1.",$A$1="3.2."),'VKr Tab'!H471,IF(OR($A$1="3.5.",$A$1="3.6."),'VKr Tab'!H492,IF(OR($A$1="3.9.",$A$1="3.10."),'VKr Tab'!H513,""))))</f>
        <v/>
      </c>
      <c r="S10" s="358"/>
      <c r="V10" s="332" t="s">
        <v>387</v>
      </c>
      <c r="W10" s="363">
        <v>9</v>
      </c>
    </row>
    <row r="11" spans="1:23">
      <c r="B11" s="356" t="str">
        <f t="shared" si="2"/>
        <v/>
      </c>
      <c r="C11" s="357" t="str">
        <f t="shared" si="3"/>
        <v/>
      </c>
      <c r="D11" s="335" t="str">
        <f t="shared" si="4"/>
        <v/>
      </c>
      <c r="E11" s="335" t="str">
        <f t="shared" si="1"/>
        <v/>
      </c>
      <c r="F11" s="335" t="str">
        <f t="shared" si="1"/>
        <v/>
      </c>
      <c r="G11" s="335" t="str">
        <f t="shared" si="1"/>
        <v/>
      </c>
      <c r="H11" s="335" t="str">
        <f t="shared" si="1"/>
        <v/>
      </c>
      <c r="I11" s="335" t="str">
        <f t="shared" si="1"/>
        <v/>
      </c>
      <c r="J11" s="333" t="str">
        <f>IF(OR(Umse!$C$24=0,$A$1=0),"",IF(Umse!B11="3.2.","",""))</f>
        <v/>
      </c>
      <c r="K11" s="356" t="str">
        <f>IF(Umse!$C$24=0,"",IF(OR($A$1="3.1.",$A$1="3.2.",$A$1="3.5.",$A$1="3.6.",$A$1="3.9.",$A$1="3.10."),V11,""))</f>
        <v/>
      </c>
      <c r="L11" s="357" t="str">
        <f>IF(Umse!$C$24=0,"",IF(OR($A$1="3.1.",$A$1="3.2.",$A$1="3.5.",$A$1="3.6.",$A$1="3.9.",$A$1="3.10."),W11,""))</f>
        <v/>
      </c>
      <c r="M11" s="335" t="str">
        <f>IF(Umse!$C$24=0,"",IF(OR($A$1="3.1.",$A$1="3.2."),'VKr Tab'!C472,IF(OR($A$1="3.5.",$A$1="3.6."),'VKr Tab'!C493,IF(OR($A$1="3.9.",$A$1="3.10."),'VKr Tab'!C514,""))))</f>
        <v/>
      </c>
      <c r="N11" s="335" t="str">
        <f>IF(Umse!$C$24=0,"",IF(OR($A$1="3.1.",$A$1="3.2."),'VKr Tab'!D472,IF(OR($A$1="3.5.",$A$1="3.6."),'VKr Tab'!D493,IF(OR($A$1="3.9.",$A$1="3.10."),'VKr Tab'!D514,""))))</f>
        <v/>
      </c>
      <c r="O11" s="335" t="str">
        <f>IF(Umse!$C$24=0,"",IF(OR($A$1="3.1.",$A$1="3.2."),'VKr Tab'!E472,IF(OR($A$1="3.5.",$A$1="3.6."),'VKr Tab'!E493,IF(OR($A$1="3.9.",$A$1="3.10."),'VKr Tab'!E514,""))))</f>
        <v/>
      </c>
      <c r="P11" s="335" t="str">
        <f>IF(Umse!$C$24=0,"",IF(OR($A$1="3.1.",$A$1="3.2."),'VKr Tab'!F472,IF(OR($A$1="3.5.",$A$1="3.6."),'VKr Tab'!F493,IF(OR($A$1="3.9.",$A$1="3.10."),'VKr Tab'!F514,""))))</f>
        <v/>
      </c>
      <c r="Q11" s="335" t="str">
        <f>IF(Umse!$C$24=0,"",IF(OR($A$1="3.1.",$A$1="3.2."),'VKr Tab'!G472,IF(OR($A$1="3.5.",$A$1="3.6."),'VKr Tab'!G493,IF(OR($A$1="3.9.",$A$1="3.10."),'VKr Tab'!G514,""))))</f>
        <v/>
      </c>
      <c r="R11" s="335" t="str">
        <f>IF(Umse!$C$24=0,"",IF(OR($A$1="3.1.",$A$1="3.2."),'VKr Tab'!H472,IF(OR($A$1="3.5.",$A$1="3.6."),'VKr Tab'!H493,IF(OR($A$1="3.9.",$A$1="3.10."),'VKr Tab'!H514,""))))</f>
        <v/>
      </c>
      <c r="S11" s="346"/>
      <c r="V11" s="332" t="s">
        <v>387</v>
      </c>
      <c r="W11" s="363">
        <v>8</v>
      </c>
    </row>
    <row r="12" spans="1:23">
      <c r="B12" s="356" t="str">
        <f t="shared" si="2"/>
        <v/>
      </c>
      <c r="C12" s="357" t="str">
        <f t="shared" si="3"/>
        <v/>
      </c>
      <c r="D12" s="335" t="str">
        <f t="shared" si="4"/>
        <v/>
      </c>
      <c r="E12" s="335" t="str">
        <f t="shared" si="1"/>
        <v/>
      </c>
      <c r="F12" s="335" t="str">
        <f t="shared" si="1"/>
        <v/>
      </c>
      <c r="G12" s="335" t="str">
        <f t="shared" si="1"/>
        <v/>
      </c>
      <c r="H12" s="335" t="str">
        <f t="shared" si="1"/>
        <v/>
      </c>
      <c r="I12" s="335" t="str">
        <f t="shared" si="1"/>
        <v/>
      </c>
      <c r="J12" s="333" t="str">
        <f>""</f>
        <v/>
      </c>
      <c r="K12" s="356" t="str">
        <f>IF(Umse!$C$24=0,"",IF(OR($A$1="3.1.",$A$1="3.2.",$A$1="3.5.",$A$1="3.6.",$A$1="3.9.",$A$1="3.10."),V12,""))</f>
        <v/>
      </c>
      <c r="L12" s="357" t="str">
        <f>IF(Umse!$C$24=0,"",IF(OR($A$1="3.1.",$A$1="3.2.",$A$1="3.5.",$A$1="3.6.",$A$1="3.9.",$A$1="3.10."),W12,""))</f>
        <v/>
      </c>
      <c r="M12" s="335" t="str">
        <f>IF(Umse!$C$24=0,"",IF(OR($A$1="3.1.",$A$1="3.2."),'VKr Tab'!C473,IF(OR($A$1="3.5.",$A$1="3.6."),'VKr Tab'!C494,IF(OR($A$1="3.9.",$A$1="3.10."),'VKr Tab'!C515,""))))</f>
        <v/>
      </c>
      <c r="N12" s="335" t="str">
        <f>IF(Umse!$C$24=0,"",IF(OR($A$1="3.1.",$A$1="3.2."),'VKr Tab'!D473,IF(OR($A$1="3.5.",$A$1="3.6."),'VKr Tab'!D494,IF(OR($A$1="3.9.",$A$1="3.10."),'VKr Tab'!D515,""))))</f>
        <v/>
      </c>
      <c r="O12" s="335" t="str">
        <f>IF(Umse!$C$24=0,"",IF(OR($A$1="3.1.",$A$1="3.2."),'VKr Tab'!E473,IF(OR($A$1="3.5.",$A$1="3.6."),'VKr Tab'!E494,IF(OR($A$1="3.9.",$A$1="3.10."),'VKr Tab'!E515,""))))</f>
        <v/>
      </c>
      <c r="P12" s="335" t="str">
        <f>IF(Umse!$C$24=0,"",IF(OR($A$1="3.1.",$A$1="3.2."),'VKr Tab'!F473,IF(OR($A$1="3.5.",$A$1="3.6."),'VKr Tab'!F494,IF(OR($A$1="3.9.",$A$1="3.10."),'VKr Tab'!F515,""))))</f>
        <v/>
      </c>
      <c r="Q12" s="335" t="str">
        <f>IF(Umse!$C$24=0,"",IF(OR($A$1="3.1.",$A$1="3.2."),'VKr Tab'!G473,IF(OR($A$1="3.5.",$A$1="3.6."),'VKr Tab'!G494,IF(OR($A$1="3.9.",$A$1="3.10."),'VKr Tab'!G515,""))))</f>
        <v/>
      </c>
      <c r="R12" s="335" t="str">
        <f>IF(Umse!$C$24=0,"",IF(OR($A$1="3.1.",$A$1="3.2."),'VKr Tab'!H473,IF(OR($A$1="3.5.",$A$1="3.6."),'VKr Tab'!H494,IF(OR($A$1="3.9.",$A$1="3.10."),'VKr Tab'!H515,""))))</f>
        <v/>
      </c>
      <c r="S12" s="359"/>
      <c r="V12" s="332" t="s">
        <v>387</v>
      </c>
      <c r="W12" s="363">
        <v>7</v>
      </c>
    </row>
    <row r="13" spans="1:23">
      <c r="B13" s="356" t="str">
        <f t="shared" si="2"/>
        <v/>
      </c>
      <c r="C13" s="357" t="str">
        <f t="shared" si="3"/>
        <v/>
      </c>
      <c r="D13" s="335" t="str">
        <f t="shared" si="4"/>
        <v/>
      </c>
      <c r="E13" s="335" t="str">
        <f t="shared" si="1"/>
        <v/>
      </c>
      <c r="F13" s="335" t="str">
        <f t="shared" si="1"/>
        <v/>
      </c>
      <c r="G13" s="335" t="str">
        <f t="shared" si="1"/>
        <v/>
      </c>
      <c r="H13" s="335" t="str">
        <f t="shared" si="1"/>
        <v/>
      </c>
      <c r="I13" s="335" t="str">
        <f t="shared" si="1"/>
        <v/>
      </c>
      <c r="J13" s="333" t="str">
        <f>""</f>
        <v/>
      </c>
      <c r="K13" s="356" t="str">
        <f>IF(Umse!$C$24=0,"",IF(OR($A$1="3.1.",$A$1="3.2.",$A$1="3.5.",$A$1="3.6.",$A$1="3.9.",$A$1="3.10."),V13,""))</f>
        <v/>
      </c>
      <c r="L13" s="357" t="str">
        <f>IF(Umse!$C$24=0,"",IF(OR($A$1="3.1.",$A$1="3.2.",$A$1="3.5.",$A$1="3.6.",$A$1="3.9.",$A$1="3.10."),W13,""))</f>
        <v/>
      </c>
      <c r="M13" s="335" t="str">
        <f>IF(Umse!$C$24=0,"",IF(OR($A$1="3.1.",$A$1="3.2."),'VKr Tab'!C474,IF(OR($A$1="3.5.",$A$1="3.6."),'VKr Tab'!C495,IF(OR($A$1="3.9.",$A$1="3.10."),'VKr Tab'!C516,""))))</f>
        <v/>
      </c>
      <c r="N13" s="335" t="str">
        <f>IF(Umse!$C$24=0,"",IF(OR($A$1="3.1.",$A$1="3.2."),'VKr Tab'!D474,IF(OR($A$1="3.5.",$A$1="3.6."),'VKr Tab'!D495,IF(OR($A$1="3.9.",$A$1="3.10."),'VKr Tab'!D516,""))))</f>
        <v/>
      </c>
      <c r="O13" s="335" t="str">
        <f>IF(Umse!$C$24=0,"",IF(OR($A$1="3.1.",$A$1="3.2."),'VKr Tab'!E474,IF(OR($A$1="3.5.",$A$1="3.6."),'VKr Tab'!E495,IF(OR($A$1="3.9.",$A$1="3.10."),'VKr Tab'!E516,""))))</f>
        <v/>
      </c>
      <c r="P13" s="335" t="str">
        <f>IF(Umse!$C$24=0,"",IF(OR($A$1="3.1.",$A$1="3.2."),'VKr Tab'!F474,IF(OR($A$1="3.5.",$A$1="3.6."),'VKr Tab'!F495,IF(OR($A$1="3.9.",$A$1="3.10."),'VKr Tab'!F516,""))))</f>
        <v/>
      </c>
      <c r="Q13" s="335" t="str">
        <f>IF(Umse!$C$24=0,"",IF(OR($A$1="3.1.",$A$1="3.2."),'VKr Tab'!G474,IF(OR($A$1="3.5.",$A$1="3.6."),'VKr Tab'!G495,IF(OR($A$1="3.9.",$A$1="3.10."),'VKr Tab'!G516,""))))</f>
        <v/>
      </c>
      <c r="R13" s="335" t="str">
        <f>IF(Umse!$C$24=0,"",IF(OR($A$1="3.1.",$A$1="3.2."),'VKr Tab'!H474,IF(OR($A$1="3.5.",$A$1="3.6."),'VKr Tab'!H495,IF(OR($A$1="3.9.",$A$1="3.10."),'VKr Tab'!H516,""))))</f>
        <v/>
      </c>
      <c r="S13" s="359"/>
      <c r="V13" s="332" t="s">
        <v>387</v>
      </c>
      <c r="W13" s="363">
        <v>6</v>
      </c>
    </row>
    <row r="14" spans="1:23">
      <c r="B14" s="356" t="str">
        <f t="shared" si="2"/>
        <v/>
      </c>
      <c r="C14" s="357" t="str">
        <f t="shared" si="3"/>
        <v/>
      </c>
      <c r="D14" s="335" t="str">
        <f t="shared" si="4"/>
        <v/>
      </c>
      <c r="E14" s="335" t="str">
        <f t="shared" si="1"/>
        <v/>
      </c>
      <c r="F14" s="335" t="str">
        <f t="shared" si="1"/>
        <v/>
      </c>
      <c r="G14" s="335" t="str">
        <f t="shared" si="1"/>
        <v/>
      </c>
      <c r="H14" s="335" t="str">
        <f t="shared" si="1"/>
        <v/>
      </c>
      <c r="I14" s="335" t="str">
        <f t="shared" si="1"/>
        <v/>
      </c>
      <c r="J14" s="333" t="str">
        <f>""</f>
        <v/>
      </c>
      <c r="K14" s="356" t="str">
        <f>IF(Umse!$C$24=0,"",IF(OR($A$1="3.1.",$A$1="3.2.",$A$1="3.5.",$A$1="3.6.",$A$1="3.9.",$A$1="3.10."),V14,""))</f>
        <v/>
      </c>
      <c r="L14" s="357" t="str">
        <f>IF(Umse!$C$24=0,"",IF(OR($A$1="3.1.",$A$1="3.2.",$A$1="3.5.",$A$1="3.6.",$A$1="3.9.",$A$1="3.10."),W14,""))</f>
        <v/>
      </c>
      <c r="M14" s="335" t="str">
        <f>IF(Umse!$C$24=0,"",IF(OR($A$1="3.1.",$A$1="3.2."),'VKr Tab'!C475,IF(OR($A$1="3.5.",$A$1="3.6."),'VKr Tab'!C496,IF(OR($A$1="3.9.",$A$1="3.10."),'VKr Tab'!C517,""))))</f>
        <v/>
      </c>
      <c r="N14" s="335" t="str">
        <f>IF(Umse!$C$24=0,"",IF(OR($A$1="3.1.",$A$1="3.2."),'VKr Tab'!D475,IF(OR($A$1="3.5.",$A$1="3.6."),'VKr Tab'!D496,IF(OR($A$1="3.9.",$A$1="3.10."),'VKr Tab'!D517,""))))</f>
        <v/>
      </c>
      <c r="O14" s="335" t="str">
        <f>IF(Umse!$C$24=0,"",IF(OR($A$1="3.1.",$A$1="3.2."),'VKr Tab'!E475,IF(OR($A$1="3.5.",$A$1="3.6."),'VKr Tab'!E496,IF(OR($A$1="3.9.",$A$1="3.10."),'VKr Tab'!E517,""))))</f>
        <v/>
      </c>
      <c r="P14" s="335" t="str">
        <f>IF(Umse!$C$24=0,"",IF(OR($A$1="3.1.",$A$1="3.2."),'VKr Tab'!F475,IF(OR($A$1="3.5.",$A$1="3.6."),'VKr Tab'!F496,IF(OR($A$1="3.9.",$A$1="3.10."),'VKr Tab'!F517,""))))</f>
        <v/>
      </c>
      <c r="Q14" s="335" t="str">
        <f>IF(Umse!$C$24=0,"",IF(OR($A$1="3.1.",$A$1="3.2."),'VKr Tab'!G475,IF(OR($A$1="3.5.",$A$1="3.6."),'VKr Tab'!G496,IF(OR($A$1="3.9.",$A$1="3.10."),'VKr Tab'!G517,""))))</f>
        <v/>
      </c>
      <c r="R14" s="335" t="str">
        <f>IF(Umse!$C$24=0,"",IF(OR($A$1="3.1.",$A$1="3.2."),'VKr Tab'!H475,IF(OR($A$1="3.5.",$A$1="3.6."),'VKr Tab'!H496,IF(OR($A$1="3.9.",$A$1="3.10."),'VKr Tab'!H517,""))))</f>
        <v/>
      </c>
      <c r="S14" s="359"/>
      <c r="V14" s="332" t="s">
        <v>387</v>
      </c>
      <c r="W14" s="363">
        <v>5</v>
      </c>
    </row>
    <row r="15" spans="1:23">
      <c r="B15" s="356"/>
      <c r="C15" s="356"/>
      <c r="D15" s="361"/>
      <c r="E15" s="361"/>
      <c r="F15" s="361"/>
      <c r="G15" s="361"/>
      <c r="H15" s="361"/>
      <c r="I15" s="361"/>
      <c r="J15" s="333" t="str">
        <f>""</f>
        <v/>
      </c>
      <c r="K15" s="356"/>
      <c r="L15" s="356"/>
      <c r="M15" s="334"/>
      <c r="N15" s="334"/>
      <c r="O15" s="334"/>
      <c r="P15" s="334"/>
      <c r="Q15" s="334"/>
      <c r="R15" s="334"/>
      <c r="S15" s="359"/>
      <c r="V15" s="332"/>
      <c r="W15" s="363"/>
    </row>
    <row r="16" spans="1:23">
      <c r="B16" s="356"/>
      <c r="C16" s="356"/>
      <c r="D16" s="361"/>
      <c r="E16" s="361"/>
      <c r="F16" s="361"/>
      <c r="G16" s="361"/>
      <c r="H16" s="361"/>
      <c r="I16" s="361"/>
      <c r="J16" s="333" t="str">
        <f>""</f>
        <v/>
      </c>
      <c r="K16" s="356"/>
      <c r="L16" s="356"/>
      <c r="M16" s="334"/>
      <c r="N16" s="334"/>
      <c r="O16" s="334"/>
      <c r="P16" s="334"/>
      <c r="Q16" s="334"/>
      <c r="R16" s="334"/>
      <c r="S16" s="359"/>
      <c r="V16" s="332"/>
      <c r="W16" s="363"/>
    </row>
    <row r="17" spans="2:27">
      <c r="B17" s="356"/>
      <c r="C17" s="356"/>
      <c r="D17" s="361"/>
      <c r="E17" s="361"/>
      <c r="F17" s="361"/>
      <c r="G17" s="361"/>
      <c r="H17" s="361"/>
      <c r="I17" s="361"/>
      <c r="J17" s="333" t="str">
        <f>""</f>
        <v/>
      </c>
      <c r="K17" s="356"/>
      <c r="L17" s="356"/>
      <c r="M17" s="334"/>
      <c r="N17" s="334"/>
      <c r="O17" s="334"/>
      <c r="P17" s="334"/>
      <c r="Q17" s="334"/>
      <c r="R17" s="334"/>
      <c r="S17" s="359"/>
      <c r="V17" s="332"/>
      <c r="W17" s="363"/>
    </row>
    <row r="18" spans="2:27">
      <c r="B18" s="332"/>
      <c r="C18" s="332"/>
      <c r="D18" s="361"/>
      <c r="E18" s="361"/>
      <c r="F18" s="361"/>
      <c r="G18" s="361"/>
      <c r="H18" s="361"/>
      <c r="I18" s="361"/>
      <c r="J18" s="333" t="str">
        <f>""</f>
        <v/>
      </c>
      <c r="K18" s="356"/>
      <c r="L18" s="356"/>
      <c r="M18" s="334"/>
      <c r="N18" s="334"/>
      <c r="O18" s="334"/>
      <c r="P18" s="334"/>
      <c r="Q18" s="334"/>
      <c r="R18" s="334"/>
      <c r="S18" s="359"/>
      <c r="V18" s="332"/>
      <c r="W18" s="363"/>
    </row>
    <row r="19" spans="2:27">
      <c r="B19" s="332"/>
      <c r="C19" s="332"/>
      <c r="D19" s="361"/>
      <c r="E19" s="361"/>
      <c r="F19" s="361"/>
      <c r="G19" s="361"/>
      <c r="H19" s="361"/>
      <c r="I19" s="361"/>
      <c r="J19" s="333" t="str">
        <f>""</f>
        <v/>
      </c>
      <c r="K19" s="356"/>
      <c r="L19" s="356"/>
      <c r="M19" s="334"/>
      <c r="N19" s="334"/>
      <c r="O19" s="334"/>
      <c r="P19" s="334"/>
      <c r="Q19" s="334"/>
      <c r="R19" s="334"/>
      <c r="S19" s="328"/>
      <c r="V19" s="332"/>
      <c r="W19" s="363"/>
    </row>
    <row r="20" spans="2:27">
      <c r="B20" s="332"/>
      <c r="C20" s="332"/>
      <c r="D20" s="361"/>
      <c r="E20" s="361"/>
      <c r="F20" s="361"/>
      <c r="G20" s="361"/>
      <c r="H20" s="361"/>
      <c r="I20" s="361"/>
      <c r="J20" s="333" t="str">
        <f>""</f>
        <v/>
      </c>
      <c r="K20" s="356"/>
      <c r="L20" s="356"/>
      <c r="M20" s="334"/>
      <c r="N20" s="334"/>
      <c r="O20" s="334"/>
      <c r="P20" s="334"/>
      <c r="Q20" s="334"/>
      <c r="R20" s="334"/>
      <c r="S20" s="328"/>
      <c r="V20" s="332"/>
      <c r="W20" s="363"/>
    </row>
    <row r="21" spans="2:27">
      <c r="J21" s="328" t="str">
        <f>""</f>
        <v/>
      </c>
      <c r="K21" s="356"/>
      <c r="L21" s="356"/>
      <c r="M21" s="334"/>
      <c r="N21" s="334"/>
      <c r="O21" s="334"/>
      <c r="P21" s="334"/>
      <c r="Q21" s="334"/>
      <c r="R21" s="334"/>
      <c r="S21" s="328"/>
      <c r="V21" s="332"/>
      <c r="W21" s="363"/>
      <c r="X21" s="431"/>
      <c r="Y21" s="431"/>
      <c r="Z21" s="431"/>
      <c r="AA21" s="431"/>
    </row>
    <row r="22" spans="2:27">
      <c r="B22" s="324"/>
      <c r="C22" s="325"/>
      <c r="D22" s="326" t="str">
        <f>IF(A1=0,"","Zeitzuschläge")</f>
        <v>Zeitzuschläge</v>
      </c>
      <c r="E22" s="325"/>
      <c r="F22" s="325"/>
      <c r="G22" s="325"/>
      <c r="H22" s="325"/>
      <c r="I22" s="327"/>
      <c r="K22" s="356"/>
      <c r="L22" s="356"/>
      <c r="M22" s="334"/>
      <c r="N22" s="334"/>
      <c r="O22" s="334"/>
      <c r="P22" s="334"/>
      <c r="Q22" s="334"/>
      <c r="R22" s="334"/>
      <c r="S22" s="328"/>
    </row>
    <row r="23" spans="2:27" ht="12.75" customHeight="1">
      <c r="B23" s="677" t="s">
        <v>192</v>
      </c>
      <c r="C23" s="678"/>
      <c r="D23" s="688" t="s">
        <v>512</v>
      </c>
      <c r="E23" s="690" t="str">
        <f>IF(OR(Umse!$B$11="3.1.",Umse!$B$11="3.2."),
"Nachtarbeit ( 21 - 06 Uhr )
Samstagsarbeit ( 13 - 21 Uhr ):
0,64 € Festbetrag bis Feb 2021","Nachtarbeit ( 21 - 06 Uhr )
Samstagsarbeit ( 13 - 21 Uhr )")</f>
        <v>Nachtarbeit ( 21 - 06 Uhr )
Samstagsarbeit ( 13 - 21 Uhr )</v>
      </c>
      <c r="F23" s="687" t="s">
        <v>21</v>
      </c>
      <c r="G23" s="683" t="s">
        <v>190</v>
      </c>
      <c r="H23" s="683" t="s">
        <v>191</v>
      </c>
      <c r="I23" s="687" t="s">
        <v>393</v>
      </c>
      <c r="K23" s="356"/>
      <c r="L23" s="356"/>
      <c r="M23" s="334"/>
      <c r="N23" s="334"/>
      <c r="O23" s="334"/>
      <c r="P23" s="334"/>
      <c r="Q23" s="334"/>
      <c r="R23" s="334"/>
      <c r="S23" s="328"/>
    </row>
    <row r="24" spans="2:27" ht="11.25" customHeight="1">
      <c r="B24" s="679"/>
      <c r="C24" s="680"/>
      <c r="D24" s="688"/>
      <c r="E24" s="690"/>
      <c r="F24" s="687"/>
      <c r="G24" s="683"/>
      <c r="H24" s="683"/>
      <c r="I24" s="687"/>
      <c r="K24" s="356"/>
      <c r="L24" s="356"/>
      <c r="M24" s="334"/>
      <c r="N24" s="334"/>
      <c r="O24" s="334"/>
      <c r="P24" s="334"/>
      <c r="Q24" s="334"/>
      <c r="R24" s="334"/>
      <c r="S24" s="328"/>
    </row>
    <row r="25" spans="2:27" ht="11.25" customHeight="1">
      <c r="B25" s="679"/>
      <c r="C25" s="680"/>
      <c r="D25" s="688"/>
      <c r="E25" s="690"/>
      <c r="F25" s="687"/>
      <c r="G25" s="683"/>
      <c r="H25" s="683"/>
      <c r="I25" s="687"/>
      <c r="K25" s="356"/>
      <c r="L25" s="356"/>
      <c r="M25" s="334"/>
      <c r="N25" s="334"/>
      <c r="O25" s="334"/>
      <c r="P25" s="334"/>
      <c r="Q25" s="334"/>
      <c r="R25" s="334"/>
      <c r="S25" s="328"/>
    </row>
    <row r="26" spans="2:27" ht="11.25" customHeight="1">
      <c r="B26" s="679"/>
      <c r="C26" s="680"/>
      <c r="D26" s="688"/>
      <c r="E26" s="690"/>
      <c r="F26" s="687"/>
      <c r="G26" s="683"/>
      <c r="H26" s="683"/>
      <c r="I26" s="687"/>
      <c r="K26" s="356"/>
      <c r="L26" s="356"/>
      <c r="M26" s="334"/>
      <c r="N26" s="334"/>
      <c r="O26" s="334"/>
      <c r="P26" s="334"/>
      <c r="Q26" s="334"/>
      <c r="R26" s="334"/>
      <c r="S26" s="328"/>
    </row>
    <row r="27" spans="2:27" ht="11.25" customHeight="1">
      <c r="B27" s="679"/>
      <c r="C27" s="680"/>
      <c r="D27" s="688"/>
      <c r="E27" s="690"/>
      <c r="F27" s="687"/>
      <c r="G27" s="683"/>
      <c r="H27" s="683"/>
      <c r="I27" s="687"/>
      <c r="K27" s="356"/>
      <c r="L27" s="356"/>
      <c r="M27" s="334"/>
      <c r="N27" s="334"/>
      <c r="O27" s="334"/>
      <c r="P27" s="334"/>
      <c r="Q27" s="334"/>
      <c r="R27" s="334"/>
      <c r="S27" s="328"/>
    </row>
    <row r="28" spans="2:27" ht="11.25" customHeight="1">
      <c r="B28" s="679"/>
      <c r="C28" s="680"/>
      <c r="D28" s="688"/>
      <c r="E28" s="690"/>
      <c r="F28" s="687"/>
      <c r="G28" s="683"/>
      <c r="H28" s="683"/>
      <c r="I28" s="687"/>
      <c r="K28" s="332"/>
      <c r="L28" s="332"/>
      <c r="M28" s="334"/>
      <c r="N28" s="334"/>
      <c r="O28" s="334"/>
      <c r="P28" s="334"/>
      <c r="Q28" s="334"/>
      <c r="R28" s="334"/>
      <c r="S28" s="328"/>
    </row>
    <row r="29" spans="2:27" ht="11.25" customHeight="1">
      <c r="B29" s="679"/>
      <c r="C29" s="680"/>
      <c r="D29" s="688"/>
      <c r="E29" s="690"/>
      <c r="F29" s="687"/>
      <c r="G29" s="683"/>
      <c r="H29" s="683"/>
      <c r="I29" s="687"/>
      <c r="K29" s="332"/>
      <c r="L29" s="332"/>
      <c r="M29" s="334"/>
      <c r="N29" s="334"/>
      <c r="O29" s="334"/>
      <c r="P29" s="334"/>
      <c r="Q29" s="334"/>
      <c r="R29" s="334"/>
      <c r="S29" s="328"/>
    </row>
    <row r="30" spans="2:27" ht="11.25" customHeight="1">
      <c r="B30" s="679"/>
      <c r="C30" s="680"/>
      <c r="D30" s="688"/>
      <c r="E30" s="690"/>
      <c r="F30" s="687"/>
      <c r="G30" s="683"/>
      <c r="H30" s="683"/>
      <c r="I30" s="687"/>
      <c r="K30" s="332"/>
      <c r="L30" s="332"/>
      <c r="M30" s="334"/>
      <c r="N30" s="334"/>
      <c r="O30" s="334"/>
      <c r="P30" s="334"/>
      <c r="Q30" s="334"/>
      <c r="R30" s="334"/>
      <c r="S30" s="328"/>
    </row>
    <row r="31" spans="2:27" ht="11.25" customHeight="1">
      <c r="B31" s="679"/>
      <c r="C31" s="680"/>
      <c r="D31" s="688"/>
      <c r="E31" s="690"/>
      <c r="F31" s="687"/>
      <c r="G31" s="683"/>
      <c r="H31" s="683"/>
      <c r="I31" s="687"/>
    </row>
    <row r="32" spans="2:27" ht="11.25" customHeight="1">
      <c r="B32" s="679"/>
      <c r="C32" s="680"/>
      <c r="D32" s="688"/>
      <c r="E32" s="690"/>
      <c r="F32" s="687"/>
      <c r="G32" s="683"/>
      <c r="H32" s="683"/>
      <c r="I32" s="687"/>
      <c r="K32" s="433"/>
      <c r="L32" s="434"/>
      <c r="M32" s="434" t="str">
        <f>IF(A1=0,"","Bereitschaftsdienst ( Stunde = 100 % )")</f>
        <v>Bereitschaftsdienst ( Stunde = 100 % )</v>
      </c>
      <c r="N32" s="434"/>
      <c r="O32" s="434"/>
      <c r="P32" s="434"/>
      <c r="Q32" s="434"/>
      <c r="R32" s="435" t="str">
        <f>IF(A1=0,"","Anl G III § 46 Abs 4 BT-K")</f>
        <v>Anl G III § 46 Abs 4 BT-K</v>
      </c>
    </row>
    <row r="33" spans="1:18" ht="16.5">
      <c r="A33" s="328" t="s">
        <v>9</v>
      </c>
      <c r="B33" s="354" t="str">
        <f>B2</f>
        <v/>
      </c>
      <c r="C33" s="331"/>
      <c r="D33" s="349" t="s">
        <v>221</v>
      </c>
      <c r="E33" s="376">
        <v>0.2</v>
      </c>
      <c r="F33" s="350">
        <v>0.25</v>
      </c>
      <c r="G33" s="350">
        <v>0.35</v>
      </c>
      <c r="H33" s="350">
        <v>1.35</v>
      </c>
      <c r="I33" s="350">
        <v>0.35</v>
      </c>
      <c r="K33" s="436" t="str">
        <f>IF(Umse!$C$24=0,"",IF(OR($A$1="3.1.",$A$1="3.2.",$A$1="3.5.",$A$1="3.6.",$A$1="3.9.",$A$1="3.10."),'KrBe Tab'!A5,""))</f>
        <v/>
      </c>
      <c r="L33" s="437"/>
      <c r="M33" s="437" t="str">
        <f>IF(Umse!$C$24=0,"",IF(OR($A$1="3.1.",$A$1="3.2.",$A$1="3.5.",$A$1="3.6.",$A$1="3.9.",$A$1="3.10."),'KrBe Tab'!C5,""))</f>
        <v/>
      </c>
      <c r="N33" s="437" t="str">
        <f>IF(Umse!$C$24=0,"",IF(OR($A$1="3.1.",$A$1="3.2."),'KrBe Tab'!D5,""))</f>
        <v/>
      </c>
      <c r="O33" s="437" t="str">
        <f>IF(Umse!$C$24=0,"",IF(OR($A$1="3.1.",$A$1="3.2."),'KrBe Tab'!E5,""))</f>
        <v/>
      </c>
      <c r="P33" s="437" t="str">
        <f>IF(Umse!$C$24=0,"",IF(OR($A$1="3.1.",$A$1="3.2."),'KrBe Tab'!F5,""))</f>
        <v/>
      </c>
      <c r="Q33" s="437" t="str">
        <f>IF(Umse!$C$24=0,"",IF(OR($A$1="3.1.",$A$1="3.2."),'KrBe Tab'!G5,""))</f>
        <v/>
      </c>
      <c r="R33" s="437" t="str">
        <f>IF(Umse!$C$24=0,"",IF(OR($A$1="3.1.",$A$1="3.2.",$A$1="3.5.",$A$1="3.6.",$A$1="3.9.",$A$1="3.10."),'KrBe Tab'!H5,""))</f>
        <v/>
      </c>
    </row>
    <row r="34" spans="1:18">
      <c r="A34" s="328" t="str">
        <f>IF(O3="-","-",IF(O3="","",FIXED(ROUND(O3/$A$5,2),2)))</f>
        <v/>
      </c>
      <c r="B34" s="356" t="str">
        <f>B3</f>
        <v/>
      </c>
      <c r="C34" s="357" t="str">
        <f>C3</f>
        <v/>
      </c>
      <c r="D34" s="432" t="str">
        <f>IF(A34="","",ROUND(A34*0.15,2))</f>
        <v/>
      </c>
      <c r="E34" s="343" t="str">
        <f>IF(A34="","",IF(OR(Umse!$B$11="3.1.",Umse!$B$11="3.2."),FIXED(ROUND(A34*0.2,2))&amp;"    "&amp;"0,64",FIXED(ROUND(A34*0.2,2))))</f>
        <v/>
      </c>
      <c r="F34" s="343" t="str">
        <f>IF(A34="","",ROUND(A34*$F$33,2))</f>
        <v/>
      </c>
      <c r="G34" s="343" t="str">
        <f>IF(A34="","",ROUND(A34*$G$33,2))</f>
        <v/>
      </c>
      <c r="H34" s="343" t="str">
        <f>IF(A34="","",ROUND(A34*$H$33,2))</f>
        <v/>
      </c>
      <c r="I34" s="343" t="str">
        <f>IF(A34="","",ROUND(A34*$I$33,2))</f>
        <v/>
      </c>
      <c r="K34" s="436" t="str">
        <f>IF(Umse!$C$24=0,"",IF(OR($A$1="3.1.",$A$1="3.2.",$A$1="3.5.",$A$1="3.6.",$A$1="3.9.",$A$1="3.10."),'KrBe Tab'!A6,""))</f>
        <v/>
      </c>
      <c r="L34" s="436" t="str">
        <f>IF(Umse!$C$24=0,"",IF(OR($A$1="3.1.",$A$1="3.2.",$A$1="3.5.",$A$1="3.6.",$A$1="3.9.",$A$1="3.10."),'KrBe Tab'!B6,""))</f>
        <v/>
      </c>
      <c r="M34" s="437" t="str">
        <f>IF(Umse!$C$24=0,"",IF(OR($A$1="3.1.",$A$1="3.2.",$A$1="3.5.",$A$1="3.6.",$A$1="3.9.",$A$1="3.10."),'KrBe Tab'!C6,""))</f>
        <v/>
      </c>
      <c r="N34" s="437" t="str">
        <f>IF(Umse!$C$24=0,"",IF(OR($A$1="3.1.",$A$1="3.2.",$A$1="3.5.",$A$1="3.6.",$A$1="3.9.",$A$1="3.10."),'KrBe Tab'!D6,""))</f>
        <v/>
      </c>
      <c r="O34" s="437" t="str">
        <f>IF(Umse!$C$24=0,"",IF(OR($A$1="3.1.",$A$1="3.2.",$A$1="3.5.",$A$1="3.6.",$A$1="3.9.",$A$1="3.10."),'KrBe Tab'!E6,""))</f>
        <v/>
      </c>
      <c r="P34" s="437" t="str">
        <f>IF(Umse!$C$24=0,"",IF(OR($A$1="3.1.",$A$1="3.2.",$A$1="3.5.",$A$1="3.6.",$A$1="3.9.",$A$1="3.10."),'KrBe Tab'!F6,""))</f>
        <v/>
      </c>
      <c r="Q34" s="437" t="str">
        <f>IF(Umse!$C$24=0,"",IF(OR($A$1="3.1.",$A$1="3.2.",$A$1="3.5.",$A$1="3.6.",$A$1="3.9.",$A$1="3.10."),'KrBe Tab'!G6,""))</f>
        <v/>
      </c>
      <c r="R34" s="437" t="str">
        <f>IF(Umse!$C$24=0,"",IF(OR($A$1="3.1.",$A$1="3.2.",$A$1="3.5.",$A$1="3.6.",$A$1="3.9.",$A$1="3.10."),'KrBe Tab'!H6,""))</f>
        <v/>
      </c>
    </row>
    <row r="35" spans="1:18">
      <c r="A35" s="328" t="str">
        <f>IF(O4="-","-",IF(O4="","",FIXED(ROUND(O4/$A$5,2),2)))</f>
        <v/>
      </c>
      <c r="B35" s="356" t="str">
        <f t="shared" ref="B35:C45" si="5">B4</f>
        <v/>
      </c>
      <c r="C35" s="357" t="str">
        <f t="shared" si="5"/>
        <v/>
      </c>
      <c r="D35" s="432" t="str">
        <f>IF(A35="","",ROUND(A35*0.15,2))</f>
        <v/>
      </c>
      <c r="E35" s="343" t="str">
        <f>IF(A35="","",IF(OR(Umse!$B$11="3.1.",Umse!$B$11="3.2."),FIXED(ROUND(A35*0.2,2))&amp;"    "&amp;"0,64",FIXED(ROUND(A35*0.2,2))))</f>
        <v/>
      </c>
      <c r="F35" s="343" t="str">
        <f t="shared" ref="F35:F45" si="6">IF(A35="","",ROUND(A35*$F$33,2))</f>
        <v/>
      </c>
      <c r="G35" s="343" t="str">
        <f t="shared" ref="G35:G45" si="7">IF(A35="","",ROUND(A35*$G$33,2))</f>
        <v/>
      </c>
      <c r="H35" s="343" t="str">
        <f t="shared" ref="H35:H45" si="8">IF(A35="","",ROUND(A35*$H$33,2))</f>
        <v/>
      </c>
      <c r="I35" s="343" t="str">
        <f t="shared" ref="I35:I45" si="9">IF(A35="","",ROUND(A35*$I$33,2))</f>
        <v/>
      </c>
      <c r="K35" s="436" t="str">
        <f>IF(Umse!$C$24=0,"",IF(OR($A$1="3.1.",$A$1="3.2.",$A$1="3.5.",$A$1="3.6.",$A$1="3.9.",$A$1="3.10."),'KrBe Tab'!A7,""))</f>
        <v/>
      </c>
      <c r="L35" s="436" t="str">
        <f>IF(Umse!$C$24=0,"",IF(OR($A$1="3.1.",$A$1="3.2.",$A$1="3.5.",$A$1="3.6.",$A$1="3.9.",$A$1="3.10."),'KrBe Tab'!B7,""))</f>
        <v/>
      </c>
      <c r="M35" s="437" t="str">
        <f>IF(Umse!$C$24=0,"",IF(OR($A$1="3.1.",$A$1="3.2.",$A$1="3.5.",$A$1="3.6.",$A$1="3.9.",$A$1="3.10."),'KrBe Tab'!C7,""))</f>
        <v/>
      </c>
      <c r="N35" s="437" t="str">
        <f>IF(Umse!$C$24=0,"",IF(OR($A$1="3.1.",$A$1="3.2.",$A$1="3.5.",$A$1="3.6.",$A$1="3.9.",$A$1="3.10."),'KrBe Tab'!D7,""))</f>
        <v/>
      </c>
      <c r="O35" s="437" t="str">
        <f>IF(Umse!$C$24=0,"",IF(OR($A$1="3.1.",$A$1="3.2.",$A$1="3.5.",$A$1="3.6.",$A$1="3.9.",$A$1="3.10."),'KrBe Tab'!E7,""))</f>
        <v/>
      </c>
      <c r="P35" s="437" t="str">
        <f>IF(Umse!$C$24=0,"",IF(OR($A$1="3.1.",$A$1="3.2.",$A$1="3.5.",$A$1="3.6.",$A$1="3.9.",$A$1="3.10."),'KrBe Tab'!F7,""))</f>
        <v/>
      </c>
      <c r="Q35" s="437" t="str">
        <f>IF(Umse!$C$24=0,"",IF(OR($A$1="3.1.",$A$1="3.2.",$A$1="3.5.",$A$1="3.6.",$A$1="3.9.",$A$1="3.10."),'KrBe Tab'!G7,""))</f>
        <v/>
      </c>
      <c r="R35" s="437" t="str">
        <f>IF(Umse!$C$24=0,"",IF(OR($A$1="3.1.",$A$1="3.2.",$A$1="3.5.",$A$1="3.6.",$A$1="3.9.",$A$1="3.10."),'KrBe Tab'!H7,""))</f>
        <v/>
      </c>
    </row>
    <row r="36" spans="1:18">
      <c r="A36" s="328" t="str">
        <f>IF(O5="-","-",IF(O5="","",FIXED(ROUND(O5/$A$5,2),2)))</f>
        <v/>
      </c>
      <c r="B36" s="356" t="str">
        <f t="shared" si="5"/>
        <v/>
      </c>
      <c r="C36" s="357" t="str">
        <f t="shared" si="5"/>
        <v/>
      </c>
      <c r="D36" s="432" t="str">
        <f>IF(A36="","",ROUND(A36*0.15,2))</f>
        <v/>
      </c>
      <c r="E36" s="343" t="str">
        <f>IF(A36="","",IF(OR(Umse!$B$11="3.1.",Umse!$B$11="3.2."),FIXED(ROUND(A36*0.2,2))&amp;"    "&amp;"0,64",FIXED(ROUND(A36*0.2,2))))</f>
        <v/>
      </c>
      <c r="F36" s="343" t="str">
        <f t="shared" si="6"/>
        <v/>
      </c>
      <c r="G36" s="343" t="str">
        <f t="shared" si="7"/>
        <v/>
      </c>
      <c r="H36" s="343" t="str">
        <f t="shared" si="8"/>
        <v/>
      </c>
      <c r="I36" s="343" t="str">
        <f t="shared" si="9"/>
        <v/>
      </c>
      <c r="K36" s="436" t="str">
        <f>IF(Umse!$C$24=0,"",IF(OR($A$1="3.1.",$A$1="3.2.",$A$1="3.5.",$A$1="3.6.",$A$1="3.9.",$A$1="3.10."),'KrBe Tab'!A8,""))</f>
        <v/>
      </c>
      <c r="L36" s="436" t="str">
        <f>IF(Umse!$C$24=0,"",IF(OR($A$1="3.1.",$A$1="3.2.",$A$1="3.5.",$A$1="3.6.",$A$1="3.9.",$A$1="3.10."),'KrBe Tab'!B8,""))</f>
        <v/>
      </c>
      <c r="M36" s="437" t="str">
        <f>IF(Umse!$C$24=0,"",IF(OR($A$1="3.1.",$A$1="3.2.",$A$1="3.5.",$A$1="3.6.",$A$1="3.9.",$A$1="3.10."),'KrBe Tab'!C8,""))</f>
        <v/>
      </c>
      <c r="N36" s="437" t="str">
        <f>IF(Umse!$C$24=0,"",IF(OR($A$1="3.1.",$A$1="3.2.",$A$1="3.5.",$A$1="3.6.",$A$1="3.9.",$A$1="3.10."),'KrBe Tab'!D8,""))</f>
        <v/>
      </c>
      <c r="O36" s="437" t="str">
        <f>IF(Umse!$C$24=0,"",IF(OR($A$1="3.1.",$A$1="3.2.",$A$1="3.5.",$A$1="3.6.",$A$1="3.9.",$A$1="3.10."),'KrBe Tab'!E8,""))</f>
        <v/>
      </c>
      <c r="P36" s="437" t="str">
        <f>IF(Umse!$C$24=0,"",IF(OR($A$1="3.1.",$A$1="3.2.",$A$1="3.5.",$A$1="3.6.",$A$1="3.9.",$A$1="3.10."),'KrBe Tab'!F8,""))</f>
        <v/>
      </c>
      <c r="Q36" s="437" t="str">
        <f>IF(Umse!$C$24=0,"",IF(OR($A$1="3.1.",$A$1="3.2.",$A$1="3.5.",$A$1="3.6.",$A$1="3.9.",$A$1="3.10."),'KrBe Tab'!G8,""))</f>
        <v/>
      </c>
      <c r="R36" s="437" t="str">
        <f>IF(Umse!$C$24=0,"",IF(OR($A$1="3.1.",$A$1="3.2.",$A$1="3.5.",$A$1="3.6.",$A$1="3.9.",$A$1="3.10."),'KrBe Tab'!H8,""))</f>
        <v/>
      </c>
    </row>
    <row r="37" spans="1:18">
      <c r="A37" s="328" t="str">
        <f t="shared" ref="A37:A45" si="10">IF(O6="-","-",IF(O6="","",FIXED(ROUND(O6/$A$5,2),2)))</f>
        <v/>
      </c>
      <c r="B37" s="356" t="str">
        <f t="shared" si="5"/>
        <v/>
      </c>
      <c r="C37" s="357" t="str">
        <f t="shared" si="5"/>
        <v/>
      </c>
      <c r="D37" s="432" t="str">
        <f>IF(A37="","",ROUND(A37*0.15,2))</f>
        <v/>
      </c>
      <c r="E37" s="343" t="str">
        <f>IF(A37="","",IF(OR(Umse!$B$11="3.1.",Umse!$B$11="3.2."),FIXED(ROUND(A37*0.2,2))&amp;"    "&amp;"0,64",FIXED(ROUND(A37*0.2,2))))</f>
        <v/>
      </c>
      <c r="F37" s="343" t="str">
        <f t="shared" si="6"/>
        <v/>
      </c>
      <c r="G37" s="343" t="str">
        <f t="shared" si="7"/>
        <v/>
      </c>
      <c r="H37" s="343" t="str">
        <f t="shared" si="8"/>
        <v/>
      </c>
      <c r="I37" s="343" t="str">
        <f t="shared" si="9"/>
        <v/>
      </c>
      <c r="K37" s="436" t="str">
        <f>IF(Umse!$C$24=0,"",IF(OR($A$1="3.1.",$A$1="3.2.",$A$1="3.5.",$A$1="3.6.",$A$1="3.9.",$A$1="3.10."),'KrBe Tab'!A9,""))</f>
        <v/>
      </c>
      <c r="L37" s="436" t="str">
        <f>IF(Umse!$C$24=0,"",IF(OR($A$1="3.1.",$A$1="3.2.",$A$1="3.5.",$A$1="3.6.",$A$1="3.9.",$A$1="3.10."),'KrBe Tab'!B9,""))</f>
        <v/>
      </c>
      <c r="M37" s="437" t="str">
        <f>IF(Umse!$C$24=0,"",IF(OR($A$1="3.1.",$A$1="3.2.",$A$1="3.5.",$A$1="3.6.",$A$1="3.9.",$A$1="3.10."),'KrBe Tab'!C9,""))</f>
        <v/>
      </c>
      <c r="N37" s="437" t="str">
        <f>IF(Umse!$C$24=0,"",IF(OR($A$1="3.1.",$A$1="3.2.",$A$1="3.5.",$A$1="3.6.",$A$1="3.9.",$A$1="3.10."),'KrBe Tab'!D9,""))</f>
        <v/>
      </c>
      <c r="O37" s="437" t="str">
        <f>IF(Umse!$C$24=0,"",IF(OR($A$1="3.1.",$A$1="3.2.",$A$1="3.5.",$A$1="3.6.",$A$1="3.9.",$A$1="3.10."),'KrBe Tab'!E9,""))</f>
        <v/>
      </c>
      <c r="P37" s="437" t="str">
        <f>IF(Umse!$C$24=0,"",IF(OR($A$1="3.1.",$A$1="3.2.",$A$1="3.5.",$A$1="3.6.",$A$1="3.9.",$A$1="3.10."),'KrBe Tab'!F9,""))</f>
        <v/>
      </c>
      <c r="Q37" s="437" t="str">
        <f>IF(Umse!$C$24=0,"",IF(OR($A$1="3.1.",$A$1="3.2.",$A$1="3.5.",$A$1="3.6.",$A$1="3.9.",$A$1="3.10."),'KrBe Tab'!G9,""))</f>
        <v/>
      </c>
      <c r="R37" s="437" t="str">
        <f>IF(Umse!$C$24=0,"",IF(OR($A$1="3.1.",$A$1="3.2.",$A$1="3.5.",$A$1="3.6.",$A$1="3.9.",$A$1="3.10."),'KrBe Tab'!H9,""))</f>
        <v/>
      </c>
    </row>
    <row r="38" spans="1:18">
      <c r="A38" s="328" t="str">
        <f t="shared" si="10"/>
        <v/>
      </c>
      <c r="B38" s="356" t="str">
        <f t="shared" si="5"/>
        <v/>
      </c>
      <c r="C38" s="357" t="str">
        <f t="shared" si="5"/>
        <v/>
      </c>
      <c r="D38" s="432" t="str">
        <f>IF(A38="","",ROUND(A38*0.15,2))</f>
        <v/>
      </c>
      <c r="E38" s="343" t="str">
        <f>IF(A38="","",IF(OR(Umse!$B$11="3.1.",Umse!$B$11="3.2."),FIXED(ROUND(A38*0.2,2))&amp;"    "&amp;"0,64",FIXED(ROUND(A38*0.2,2))))</f>
        <v/>
      </c>
      <c r="F38" s="343" t="str">
        <f t="shared" si="6"/>
        <v/>
      </c>
      <c r="G38" s="343" t="str">
        <f t="shared" si="7"/>
        <v/>
      </c>
      <c r="H38" s="343" t="str">
        <f t="shared" si="8"/>
        <v/>
      </c>
      <c r="I38" s="343" t="str">
        <f t="shared" si="9"/>
        <v/>
      </c>
      <c r="K38" s="436" t="str">
        <f>IF(Umse!$C$24=0,"",IF(OR($A$1="3.1.",$A$1="3.2.",$A$1="3.5.",$A$1="3.6.",$A$1="3.9.",$A$1="3.10."),'KrBe Tab'!A10,""))</f>
        <v/>
      </c>
      <c r="L38" s="436" t="str">
        <f>IF(Umse!$C$24=0,"",IF(OR($A$1="3.1.",$A$1="3.2.",$A$1="3.5.",$A$1="3.6.",$A$1="3.9.",$A$1="3.10."),'KrBe Tab'!B10,""))</f>
        <v/>
      </c>
      <c r="M38" s="437" t="str">
        <f>IF(Umse!$C$24=0,"",IF(OR($A$1="3.1.",$A$1="3.2.",$A$1="3.5.",$A$1="3.6.",$A$1="3.9.",$A$1="3.10."),'KrBe Tab'!C10,""))</f>
        <v/>
      </c>
      <c r="N38" s="437" t="str">
        <f>IF(Umse!$C$24=0,"",IF(OR($A$1="3.1.",$A$1="3.2.",$A$1="3.5.",$A$1="3.6.",$A$1="3.9.",$A$1="3.10."),'KrBe Tab'!D10,""))</f>
        <v/>
      </c>
      <c r="O38" s="437" t="str">
        <f>IF(Umse!$C$24=0,"",IF(OR($A$1="3.1.",$A$1="3.2.",$A$1="3.5.",$A$1="3.6.",$A$1="3.9.",$A$1="3.10."),'KrBe Tab'!E10,""))</f>
        <v/>
      </c>
      <c r="P38" s="437" t="str">
        <f>IF(Umse!$C$24=0,"",IF(OR($A$1="3.1.",$A$1="3.2.",$A$1="3.5.",$A$1="3.6.",$A$1="3.9.",$A$1="3.10."),'KrBe Tab'!F10,""))</f>
        <v/>
      </c>
      <c r="Q38" s="437" t="str">
        <f>IF(Umse!$C$24=0,"",IF(OR($A$1="3.1.",$A$1="3.2.",$A$1="3.5.",$A$1="3.6.",$A$1="3.9.",$A$1="3.10."),'KrBe Tab'!G10,""))</f>
        <v/>
      </c>
      <c r="R38" s="437" t="str">
        <f>IF(Umse!$C$24=0,"",IF(OR($A$1="3.1.",$A$1="3.2.",$A$1="3.5.",$A$1="3.6.",$A$1="3.9.",$A$1="3.10."),'KrBe Tab'!H10,""))</f>
        <v/>
      </c>
    </row>
    <row r="39" spans="1:18">
      <c r="A39" s="328" t="str">
        <f t="shared" si="10"/>
        <v/>
      </c>
      <c r="B39" s="356" t="str">
        <f t="shared" si="5"/>
        <v/>
      </c>
      <c r="C39" s="357" t="str">
        <f t="shared" si="5"/>
        <v/>
      </c>
      <c r="D39" s="343" t="str">
        <f t="shared" ref="D39:D45" si="11">IF(A39="","",ROUND(A39*0.3,2))</f>
        <v/>
      </c>
      <c r="E39" s="343" t="str">
        <f>IF(A39="","",IF(OR(Umse!$B$11="3.1.",Umse!$B$11="3.2."),FIXED(ROUND(A39*0.2,2))&amp;"    "&amp;"0,64",FIXED(ROUND(A39*0.2,2))))</f>
        <v/>
      </c>
      <c r="F39" s="343" t="str">
        <f t="shared" si="6"/>
        <v/>
      </c>
      <c r="G39" s="343" t="str">
        <f t="shared" si="7"/>
        <v/>
      </c>
      <c r="H39" s="343" t="str">
        <f t="shared" si="8"/>
        <v/>
      </c>
      <c r="I39" s="343" t="str">
        <f t="shared" si="9"/>
        <v/>
      </c>
      <c r="K39" s="436" t="str">
        <f>IF(Umse!$C$24=0,"",IF(OR($A$1="3.1.",$A$1="3.2.",$A$1="3.5.",$A$1="3.6.",$A$1="3.9.",$A$1="3.10."),'KrBe Tab'!A11,""))</f>
        <v/>
      </c>
      <c r="L39" s="436" t="str">
        <f>IF(Umse!$C$24=0,"",IF(OR($A$1="3.1.",$A$1="3.2.",$A$1="3.5.",$A$1="3.6.",$A$1="3.9.",$A$1="3.10."),'KrBe Tab'!B11,""))</f>
        <v/>
      </c>
      <c r="M39" s="437" t="str">
        <f>IF(Umse!$C$24=0,"",IF(OR($A$1="3.1.",$A$1="3.2.",$A$1="3.5.",$A$1="3.6.",$A$1="3.9.",$A$1="3.10."),'KrBe Tab'!C11,""))</f>
        <v/>
      </c>
      <c r="N39" s="437" t="str">
        <f>IF(Umse!$C$24=0,"",IF(OR($A$1="3.1.",$A$1="3.2.",$A$1="3.5.",$A$1="3.6.",$A$1="3.9.",$A$1="3.10."),'KrBe Tab'!D11,""))</f>
        <v/>
      </c>
      <c r="O39" s="437" t="str">
        <f>IF(Umse!$C$24=0,"",IF(OR($A$1="3.1.",$A$1="3.2.",$A$1="3.5.",$A$1="3.6.",$A$1="3.9.",$A$1="3.10."),'KrBe Tab'!E11,""))</f>
        <v/>
      </c>
      <c r="P39" s="437" t="str">
        <f>IF(Umse!$C$24=0,"",IF(OR($A$1="3.1.",$A$1="3.2.",$A$1="3.5.",$A$1="3.6.",$A$1="3.9.",$A$1="3.10."),'KrBe Tab'!F11,""))</f>
        <v/>
      </c>
      <c r="Q39" s="437" t="str">
        <f>IF(Umse!$C$24=0,"",IF(OR($A$1="3.1.",$A$1="3.2.",$A$1="3.5.",$A$1="3.6.",$A$1="3.9.",$A$1="3.10."),'KrBe Tab'!G11,""))</f>
        <v/>
      </c>
      <c r="R39" s="437" t="str">
        <f>IF(Umse!$C$24=0,"",IF(OR($A$1="3.1.",$A$1="3.2.",$A$1="3.5.",$A$1="3.6.",$A$1="3.9.",$A$1="3.10."),'KrBe Tab'!H11,""))</f>
        <v/>
      </c>
    </row>
    <row r="40" spans="1:18">
      <c r="A40" s="328" t="str">
        <f t="shared" si="10"/>
        <v/>
      </c>
      <c r="B40" s="356" t="str">
        <f t="shared" si="5"/>
        <v/>
      </c>
      <c r="C40" s="357" t="str">
        <f t="shared" si="5"/>
        <v/>
      </c>
      <c r="D40" s="343" t="str">
        <f t="shared" si="11"/>
        <v/>
      </c>
      <c r="E40" s="343" t="str">
        <f>IF(A40="","",IF(OR(Umse!$B$11="3.1.",Umse!$B$11="3.2."),FIXED(ROUND(A40*0.2,2))&amp;"    "&amp;"0,64",FIXED(ROUND(A40*0.2,2))))</f>
        <v/>
      </c>
      <c r="F40" s="343" t="str">
        <f t="shared" si="6"/>
        <v/>
      </c>
      <c r="G40" s="343" t="str">
        <f t="shared" si="7"/>
        <v/>
      </c>
      <c r="H40" s="343" t="str">
        <f t="shared" si="8"/>
        <v/>
      </c>
      <c r="I40" s="343" t="str">
        <f t="shared" si="9"/>
        <v/>
      </c>
      <c r="K40" s="436" t="str">
        <f>IF(Umse!$C$24=0,"",IF(OR($A$1="3.1.",$A$1="3.2.",$A$1="3.5.",$A$1="3.6.",$A$1="3.9.",$A$1="3.10."),'KrBe Tab'!A12,""))</f>
        <v/>
      </c>
      <c r="L40" s="436" t="str">
        <f>IF(Umse!$C$24=0,"",IF(OR($A$1="3.1.",$A$1="3.2.",$A$1="3.5.",$A$1="3.6.",$A$1="3.9.",$A$1="3.10."),'KrBe Tab'!B12,""))</f>
        <v/>
      </c>
      <c r="M40" s="437" t="str">
        <f>IF(Umse!$C$24=0,"",IF(OR($A$1="3.1.",$A$1="3.2.",$A$1="3.5.",$A$1="3.6.",$A$1="3.9.",$A$1="3.10."),'KrBe Tab'!C12,""))</f>
        <v/>
      </c>
      <c r="N40" s="437" t="str">
        <f>IF(Umse!$C$24=0,"",IF(OR($A$1="3.1.",$A$1="3.2.",$A$1="3.5.",$A$1="3.6.",$A$1="3.9.",$A$1="3.10."),'KrBe Tab'!D12,""))</f>
        <v/>
      </c>
      <c r="O40" s="437" t="str">
        <f>IF(Umse!$C$24=0,"",IF(OR($A$1="3.1.",$A$1="3.2.",$A$1="3.5.",$A$1="3.6.",$A$1="3.9.",$A$1="3.10."),'KrBe Tab'!E12,""))</f>
        <v/>
      </c>
      <c r="P40" s="437" t="str">
        <f>IF(Umse!$C$24=0,"",IF(OR($A$1="3.1.",$A$1="3.2.",$A$1="3.5.",$A$1="3.6.",$A$1="3.9.",$A$1="3.10."),'KrBe Tab'!F12,""))</f>
        <v/>
      </c>
      <c r="Q40" s="437" t="str">
        <f>IF(Umse!$C$24=0,"",IF(OR($A$1="3.1.",$A$1="3.2.",$A$1="3.5.",$A$1="3.6.",$A$1="3.9.",$A$1="3.10."),'KrBe Tab'!G12,""))</f>
        <v/>
      </c>
      <c r="R40" s="437" t="str">
        <f>IF(Umse!$C$24=0,"",IF(OR($A$1="3.1.",$A$1="3.2.",$A$1="3.5.",$A$1="3.6.",$A$1="3.9.",$A$1="3.10."),'KrBe Tab'!H12,""))</f>
        <v/>
      </c>
    </row>
    <row r="41" spans="1:18">
      <c r="A41" s="328" t="str">
        <f t="shared" si="10"/>
        <v/>
      </c>
      <c r="B41" s="356" t="str">
        <f t="shared" si="5"/>
        <v/>
      </c>
      <c r="C41" s="357" t="str">
        <f t="shared" si="5"/>
        <v/>
      </c>
      <c r="D41" s="343" t="str">
        <f t="shared" si="11"/>
        <v/>
      </c>
      <c r="E41" s="343" t="str">
        <f>IF(A41="","",IF(OR(Umse!$B$11="3.1.",Umse!$B$11="3.2."),FIXED(ROUND(A41*0.2,2))&amp;"    "&amp;"0,64",FIXED(ROUND(A41*0.2,2))))</f>
        <v/>
      </c>
      <c r="F41" s="343" t="str">
        <f t="shared" si="6"/>
        <v/>
      </c>
      <c r="G41" s="343" t="str">
        <f t="shared" si="7"/>
        <v/>
      </c>
      <c r="H41" s="343" t="str">
        <f t="shared" si="8"/>
        <v/>
      </c>
      <c r="I41" s="343" t="str">
        <f t="shared" si="9"/>
        <v/>
      </c>
      <c r="K41" s="436" t="str">
        <f>IF(Umse!$C$24=0,"",IF(OR($A$1="3.1.",$A$1="3.2.",$A$1="3.5.",$A$1="3.6.",$A$1="3.9.",$A$1="3.10."),'KrBe Tab'!A13,""))</f>
        <v/>
      </c>
      <c r="L41" s="436" t="str">
        <f>IF(Umse!$C$24=0,"",IF(OR($A$1="3.1.",$A$1="3.2.",$A$1="3.5.",$A$1="3.6.",$A$1="3.9.",$A$1="3.10."),'KrBe Tab'!B13,""))</f>
        <v/>
      </c>
      <c r="M41" s="437" t="str">
        <f>IF(Umse!$C$24=0,"",IF(OR($A$1="3.1.",$A$1="3.2.",$A$1="3.5.",$A$1="3.6.",$A$1="3.9.",$A$1="3.10."),'KrBe Tab'!C13,""))</f>
        <v/>
      </c>
      <c r="N41" s="437" t="str">
        <f>IF(Umse!$C$24=0,"",IF(OR($A$1="3.1.",$A$1="3.2.",$A$1="3.5.",$A$1="3.6.",$A$1="3.9.",$A$1="3.10."),'KrBe Tab'!D13,""))</f>
        <v/>
      </c>
      <c r="O41" s="437" t="str">
        <f>IF(Umse!$C$24=0,"",IF(OR($A$1="3.1.",$A$1="3.2.",$A$1="3.5.",$A$1="3.6.",$A$1="3.9.",$A$1="3.10."),'KrBe Tab'!E13,""))</f>
        <v/>
      </c>
      <c r="P41" s="437" t="str">
        <f>IF(Umse!$C$24=0,"",IF(OR($A$1="3.1.",$A$1="3.2.",$A$1="3.5.",$A$1="3.6.",$A$1="3.9.",$A$1="3.10."),'KrBe Tab'!F13,""))</f>
        <v/>
      </c>
      <c r="Q41" s="437" t="str">
        <f>IF(Umse!$C$24=0,"",IF(OR($A$1="3.1.",$A$1="3.2.",$A$1="3.5.",$A$1="3.6.",$A$1="3.9.",$A$1="3.10."),'KrBe Tab'!G13,""))</f>
        <v/>
      </c>
      <c r="R41" s="437" t="str">
        <f>IF(Umse!$C$24=0,"",IF(OR($A$1="3.1.",$A$1="3.2.",$A$1="3.5.",$A$1="3.6.",$A$1="3.9.",$A$1="3.10."),'KrBe Tab'!H13,""))</f>
        <v/>
      </c>
    </row>
    <row r="42" spans="1:18" ht="11.25" customHeight="1">
      <c r="A42" s="328" t="str">
        <f t="shared" si="10"/>
        <v/>
      </c>
      <c r="B42" s="356" t="str">
        <f t="shared" si="5"/>
        <v/>
      </c>
      <c r="C42" s="357" t="str">
        <f t="shared" si="5"/>
        <v/>
      </c>
      <c r="D42" s="343" t="str">
        <f t="shared" si="11"/>
        <v/>
      </c>
      <c r="E42" s="343" t="str">
        <f>IF(A42="","",IF(OR(Umse!$B$11="3.1.",Umse!$B$11="3.2."),FIXED(ROUND(A42*0.2,2))&amp;"    "&amp;"0,64",FIXED(ROUND(A42*0.2,2))))</f>
        <v/>
      </c>
      <c r="F42" s="343" t="str">
        <f t="shared" si="6"/>
        <v/>
      </c>
      <c r="G42" s="343" t="str">
        <f t="shared" si="7"/>
        <v/>
      </c>
      <c r="H42" s="343" t="str">
        <f t="shared" si="8"/>
        <v/>
      </c>
      <c r="I42" s="343" t="str">
        <f t="shared" si="9"/>
        <v/>
      </c>
      <c r="K42" s="436" t="str">
        <f>IF(Umse!$C$24=0,"",IF(OR($A$1="3.1.",$A$1="3.2.",$A$1="3.5.",$A$1="3.6.",$A$1="3.9.",$A$1="3.10."),'KrBe Tab'!A14,""))</f>
        <v/>
      </c>
      <c r="L42" s="436" t="str">
        <f>IF(Umse!$C$24=0,"",IF(OR($A$1="3.1.",$A$1="3.2.",$A$1="3.5.",$A$1="3.6.",$A$1="3.9.",$A$1="3.10."),'KrBe Tab'!B14,""))</f>
        <v/>
      </c>
      <c r="M42" s="437" t="str">
        <f>IF(Umse!$C$24=0,"",IF(OR($A$1="3.1.",$A$1="3.2.",$A$1="3.5.",$A$1="3.6.",$A$1="3.9.",$A$1="3.10."),'KrBe Tab'!C14,""))</f>
        <v/>
      </c>
      <c r="N42" s="437" t="str">
        <f>IF(Umse!$C$24=0,"",IF(OR($A$1="3.1.",$A$1="3.2.",$A$1="3.5.",$A$1="3.6.",$A$1="3.9.",$A$1="3.10."),'KrBe Tab'!D14,""))</f>
        <v/>
      </c>
      <c r="O42" s="437" t="str">
        <f>IF(Umse!$C$24=0,"",IF(OR($A$1="3.1.",$A$1="3.2.",$A$1="3.5.",$A$1="3.6.",$A$1="3.9.",$A$1="3.10."),'KrBe Tab'!E14,""))</f>
        <v/>
      </c>
      <c r="P42" s="437" t="str">
        <f>IF(Umse!$C$24=0,"",IF(OR($A$1="3.1.",$A$1="3.2.",$A$1="3.5.",$A$1="3.6.",$A$1="3.9.",$A$1="3.10."),'KrBe Tab'!F14,""))</f>
        <v/>
      </c>
      <c r="Q42" s="437" t="str">
        <f>IF(Umse!$C$24=0,"",IF(OR($A$1="3.1.",$A$1="3.2.",$A$1="3.5.",$A$1="3.6.",$A$1="3.9.",$A$1="3.10."),'KrBe Tab'!G14,""))</f>
        <v/>
      </c>
      <c r="R42" s="437" t="str">
        <f>IF(Umse!$C$24=0,"",IF(OR($A$1="3.1.",$A$1="3.2.",$A$1="3.5.",$A$1="3.6.",$A$1="3.9.",$A$1="3.10."),'KrBe Tab'!H14,""))</f>
        <v/>
      </c>
    </row>
    <row r="43" spans="1:18" ht="11.25" customHeight="1">
      <c r="A43" s="328" t="str">
        <f t="shared" si="10"/>
        <v/>
      </c>
      <c r="B43" s="356" t="str">
        <f t="shared" si="5"/>
        <v/>
      </c>
      <c r="C43" s="357" t="str">
        <f t="shared" si="5"/>
        <v/>
      </c>
      <c r="D43" s="343" t="str">
        <f t="shared" si="11"/>
        <v/>
      </c>
      <c r="E43" s="343" t="str">
        <f>IF(A43="","",IF(OR(Umse!$B$11="3.1.",Umse!$B$11="3.2."),FIXED(ROUND(A43*0.2,2))&amp;"    "&amp;"0,64",FIXED(ROUND(A43*0.2,2))))</f>
        <v/>
      </c>
      <c r="F43" s="343" t="str">
        <f t="shared" si="6"/>
        <v/>
      </c>
      <c r="G43" s="343" t="str">
        <f t="shared" si="7"/>
        <v/>
      </c>
      <c r="H43" s="343" t="str">
        <f t="shared" si="8"/>
        <v/>
      </c>
      <c r="I43" s="343" t="str">
        <f t="shared" si="9"/>
        <v/>
      </c>
      <c r="K43" s="436" t="str">
        <f>IF(Umse!$C$24=0,"",IF(OR($A$1="3.1.",$A$1="3.2.",$A$1="3.5.",$A$1="3.6.",$A$1="3.9.",$A$1="3.10."),'KrBe Tab'!A15,""))</f>
        <v/>
      </c>
      <c r="L43" s="436" t="str">
        <f>IF(Umse!$C$24=0,"",IF(OR($A$1="3.1.",$A$1="3.2.",$A$1="3.5.",$A$1="3.6.",$A$1="3.9.",$A$1="3.10."),'KrBe Tab'!B15,""))</f>
        <v/>
      </c>
      <c r="M43" s="437" t="str">
        <f>IF(Umse!$C$24=0,"",IF(OR($A$1="3.1.",$A$1="3.2.",$A$1="3.5.",$A$1="3.6.",$A$1="3.9.",$A$1="3.10."),'KrBe Tab'!C15,""))</f>
        <v/>
      </c>
      <c r="N43" s="437" t="str">
        <f>IF(Umse!$C$24=0,"",IF(OR($A$1="3.1.",$A$1="3.2.",$A$1="3.5.",$A$1="3.6.",$A$1="3.9.",$A$1="3.10."),'KrBe Tab'!D15,""))</f>
        <v/>
      </c>
      <c r="O43" s="437" t="str">
        <f>IF(Umse!$C$24=0,"",IF(OR($A$1="3.1.",$A$1="3.2.",$A$1="3.5.",$A$1="3.6.",$A$1="3.9.",$A$1="3.10."),'KrBe Tab'!E15,""))</f>
        <v/>
      </c>
      <c r="P43" s="437" t="str">
        <f>IF(Umse!$C$24=0,"",IF(OR($A$1="3.1.",$A$1="3.2.",$A$1="3.5.",$A$1="3.6.",$A$1="3.9.",$A$1="3.10."),'KrBe Tab'!F15,""))</f>
        <v/>
      </c>
      <c r="Q43" s="437" t="str">
        <f>IF(Umse!$C$24=0,"",IF(OR($A$1="3.1.",$A$1="3.2.",$A$1="3.5.",$A$1="3.6.",$A$1="3.9.",$A$1="3.10."),'KrBe Tab'!G15,""))</f>
        <v/>
      </c>
      <c r="R43" s="437" t="str">
        <f>IF(Umse!$C$24=0,"",IF(OR($A$1="3.1.",$A$1="3.2.",$A$1="3.5.",$A$1="3.6.",$A$1="3.9.",$A$1="3.10."),'KrBe Tab'!H15,""))</f>
        <v/>
      </c>
    </row>
    <row r="44" spans="1:18">
      <c r="A44" s="328" t="str">
        <f t="shared" si="10"/>
        <v/>
      </c>
      <c r="B44" s="356" t="str">
        <f t="shared" si="5"/>
        <v/>
      </c>
      <c r="C44" s="357" t="str">
        <f t="shared" si="5"/>
        <v/>
      </c>
      <c r="D44" s="343" t="str">
        <f t="shared" si="11"/>
        <v/>
      </c>
      <c r="E44" s="343" t="str">
        <f>IF(A44="","",IF(OR(Umse!$B$11="3.1.",Umse!$B$11="3.2."),FIXED(ROUND(A44*0.2,2))&amp;"    "&amp;"0,64",FIXED(ROUND(A44*0.2,2))))</f>
        <v/>
      </c>
      <c r="F44" s="343" t="str">
        <f t="shared" si="6"/>
        <v/>
      </c>
      <c r="G44" s="343" t="str">
        <f t="shared" si="7"/>
        <v/>
      </c>
      <c r="H44" s="343" t="str">
        <f t="shared" si="8"/>
        <v/>
      </c>
      <c r="I44" s="343" t="str">
        <f t="shared" si="9"/>
        <v/>
      </c>
      <c r="K44" s="436" t="str">
        <f>IF(Umse!$C$24=0,"",IF(OR($A$1="3.1.",$A$1="3.2.",$A$1="3.5.",$A$1="3.6.",$A$1="3.9.",$A$1="3.10."),'KrBe Tab'!A16,""))</f>
        <v/>
      </c>
      <c r="L44" s="436" t="str">
        <f>IF(Umse!$C$24=0,"",IF(OR($A$1="3.1.",$A$1="3.2.",$A$1="3.5.",$A$1="3.6.",$A$1="3.9.",$A$1="3.10."),'KrBe Tab'!B16,""))</f>
        <v/>
      </c>
      <c r="M44" s="437" t="str">
        <f>IF(Umse!$C$24=0,"",IF(OR($A$1="3.1.",$A$1="3.2.",$A$1="3.5.",$A$1="3.6.",$A$1="3.9.",$A$1="3.10."),'KrBe Tab'!C16,""))</f>
        <v/>
      </c>
      <c r="N44" s="437" t="str">
        <f>IF(Umse!$C$24=0,"",IF(OR($A$1="3.1.",$A$1="3.2.",$A$1="3.5.",$A$1="3.6.",$A$1="3.9.",$A$1="3.10."),'KrBe Tab'!D16,""))</f>
        <v/>
      </c>
      <c r="O44" s="437" t="str">
        <f>IF(Umse!$C$24=0,"",IF(OR($A$1="3.1.",$A$1="3.2.",$A$1="3.5.",$A$1="3.6.",$A$1="3.9.",$A$1="3.10."),'KrBe Tab'!E16,""))</f>
        <v/>
      </c>
      <c r="P44" s="437" t="str">
        <f>IF(Umse!$C$24=0,"",IF(OR($A$1="3.1.",$A$1="3.2.",$A$1="3.5.",$A$1="3.6.",$A$1="3.9.",$A$1="3.10."),'KrBe Tab'!F16,""))</f>
        <v/>
      </c>
      <c r="Q44" s="437" t="str">
        <f>IF(Umse!$C$24=0,"",IF(OR($A$1="3.1.",$A$1="3.2.",$A$1="3.5.",$A$1="3.6.",$A$1="3.9.",$A$1="3.10."),'KrBe Tab'!G16,""))</f>
        <v/>
      </c>
      <c r="R44" s="437" t="str">
        <f>IF(Umse!$C$24=0,"",IF(OR($A$1="3.1.",$A$1="3.2.",$A$1="3.5.",$A$1="3.6.",$A$1="3.9.",$A$1="3.10."),'KrBe Tab'!H16,""))</f>
        <v/>
      </c>
    </row>
    <row r="45" spans="1:18">
      <c r="A45" s="328" t="str">
        <f t="shared" si="10"/>
        <v/>
      </c>
      <c r="B45" s="356" t="str">
        <f t="shared" si="5"/>
        <v/>
      </c>
      <c r="C45" s="357" t="str">
        <f t="shared" si="5"/>
        <v/>
      </c>
      <c r="D45" s="343" t="str">
        <f t="shared" si="11"/>
        <v/>
      </c>
      <c r="E45" s="343" t="str">
        <f>IF(A45="","",IF(OR(Umse!$B$11="3.1.",Umse!$B$11="3.2."),FIXED(ROUND(A45*0.2,2))&amp;"    "&amp;"0,64",FIXED(ROUND(A45*0.2,2))))</f>
        <v/>
      </c>
      <c r="F45" s="343" t="str">
        <f t="shared" si="6"/>
        <v/>
      </c>
      <c r="G45" s="343" t="str">
        <f t="shared" si="7"/>
        <v/>
      </c>
      <c r="H45" s="343" t="str">
        <f t="shared" si="8"/>
        <v/>
      </c>
      <c r="I45" s="343" t="str">
        <f t="shared" si="9"/>
        <v/>
      </c>
      <c r="K45" s="436" t="str">
        <f>IF(Umse!$C$24=0,"",IF(OR($A$1="3.1.",$A$1="3.2.",$A$1="3.5.",$A$1="3.6.",$A$1="3.9.",$A$1="3.10."),'KrBe Tab'!A17,""))</f>
        <v/>
      </c>
      <c r="L45" s="436" t="str">
        <f>IF(Umse!$C$24=0,"",IF(OR($A$1="3.1.",$A$1="3.2.",$A$1="3.5.",$A$1="3.6.",$A$1="3.9.",$A$1="3.10."),'KrBe Tab'!B17,""))</f>
        <v/>
      </c>
      <c r="M45" s="437" t="str">
        <f>IF(Umse!$C$24=0,"",IF(OR($A$1="3.1.",$A$1="3.2.",$A$1="3.5.",$A$1="3.6.",$A$1="3.9.",$A$1="3.10."),'KrBe Tab'!C17,""))</f>
        <v/>
      </c>
      <c r="N45" s="437" t="str">
        <f>IF(Umse!$C$24=0,"",IF(OR($A$1="3.1.",$A$1="3.2.",$A$1="3.5.",$A$1="3.6.",$A$1="3.9.",$A$1="3.10."),'KrBe Tab'!D17,""))</f>
        <v/>
      </c>
      <c r="O45" s="437" t="str">
        <f>IF(Umse!$C$24=0,"",IF(OR($A$1="3.1.",$A$1="3.2.",$A$1="3.5.",$A$1="3.6.",$A$1="3.9.",$A$1="3.10."),'KrBe Tab'!E17,""))</f>
        <v/>
      </c>
      <c r="P45" s="437" t="str">
        <f>IF(Umse!$C$24=0,"",IF(OR($A$1="3.1.",$A$1="3.2.",$A$1="3.5.",$A$1="3.6.",$A$1="3.9.",$A$1="3.10."),'KrBe Tab'!F17,""))</f>
        <v/>
      </c>
      <c r="Q45" s="437" t="str">
        <f>IF(Umse!$C$24=0,"",IF(OR($A$1="3.1.",$A$1="3.2.",$A$1="3.5.",$A$1="3.6.",$A$1="3.9.",$A$1="3.10."),'KrBe Tab'!G17,""))</f>
        <v/>
      </c>
      <c r="R45" s="437" t="str">
        <f>IF(Umse!$C$24=0,"",IF(OR($A$1="3.1.",$A$1="3.2.",$A$1="3.5.",$A$1="3.6.",$A$1="3.9.",$A$1="3.10."),'KrBe Tab'!H17,""))</f>
        <v/>
      </c>
    </row>
    <row r="46" spans="1:18">
      <c r="B46" s="356"/>
      <c r="C46" s="356"/>
      <c r="D46" s="343"/>
      <c r="E46" s="343"/>
      <c r="F46" s="343"/>
      <c r="G46" s="343"/>
      <c r="H46" s="343"/>
      <c r="I46" s="343"/>
      <c r="K46" s="436" t="str">
        <f>IF(Umse!$C$24=0,"",IF(OR($A$1="3.1.",$A$1="3.2.",$A$1="3.5.",$A$1="3.6.",$A$1="3.9.",$A$1="3.10."),'KrBe Tab'!A18,""))</f>
        <v/>
      </c>
      <c r="L46" s="436" t="str">
        <f>IF(Umse!$C$24=0,"",IF(OR($A$1="3.1.",$A$1="3.2.",$A$1="3.5.",$A$1="3.6.",$A$1="3.9.",$A$1="3.10."),'KrBe Tab'!B18,""))</f>
        <v/>
      </c>
      <c r="M46" s="437" t="str">
        <f>IF(Umse!$C$24=0,"",IF(OR($A$1="3.1.",$A$1="3.2.",$A$1="3.5.",$A$1="3.6.",$A$1="3.9.",$A$1="3.10."),'KrBe Tab'!C18,""))</f>
        <v/>
      </c>
      <c r="N46" s="437" t="str">
        <f>IF(Umse!$C$24=0,"",IF(OR($A$1="3.1.",$A$1="3.2.",$A$1="3.5.",$A$1="3.6.",$A$1="3.9.",$A$1="3.10."),'KrBe Tab'!D18,""))</f>
        <v/>
      </c>
      <c r="O46" s="437" t="str">
        <f>IF(Umse!$C$24=0,"",IF(OR($A$1="3.1.",$A$1="3.2.",$A$1="3.5.",$A$1="3.6.",$A$1="3.9.",$A$1="3.10."),'KrBe Tab'!E18,""))</f>
        <v/>
      </c>
      <c r="P46" s="437" t="str">
        <f>IF(Umse!$C$24=0,"",IF(OR($A$1="3.1.",$A$1="3.2.",$A$1="3.5.",$A$1="3.6.",$A$1="3.9.",$A$1="3.10."),'KrBe Tab'!F18,""))</f>
        <v/>
      </c>
      <c r="Q46" s="437" t="str">
        <f>IF(Umse!$C$24=0,"",IF(OR($A$1="3.1.",$A$1="3.2.",$A$1="3.5.",$A$1="3.6.",$A$1="3.9.",$A$1="3.10."),'KrBe Tab'!G18,""))</f>
        <v/>
      </c>
      <c r="R46" s="432"/>
    </row>
    <row r="47" spans="1:18">
      <c r="B47" s="356"/>
      <c r="C47" s="356"/>
      <c r="D47" s="343"/>
      <c r="E47" s="343"/>
      <c r="F47" s="343"/>
      <c r="G47" s="343"/>
      <c r="H47" s="343"/>
      <c r="I47" s="343"/>
      <c r="K47" s="436" t="str">
        <f>IF(Umse!$C$24=0,"",IF(OR($A$1="3.1.",$A$1="3.2.",$A$1="3.5.",$A$1="3.6.",$A$1="3.9.",$A$1="3.10."),'KrBe Tab'!A19,""))</f>
        <v/>
      </c>
      <c r="L47" s="436" t="str">
        <f>IF(Umse!$C$24=0,"",IF(OR($A$1="3.1.",$A$1="3.2.",$A$1="3.5.",$A$1="3.6.",$A$1="3.9.",$A$1="3.10."),'KrBe Tab'!B19,""))</f>
        <v/>
      </c>
      <c r="M47" s="437" t="str">
        <f>IF(Umse!$C$24=0,"",IF(OR($A$1="3.1.",$A$1="3.2.",$A$1="3.5.",$A$1="3.6.",$A$1="3.9.",$A$1="3.10."),'KrBe Tab'!C19,""))</f>
        <v/>
      </c>
      <c r="N47" s="437" t="str">
        <f>IF(Umse!$C$24=0,"",IF(OR($A$1="3.1.",$A$1="3.2.",$A$1="3.5.",$A$1="3.6.",$A$1="3.9.",$A$1="3.10."),'KrBe Tab'!D19,""))</f>
        <v/>
      </c>
      <c r="O47" s="437" t="str">
        <f>IF(Umse!$C$24=0,"",IF(OR($A$1="3.1.",$A$1="3.2.",$A$1="3.5.",$A$1="3.6.",$A$1="3.9.",$A$1="3.10."),'KrBe Tab'!E19,""))</f>
        <v/>
      </c>
      <c r="P47" s="437" t="str">
        <f>IF(Umse!$C$24=0,"",IF(OR($A$1="3.1.",$A$1="3.2.",$A$1="3.5.",$A$1="3.6.",$A$1="3.9.",$A$1="3.10."),'KrBe Tab'!F19,""))</f>
        <v/>
      </c>
      <c r="Q47" s="437" t="str">
        <f>IF(Umse!$C$24=0,"",IF(OR($A$1="3.1.",$A$1="3.2.",$A$1="3.5.",$A$1="3.6.",$A$1="3.9.",$A$1="3.10."),'KrBe Tab'!G19,""))</f>
        <v/>
      </c>
      <c r="R47" s="432"/>
    </row>
    <row r="48" spans="1:18">
      <c r="B48" s="332"/>
      <c r="C48" s="332"/>
      <c r="D48" s="343"/>
      <c r="E48" s="343"/>
      <c r="F48" s="343"/>
      <c r="G48" s="343"/>
      <c r="H48" s="343"/>
      <c r="I48" s="343"/>
      <c r="K48" s="365"/>
      <c r="L48" s="365"/>
      <c r="M48" s="356"/>
      <c r="N48" s="356"/>
      <c r="O48" s="356"/>
      <c r="P48" s="356"/>
      <c r="Q48" s="343"/>
      <c r="R48" s="343"/>
    </row>
    <row r="49" spans="2:18">
      <c r="B49" s="332"/>
      <c r="C49" s="332"/>
      <c r="D49" s="343"/>
      <c r="E49" s="343"/>
      <c r="F49" s="343"/>
      <c r="G49" s="343"/>
      <c r="H49" s="343"/>
      <c r="I49" s="343"/>
      <c r="K49" s="356"/>
      <c r="L49" s="356"/>
      <c r="M49" s="356"/>
      <c r="N49" s="356"/>
      <c r="O49" s="356"/>
      <c r="P49" s="356"/>
      <c r="Q49" s="343"/>
      <c r="R49" s="343"/>
    </row>
    <row r="50" spans="2:18">
      <c r="B50" s="332"/>
      <c r="C50" s="332"/>
      <c r="D50" s="343"/>
      <c r="E50" s="343"/>
      <c r="F50" s="343"/>
      <c r="G50" s="343"/>
      <c r="H50" s="343"/>
      <c r="I50" s="343"/>
      <c r="K50" s="356"/>
      <c r="L50" s="356"/>
      <c r="M50" s="360"/>
      <c r="N50" s="343"/>
      <c r="O50" s="360"/>
      <c r="P50" s="343"/>
      <c r="Q50" s="343"/>
      <c r="R50" s="343"/>
    </row>
    <row r="51" spans="2:18">
      <c r="K51" s="356"/>
      <c r="L51" s="356"/>
      <c r="N51" s="343"/>
      <c r="P51" s="343"/>
      <c r="Q51" s="343"/>
      <c r="R51" s="343"/>
    </row>
    <row r="53" spans="2:18">
      <c r="B53" s="364"/>
      <c r="C53" s="364"/>
    </row>
  </sheetData>
  <mergeCells count="7">
    <mergeCell ref="B23:C32"/>
    <mergeCell ref="I23:I32"/>
    <mergeCell ref="D23:D32"/>
    <mergeCell ref="E23:E32"/>
    <mergeCell ref="F23:F32"/>
    <mergeCell ref="G23:G32"/>
    <mergeCell ref="H23:H32"/>
  </mergeCells>
  <phoneticPr fontId="0" type="noConversion"/>
  <printOptions horizontalCentered="1" verticalCentered="1"/>
  <pageMargins left="0.19685039370078741" right="0.19685039370078741" top="0.19685039370078741" bottom="0.19685039370078741" header="0.51181102362204722" footer="0.51181102362204722"/>
  <pageSetup paperSize="9" scale="8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C00000"/>
  </sheetPr>
  <dimension ref="A1:AI74"/>
  <sheetViews>
    <sheetView topLeftCell="A37" zoomScale="120" zoomScaleNormal="120" workbookViewId="0">
      <selection activeCell="B2" sqref="B2:D2"/>
    </sheetView>
  </sheetViews>
  <sheetFormatPr baseColWidth="10" defaultRowHeight="8.25"/>
  <cols>
    <col min="1" max="5" width="11.42578125" style="8"/>
    <col min="6" max="34" width="11.42578125" style="32"/>
    <col min="35" max="16384" width="11.42578125" style="8"/>
  </cols>
  <sheetData>
    <row r="1" spans="1:35" s="5" customFormat="1" ht="9.75" customHeight="1">
      <c r="A1" s="11">
        <v>1</v>
      </c>
      <c r="B1" s="53" t="str">
        <f>Kalk!B20</f>
        <v>TVöD ( Bund )</v>
      </c>
      <c r="C1" s="11" t="s">
        <v>48</v>
      </c>
      <c r="D1" s="12" t="s">
        <v>173</v>
      </c>
      <c r="E1" s="12" t="s">
        <v>478</v>
      </c>
      <c r="F1" s="4"/>
      <c r="G1" s="4"/>
      <c r="H1" s="4"/>
      <c r="I1" s="4"/>
      <c r="J1" s="4"/>
      <c r="K1" s="4"/>
      <c r="L1" s="4"/>
      <c r="M1" s="33"/>
      <c r="N1" s="33"/>
      <c r="O1" s="33"/>
      <c r="P1" s="33"/>
      <c r="Q1" s="33"/>
      <c r="R1" s="33"/>
      <c r="S1" s="33"/>
      <c r="T1" s="33"/>
      <c r="U1" s="33"/>
      <c r="V1" s="33"/>
      <c r="W1" s="33"/>
      <c r="X1" s="33"/>
      <c r="Y1" s="33"/>
      <c r="Z1" s="33"/>
      <c r="AA1" s="33"/>
      <c r="AB1" s="33"/>
      <c r="AC1" s="33"/>
      <c r="AD1" s="33"/>
      <c r="AE1" s="33"/>
      <c r="AF1" s="33"/>
      <c r="AG1" s="33"/>
      <c r="AH1" s="33"/>
    </row>
    <row r="2" spans="1:35" s="5" customFormat="1" ht="9.75" customHeight="1">
      <c r="A2" s="13">
        <v>2</v>
      </c>
      <c r="B2" s="54" t="str">
        <f>Kalk!B21</f>
        <v>TVöD ( VKA )</v>
      </c>
      <c r="C2" s="424" t="s">
        <v>49</v>
      </c>
      <c r="D2" s="424" t="s">
        <v>50</v>
      </c>
      <c r="E2" s="424" t="s">
        <v>51</v>
      </c>
      <c r="F2" s="424" t="s">
        <v>153</v>
      </c>
      <c r="G2" s="424" t="s">
        <v>154</v>
      </c>
      <c r="H2" s="424" t="s">
        <v>174</v>
      </c>
      <c r="I2" s="424" t="s">
        <v>175</v>
      </c>
      <c r="J2" s="424" t="s">
        <v>176</v>
      </c>
      <c r="K2" s="424" t="s">
        <v>177</v>
      </c>
      <c r="L2" s="424" t="s">
        <v>178</v>
      </c>
      <c r="M2" s="424" t="s">
        <v>484</v>
      </c>
      <c r="N2" s="424" t="s">
        <v>485</v>
      </c>
      <c r="O2" s="33"/>
      <c r="P2" s="33"/>
      <c r="Q2" s="33"/>
      <c r="R2" s="33"/>
      <c r="S2" s="33"/>
      <c r="T2" s="33"/>
      <c r="U2" s="33"/>
      <c r="V2" s="33"/>
      <c r="W2" s="33"/>
      <c r="X2" s="33"/>
      <c r="Y2" s="33"/>
      <c r="Z2" s="33"/>
      <c r="AA2" s="33"/>
      <c r="AB2" s="33"/>
      <c r="AC2" s="33"/>
      <c r="AD2" s="33"/>
      <c r="AE2" s="33"/>
      <c r="AF2" s="33"/>
      <c r="AG2" s="33"/>
      <c r="AH2" s="33"/>
    </row>
    <row r="3" spans="1:35" s="5" customFormat="1" ht="9.75" customHeight="1">
      <c r="A3" s="11">
        <v>3</v>
      </c>
      <c r="B3" s="53" t="str">
        <f>Kalk!B22</f>
        <v>TVöD ( BT-K )</v>
      </c>
      <c r="C3" s="11" t="s">
        <v>52</v>
      </c>
      <c r="D3" s="11" t="s">
        <v>53</v>
      </c>
      <c r="E3" s="11" t="s">
        <v>58</v>
      </c>
      <c r="F3" s="11" t="s">
        <v>117</v>
      </c>
      <c r="G3" s="423" t="s">
        <v>179</v>
      </c>
      <c r="H3" s="423" t="s">
        <v>180</v>
      </c>
      <c r="I3" s="423" t="s">
        <v>181</v>
      </c>
      <c r="J3" s="423" t="s">
        <v>182</v>
      </c>
      <c r="K3" s="11" t="s">
        <v>379</v>
      </c>
      <c r="L3" s="11" t="s">
        <v>380</v>
      </c>
      <c r="M3" s="11" t="s">
        <v>381</v>
      </c>
      <c r="N3" s="11" t="s">
        <v>382</v>
      </c>
      <c r="O3" s="33"/>
      <c r="P3" s="33"/>
      <c r="Q3" s="33"/>
      <c r="R3" s="33"/>
      <c r="S3" s="33"/>
      <c r="T3" s="33"/>
      <c r="U3" s="33"/>
      <c r="V3" s="33"/>
      <c r="W3" s="33"/>
      <c r="X3" s="33"/>
      <c r="Y3" s="33"/>
      <c r="Z3" s="33"/>
      <c r="AA3" s="33"/>
      <c r="AB3" s="33"/>
      <c r="AC3" s="33"/>
      <c r="AD3" s="33"/>
      <c r="AE3" s="33"/>
      <c r="AF3" s="33"/>
      <c r="AG3" s="33"/>
      <c r="AH3" s="33"/>
    </row>
    <row r="4" spans="1:35" s="5" customFormat="1" ht="9.75" customHeight="1">
      <c r="A4" s="13">
        <v>4</v>
      </c>
      <c r="B4" s="54" t="str">
        <f>Kalk!B23</f>
        <v>TVöD ( BT-B )</v>
      </c>
      <c r="C4" s="13" t="s">
        <v>54</v>
      </c>
      <c r="D4" s="14" t="s">
        <v>55</v>
      </c>
      <c r="E4" s="424" t="s">
        <v>183</v>
      </c>
      <c r="F4" s="424" t="s">
        <v>184</v>
      </c>
      <c r="G4" s="13" t="s">
        <v>383</v>
      </c>
      <c r="H4" s="13" t="s">
        <v>384</v>
      </c>
      <c r="I4" s="96"/>
      <c r="J4" s="96"/>
      <c r="K4" s="96"/>
      <c r="L4" s="96"/>
      <c r="M4" s="96"/>
      <c r="N4" s="33"/>
      <c r="O4" s="33"/>
      <c r="P4" s="33"/>
      <c r="Q4" s="33"/>
      <c r="R4" s="33"/>
      <c r="S4" s="33"/>
      <c r="T4" s="33"/>
      <c r="U4" s="33"/>
      <c r="V4" s="33"/>
      <c r="W4" s="33"/>
      <c r="X4" s="33"/>
      <c r="Y4" s="33"/>
      <c r="Z4" s="33"/>
      <c r="AA4" s="33"/>
      <c r="AB4" s="33"/>
      <c r="AC4" s="33"/>
      <c r="AD4" s="33"/>
      <c r="AE4" s="33"/>
      <c r="AF4" s="33"/>
      <c r="AG4" s="33"/>
      <c r="AH4" s="33"/>
    </row>
    <row r="5" spans="1:35" s="5" customFormat="1" ht="9.75" customHeight="1">
      <c r="A5" s="11">
        <v>5</v>
      </c>
      <c r="B5" s="53" t="str">
        <f>Kalk!B24</f>
        <v>TV-L  AT ( Anlage B )</v>
      </c>
      <c r="C5" s="11" t="s">
        <v>79</v>
      </c>
      <c r="D5" s="12" t="s">
        <v>71</v>
      </c>
      <c r="E5" s="11" t="s">
        <v>72</v>
      </c>
      <c r="F5" s="11" t="s">
        <v>80</v>
      </c>
      <c r="G5" s="11" t="s">
        <v>73</v>
      </c>
      <c r="H5" s="11" t="s">
        <v>74</v>
      </c>
      <c r="I5" s="11" t="s">
        <v>75</v>
      </c>
      <c r="J5" s="11" t="s">
        <v>76</v>
      </c>
      <c r="K5" s="11" t="s">
        <v>77</v>
      </c>
      <c r="L5" s="11" t="s">
        <v>78</v>
      </c>
      <c r="M5" s="11" t="s">
        <v>304</v>
      </c>
      <c r="N5" s="12" t="s">
        <v>305</v>
      </c>
      <c r="O5" s="12" t="s">
        <v>306</v>
      </c>
      <c r="P5" s="11" t="s">
        <v>307</v>
      </c>
      <c r="Q5" s="11" t="s">
        <v>308</v>
      </c>
      <c r="R5" s="11" t="s">
        <v>309</v>
      </c>
      <c r="S5" s="11" t="s">
        <v>310</v>
      </c>
      <c r="T5" s="11" t="s">
        <v>311</v>
      </c>
      <c r="U5" s="11" t="s">
        <v>312</v>
      </c>
      <c r="V5" s="11" t="s">
        <v>313</v>
      </c>
      <c r="W5" s="11" t="s">
        <v>413</v>
      </c>
      <c r="X5" s="12" t="s">
        <v>412</v>
      </c>
      <c r="Y5" s="11" t="s">
        <v>414</v>
      </c>
      <c r="Z5" s="11" t="s">
        <v>415</v>
      </c>
      <c r="AA5" s="11" t="s">
        <v>416</v>
      </c>
      <c r="AB5" s="11" t="s">
        <v>417</v>
      </c>
      <c r="AC5" s="11" t="s">
        <v>418</v>
      </c>
      <c r="AD5" s="11" t="s">
        <v>419</v>
      </c>
      <c r="AE5" s="11" t="s">
        <v>420</v>
      </c>
      <c r="AF5" s="11" t="s">
        <v>421</v>
      </c>
      <c r="AG5" s="11" t="s">
        <v>422</v>
      </c>
      <c r="AH5" s="11" t="s">
        <v>423</v>
      </c>
      <c r="AI5" s="11" t="s">
        <v>538</v>
      </c>
    </row>
    <row r="6" spans="1:35" s="5" customFormat="1" ht="9.75" customHeight="1">
      <c r="A6" s="13">
        <v>6</v>
      </c>
      <c r="B6" s="54" t="str">
        <f>Kalk!B25</f>
        <v>TV-L  Kr ( Anlage C )</v>
      </c>
      <c r="C6" s="13" t="s">
        <v>126</v>
      </c>
      <c r="D6" s="13" t="s">
        <v>314</v>
      </c>
      <c r="E6" s="13" t="s">
        <v>424</v>
      </c>
      <c r="F6" s="13" t="s">
        <v>425</v>
      </c>
      <c r="G6" s="13" t="s">
        <v>426</v>
      </c>
      <c r="H6" s="13" t="s">
        <v>427</v>
      </c>
      <c r="I6" s="2"/>
      <c r="J6" s="2"/>
      <c r="K6" s="2"/>
      <c r="L6" s="2"/>
      <c r="M6" s="2"/>
      <c r="N6" s="33"/>
      <c r="O6" s="33"/>
      <c r="P6" s="33"/>
      <c r="Q6" s="33"/>
      <c r="R6" s="33"/>
      <c r="S6" s="33"/>
      <c r="T6" s="33"/>
      <c r="U6" s="33"/>
      <c r="V6" s="33"/>
      <c r="W6" s="33"/>
      <c r="X6" s="33"/>
      <c r="Y6" s="33"/>
      <c r="Z6" s="33"/>
      <c r="AA6" s="33"/>
      <c r="AB6" s="33"/>
      <c r="AC6" s="33"/>
      <c r="AD6" s="33"/>
      <c r="AE6" s="33"/>
      <c r="AF6" s="33"/>
      <c r="AG6" s="33"/>
      <c r="AH6" s="33"/>
    </row>
    <row r="7" spans="1:35" s="5" customFormat="1" ht="9.75" customHeight="1">
      <c r="A7" s="11">
        <v>7</v>
      </c>
      <c r="B7" s="53" t="str">
        <f>Kalk!B26</f>
        <v>TV-L  SuE ( Anlage G )</v>
      </c>
      <c r="C7" s="11" t="s">
        <v>84</v>
      </c>
      <c r="D7" s="12" t="s">
        <v>85</v>
      </c>
      <c r="E7" s="11" t="s">
        <v>315</v>
      </c>
      <c r="F7" s="11" t="s">
        <v>316</v>
      </c>
      <c r="G7" s="11" t="s">
        <v>597</v>
      </c>
      <c r="H7" s="11" t="s">
        <v>598</v>
      </c>
      <c r="I7" s="11" t="s">
        <v>597</v>
      </c>
      <c r="J7" s="11" t="s">
        <v>599</v>
      </c>
      <c r="K7" s="11" t="s">
        <v>600</v>
      </c>
      <c r="L7" s="11" t="s">
        <v>601</v>
      </c>
      <c r="M7" s="11" t="s">
        <v>602</v>
      </c>
      <c r="N7" s="12" t="s">
        <v>603</v>
      </c>
      <c r="O7" s="12" t="s">
        <v>604</v>
      </c>
      <c r="P7" s="11" t="s">
        <v>605</v>
      </c>
      <c r="Q7" s="11" t="s">
        <v>606</v>
      </c>
      <c r="R7" s="11" t="s">
        <v>607</v>
      </c>
      <c r="S7" s="11" t="s">
        <v>606</v>
      </c>
      <c r="T7" s="11" t="s">
        <v>608</v>
      </c>
      <c r="U7" s="11" t="s">
        <v>609</v>
      </c>
      <c r="V7" s="11" t="s">
        <v>610</v>
      </c>
      <c r="W7" s="11" t="s">
        <v>611</v>
      </c>
      <c r="X7" s="12" t="s">
        <v>612</v>
      </c>
      <c r="Y7" s="33"/>
      <c r="Z7" s="33"/>
      <c r="AA7" s="33"/>
      <c r="AB7" s="33"/>
      <c r="AC7" s="33"/>
      <c r="AD7" s="33"/>
      <c r="AE7" s="33"/>
      <c r="AF7" s="33"/>
      <c r="AG7" s="33"/>
      <c r="AH7" s="33"/>
    </row>
    <row r="8" spans="1:35" s="5" customFormat="1" ht="9.75" customHeight="1">
      <c r="A8" s="13">
        <v>8</v>
      </c>
      <c r="B8" s="54" t="str">
        <f>Kalk!B27</f>
        <v>TV-AVH ( AV Hamburg )</v>
      </c>
      <c r="C8" s="13" t="s">
        <v>193</v>
      </c>
      <c r="D8" s="14" t="s">
        <v>317</v>
      </c>
      <c r="E8" s="13" t="s">
        <v>438</v>
      </c>
      <c r="F8" s="2"/>
      <c r="G8" s="2"/>
      <c r="H8" s="2"/>
      <c r="I8" s="2"/>
      <c r="J8" s="2"/>
      <c r="K8" s="2"/>
      <c r="L8" s="2"/>
      <c r="M8" s="2"/>
      <c r="N8" s="33"/>
      <c r="O8" s="33"/>
      <c r="P8" s="33"/>
      <c r="Q8" s="33"/>
      <c r="R8" s="33"/>
      <c r="S8" s="33"/>
      <c r="T8" s="33"/>
      <c r="U8" s="33"/>
      <c r="V8" s="33"/>
      <c r="W8" s="33"/>
      <c r="X8" s="33"/>
      <c r="Y8" s="33"/>
      <c r="Z8" s="33"/>
      <c r="AA8" s="33"/>
      <c r="AB8" s="33"/>
      <c r="AC8" s="33"/>
      <c r="AD8" s="33"/>
      <c r="AE8" s="33"/>
      <c r="AF8" s="33"/>
      <c r="AG8" s="33"/>
      <c r="AH8" s="33"/>
    </row>
    <row r="9" spans="1:35" s="5" customFormat="1" ht="9.75" customHeight="1">
      <c r="A9" s="565">
        <v>9</v>
      </c>
      <c r="B9" s="566" t="str">
        <f>Kalk!B28</f>
        <v>TV-H  AT ( Hessen )</v>
      </c>
      <c r="C9" s="565" t="s">
        <v>200</v>
      </c>
      <c r="D9" s="565" t="s">
        <v>318</v>
      </c>
      <c r="E9" s="565" t="s">
        <v>542</v>
      </c>
      <c r="F9" s="565" t="s">
        <v>593</v>
      </c>
      <c r="G9" s="2"/>
      <c r="H9" s="2"/>
      <c r="I9" s="2"/>
      <c r="J9" s="2"/>
      <c r="K9" s="2"/>
      <c r="L9" s="2"/>
      <c r="M9" s="2"/>
      <c r="N9" s="33"/>
      <c r="O9" s="33"/>
      <c r="P9" s="33"/>
      <c r="Q9" s="33"/>
      <c r="R9" s="33"/>
      <c r="S9" s="33"/>
      <c r="T9" s="33"/>
      <c r="U9" s="33"/>
      <c r="V9" s="33"/>
      <c r="W9" s="33"/>
      <c r="X9" s="33"/>
      <c r="Y9" s="33"/>
      <c r="Z9" s="33"/>
      <c r="AA9" s="33"/>
      <c r="AB9" s="33"/>
      <c r="AC9" s="33"/>
      <c r="AD9" s="33"/>
      <c r="AE9" s="33"/>
      <c r="AF9" s="33"/>
      <c r="AG9" s="33"/>
      <c r="AH9" s="33"/>
    </row>
    <row r="10" spans="1:35" s="5" customFormat="1" ht="9.75" customHeight="1" thickBot="1">
      <c r="A10" s="562">
        <v>10</v>
      </c>
      <c r="B10" s="563" t="str">
        <f>Kalk!B29</f>
        <v>TV dataport</v>
      </c>
      <c r="C10" s="562" t="s">
        <v>594</v>
      </c>
      <c r="D10" s="562" t="s">
        <v>595</v>
      </c>
      <c r="E10" s="562" t="s">
        <v>596</v>
      </c>
      <c r="F10" s="2"/>
      <c r="G10" s="2"/>
      <c r="H10" s="2"/>
      <c r="I10" s="2"/>
      <c r="J10" s="2"/>
      <c r="K10" s="2"/>
      <c r="L10" s="2"/>
      <c r="M10" s="2"/>
      <c r="N10" s="33"/>
      <c r="O10" s="33"/>
      <c r="P10" s="33"/>
      <c r="Q10" s="33"/>
      <c r="R10" s="33"/>
      <c r="S10" s="33"/>
      <c r="T10" s="33"/>
      <c r="U10" s="33"/>
      <c r="V10" s="33"/>
      <c r="W10" s="33"/>
      <c r="X10" s="33"/>
      <c r="Y10" s="33"/>
      <c r="Z10" s="33"/>
      <c r="AA10" s="33"/>
      <c r="AB10" s="33"/>
      <c r="AC10" s="33"/>
      <c r="AD10" s="33"/>
      <c r="AE10" s="33"/>
      <c r="AF10" s="33"/>
      <c r="AG10" s="33"/>
      <c r="AH10" s="33"/>
    </row>
    <row r="11" spans="1:35" s="5" customFormat="1" ht="9.75" customHeight="1" thickBot="1">
      <c r="A11" s="2"/>
      <c r="B11" s="467" t="str">
        <f>VLOOKUP(Kalk!B5,A1:AI10,Kalk!C4+2)</f>
        <v>1.2.</v>
      </c>
      <c r="C11" s="2"/>
      <c r="D11" s="2"/>
      <c r="E11" s="2"/>
      <c r="F11" s="2"/>
      <c r="G11" s="2"/>
      <c r="H11" s="2"/>
      <c r="I11" s="2"/>
      <c r="J11" s="2"/>
      <c r="K11" s="2"/>
      <c r="L11" s="2"/>
      <c r="M11" s="33"/>
      <c r="N11" s="33"/>
      <c r="O11" s="33"/>
      <c r="P11" s="33"/>
      <c r="Q11" s="33"/>
      <c r="R11" s="33"/>
      <c r="S11" s="33"/>
      <c r="T11" s="33"/>
      <c r="U11" s="33"/>
      <c r="V11" s="33"/>
      <c r="W11" s="33"/>
      <c r="X11" s="33"/>
      <c r="Y11" s="33"/>
      <c r="Z11" s="33"/>
      <c r="AA11" s="33"/>
      <c r="AB11" s="33"/>
      <c r="AC11" s="33"/>
      <c r="AD11" s="33"/>
      <c r="AE11" s="33"/>
      <c r="AF11" s="33"/>
      <c r="AG11" s="33"/>
      <c r="AH11" s="33"/>
    </row>
    <row r="12" spans="1:35" s="537" customFormat="1" ht="9.75" customHeight="1">
      <c r="A12" s="96"/>
      <c r="B12" s="96"/>
      <c r="C12" s="533" t="s">
        <v>528</v>
      </c>
      <c r="D12" s="533" t="s">
        <v>529</v>
      </c>
      <c r="E12" s="534" t="s">
        <v>537</v>
      </c>
      <c r="F12" s="533" t="s">
        <v>530</v>
      </c>
      <c r="G12" s="533" t="s">
        <v>531</v>
      </c>
      <c r="H12" s="533" t="s">
        <v>532</v>
      </c>
      <c r="I12" s="533" t="s">
        <v>533</v>
      </c>
      <c r="J12" s="533" t="s">
        <v>534</v>
      </c>
      <c r="K12" s="533" t="s">
        <v>535</v>
      </c>
      <c r="L12" s="533" t="s">
        <v>536</v>
      </c>
      <c r="M12" s="533" t="s">
        <v>539</v>
      </c>
      <c r="N12" s="533"/>
      <c r="O12" s="533"/>
      <c r="P12" s="533"/>
      <c r="Q12" s="535"/>
      <c r="R12" s="536"/>
      <c r="S12" s="536"/>
      <c r="T12" s="536"/>
      <c r="U12" s="536"/>
      <c r="V12" s="536"/>
      <c r="W12" s="536"/>
      <c r="X12" s="536"/>
      <c r="Y12" s="536"/>
      <c r="Z12" s="536"/>
      <c r="AA12" s="536"/>
      <c r="AB12" s="536"/>
      <c r="AC12" s="536"/>
      <c r="AD12" s="536"/>
      <c r="AE12" s="536"/>
      <c r="AF12" s="536"/>
      <c r="AG12" s="536"/>
      <c r="AH12" s="536"/>
    </row>
    <row r="13" spans="1:35" s="5" customFormat="1" ht="9.75" customHeight="1">
      <c r="A13" s="11">
        <v>1</v>
      </c>
      <c r="B13" s="53" t="str">
        <f>Kalk!B20</f>
        <v>TVöD ( Bund )</v>
      </c>
      <c r="C13" s="425" t="s">
        <v>479</v>
      </c>
      <c r="D13" s="425" t="s">
        <v>634</v>
      </c>
      <c r="E13" s="425" t="s">
        <v>635</v>
      </c>
      <c r="F13" s="93"/>
      <c r="G13" s="93"/>
      <c r="H13" s="93"/>
      <c r="I13" s="93"/>
      <c r="J13" s="93"/>
      <c r="K13" s="93"/>
      <c r="L13" s="93"/>
      <c r="M13" s="93"/>
      <c r="N13" s="93"/>
      <c r="O13" s="93"/>
      <c r="P13" s="33"/>
      <c r="Q13" s="33"/>
      <c r="R13" s="33"/>
      <c r="S13" s="33"/>
      <c r="T13" s="33"/>
      <c r="U13" s="33"/>
      <c r="V13" s="33"/>
      <c r="W13" s="33"/>
      <c r="X13" s="33"/>
      <c r="Y13" s="33"/>
      <c r="Z13" s="33"/>
      <c r="AA13" s="33"/>
      <c r="AB13" s="33"/>
      <c r="AC13" s="33"/>
      <c r="AD13" s="33"/>
      <c r="AE13" s="33"/>
      <c r="AF13" s="33"/>
      <c r="AG13" s="33"/>
      <c r="AH13" s="33"/>
    </row>
    <row r="14" spans="1:35" s="5" customFormat="1" ht="9.75" customHeight="1">
      <c r="A14" s="13">
        <v>2</v>
      </c>
      <c r="B14" s="54" t="str">
        <f>Kalk!B21</f>
        <v>TVöD ( VKA )</v>
      </c>
      <c r="C14" s="611" t="s">
        <v>481</v>
      </c>
      <c r="D14" s="612" t="s">
        <v>482</v>
      </c>
      <c r="E14" s="612" t="s">
        <v>483</v>
      </c>
      <c r="F14" s="613" t="s">
        <v>480</v>
      </c>
      <c r="G14" s="614" t="s">
        <v>636</v>
      </c>
      <c r="H14" s="612" t="s">
        <v>637</v>
      </c>
      <c r="I14" s="612" t="s">
        <v>638</v>
      </c>
      <c r="J14" s="613" t="s">
        <v>639</v>
      </c>
      <c r="K14" s="611" t="s">
        <v>640</v>
      </c>
      <c r="L14" s="612" t="s">
        <v>641</v>
      </c>
      <c r="M14" s="612" t="s">
        <v>642</v>
      </c>
      <c r="N14" s="613" t="s">
        <v>643</v>
      </c>
      <c r="O14" s="33"/>
      <c r="P14" s="33"/>
      <c r="Q14" s="33"/>
      <c r="R14" s="33"/>
      <c r="S14" s="33"/>
      <c r="T14" s="33"/>
      <c r="U14" s="33"/>
      <c r="V14" s="33"/>
      <c r="W14" s="33"/>
      <c r="X14" s="33"/>
      <c r="Y14" s="33"/>
      <c r="Z14" s="33"/>
      <c r="AA14" s="33"/>
      <c r="AB14" s="33"/>
      <c r="AC14" s="33"/>
      <c r="AD14" s="33"/>
      <c r="AE14" s="33"/>
      <c r="AF14" s="33"/>
      <c r="AG14" s="33"/>
      <c r="AH14" s="33"/>
    </row>
    <row r="15" spans="1:35" s="5" customFormat="1" ht="9.75" customHeight="1">
      <c r="A15" s="11">
        <v>3</v>
      </c>
      <c r="B15" s="53" t="str">
        <f>Kalk!B22</f>
        <v>TVöD ( BT-K )</v>
      </c>
      <c r="C15" s="608" t="s">
        <v>505</v>
      </c>
      <c r="D15" s="609" t="s">
        <v>506</v>
      </c>
      <c r="E15" s="609" t="s">
        <v>515</v>
      </c>
      <c r="F15" s="610" t="s">
        <v>516</v>
      </c>
      <c r="G15" s="608" t="s">
        <v>644</v>
      </c>
      <c r="H15" s="609" t="s">
        <v>645</v>
      </c>
      <c r="I15" s="609" t="s">
        <v>648</v>
      </c>
      <c r="J15" s="610" t="s">
        <v>649</v>
      </c>
      <c r="K15" s="608" t="s">
        <v>650</v>
      </c>
      <c r="L15" s="609" t="s">
        <v>651</v>
      </c>
      <c r="M15" s="609" t="s">
        <v>646</v>
      </c>
      <c r="N15" s="610" t="s">
        <v>647</v>
      </c>
      <c r="O15" s="33"/>
      <c r="P15" s="33"/>
      <c r="Q15" s="33"/>
      <c r="R15" s="33"/>
      <c r="S15" s="33"/>
      <c r="T15" s="33"/>
      <c r="U15" s="33"/>
      <c r="V15" s="33"/>
      <c r="W15" s="33"/>
      <c r="X15" s="33"/>
      <c r="Y15" s="33"/>
      <c r="Z15" s="33"/>
      <c r="AA15" s="33"/>
      <c r="AB15" s="33"/>
      <c r="AC15" s="33"/>
      <c r="AD15" s="33"/>
      <c r="AE15" s="33"/>
      <c r="AF15" s="33"/>
      <c r="AG15" s="33"/>
      <c r="AH15" s="33"/>
    </row>
    <row r="16" spans="1:35" s="5" customFormat="1" ht="9.75" customHeight="1">
      <c r="A16" s="13">
        <v>4</v>
      </c>
      <c r="B16" s="54" t="str">
        <f>Kalk!B23</f>
        <v>TVöD ( BT-B )</v>
      </c>
      <c r="C16" s="427" t="str">
        <f>C15</f>
        <v>Pflege West ( ab 1.03.2020 )</v>
      </c>
      <c r="D16" s="427" t="str">
        <f>D15</f>
        <v>Pflege Ost ( ab 1.03.2020 )</v>
      </c>
      <c r="E16" s="427" t="str">
        <f>G15</f>
        <v>Pflege West ( ab 1.04.2021 )</v>
      </c>
      <c r="F16" s="427" t="str">
        <f>H15</f>
        <v>Pflege Ost ( ab 1.04.2021 )</v>
      </c>
      <c r="G16" s="427" t="str">
        <f>K15</f>
        <v>Pflege West ( ab 1.04.2022 )</v>
      </c>
      <c r="H16" s="427" t="str">
        <f>L15</f>
        <v>Pflege Ost ( ab 1.04.2022 )</v>
      </c>
      <c r="I16" s="97"/>
      <c r="J16" s="97"/>
      <c r="K16" s="97"/>
      <c r="L16" s="97"/>
      <c r="M16" s="97"/>
      <c r="N16" s="33"/>
      <c r="O16" s="33"/>
      <c r="P16" s="33"/>
      <c r="Q16" s="33"/>
      <c r="R16" s="33"/>
      <c r="S16" s="33"/>
      <c r="T16" s="33"/>
      <c r="U16" s="33"/>
      <c r="V16" s="33"/>
      <c r="W16" s="33"/>
      <c r="X16" s="33"/>
      <c r="Y16" s="33"/>
      <c r="Z16" s="33"/>
      <c r="AA16" s="33"/>
      <c r="AB16" s="33"/>
      <c r="AC16" s="33"/>
      <c r="AD16" s="33"/>
      <c r="AE16" s="33"/>
      <c r="AF16" s="33"/>
      <c r="AG16" s="33"/>
      <c r="AH16" s="33"/>
    </row>
    <row r="17" spans="1:35" s="5" customFormat="1" ht="9.75" customHeight="1">
      <c r="A17" s="11">
        <v>5</v>
      </c>
      <c r="B17" s="53" t="str">
        <f>Kalk!B24</f>
        <v>TV-L  AT ( Anlage B )</v>
      </c>
      <c r="C17" s="92" t="str">
        <f>C12&amp;"  "&amp;'L Tab'!$DB$26</f>
        <v>Baden-Württemberg  ( ab 1.01.2019 )</v>
      </c>
      <c r="D17" s="92" t="str">
        <f>D12&amp;"  "&amp;'L Tab'!$DB$26</f>
        <v>Bayern  ( ab 1.01.2019 )</v>
      </c>
      <c r="E17" s="92" t="str">
        <f>E12&amp;"  "&amp;'L Tab'!$DB$26</f>
        <v>Berlin  ( ab 1.01.2019 )</v>
      </c>
      <c r="F17" s="92" t="str">
        <f>F12&amp;"  "&amp;'L Tab'!$DB$26</f>
        <v>Bremen  ( ab 1.01.2019 )</v>
      </c>
      <c r="G17" s="92" t="str">
        <f>G12&amp;"  "&amp;'L Tab'!$DB$26</f>
        <v>Hamburg  ( ab 1.01.2019 )</v>
      </c>
      <c r="H17" s="92" t="str">
        <f>H12&amp;"  "&amp;'L Tab'!$DB$26</f>
        <v>Niedersachsen  ( ab 1.01.2019 )</v>
      </c>
      <c r="I17" s="92" t="str">
        <f>I12&amp;"  "&amp;'L Tab'!$DB$26</f>
        <v>Nordrhein-Westfalen  ( ab 1.01.2019 )</v>
      </c>
      <c r="J17" s="92" t="str">
        <f>J12&amp;"  "&amp;'L Tab'!$DB$26</f>
        <v>Rheinland-Pfalz  ( ab 1.01.2019 )</v>
      </c>
      <c r="K17" s="92" t="str">
        <f>K12&amp;"  "&amp;'L Tab'!$DB$26</f>
        <v>Saarland  ( ab 1.01.2019 )</v>
      </c>
      <c r="L17" s="92" t="str">
        <f>L12&amp;"  "&amp;'L Tab'!$DB$26</f>
        <v>Schleswig-Holstein  ( ab 1.01.2019 )</v>
      </c>
      <c r="M17" s="92" t="str">
        <f>M12&amp;"  "&amp;'L Tab'!$DB$26</f>
        <v>Tarifgebiet Ost  ( ab 1.01.2019 )</v>
      </c>
      <c r="N17" s="92" t="str">
        <f>C12&amp;"  "&amp;'L Tab'!$DJ$26</f>
        <v>Baden-Württemberg  ( ab 1.01.2020 )</v>
      </c>
      <c r="O17" s="92" t="str">
        <f>D12&amp;"  "&amp;'L Tab'!$DJ$26</f>
        <v>Bayern  ( ab 1.01.2020 )</v>
      </c>
      <c r="P17" s="92" t="str">
        <f>E12&amp;"  "&amp;'L Tab'!$DJ$26</f>
        <v>Berlin  ( ab 1.01.2020 )</v>
      </c>
      <c r="Q17" s="92" t="str">
        <f>F12&amp;"  "&amp;'L Tab'!$DJ$26</f>
        <v>Bremen  ( ab 1.01.2020 )</v>
      </c>
      <c r="R17" s="92" t="str">
        <f>G12&amp;"  "&amp;'L Tab'!$DJ$26</f>
        <v>Hamburg  ( ab 1.01.2020 )</v>
      </c>
      <c r="S17" s="92" t="str">
        <f>H12&amp;"  "&amp;'L Tab'!$DJ$26</f>
        <v>Niedersachsen  ( ab 1.01.2020 )</v>
      </c>
      <c r="T17" s="92" t="str">
        <f>I12&amp;"  "&amp;'L Tab'!$DJ$26</f>
        <v>Nordrhein-Westfalen  ( ab 1.01.2020 )</v>
      </c>
      <c r="U17" s="92" t="str">
        <f>J12&amp;"  "&amp;'L Tab'!$DJ$26</f>
        <v>Rheinland-Pfalz  ( ab 1.01.2020 )</v>
      </c>
      <c r="V17" s="92" t="str">
        <f>K12&amp;"  "&amp;'L Tab'!$DJ$26</f>
        <v>Saarland  ( ab 1.01.2020 )</v>
      </c>
      <c r="W17" s="92" t="str">
        <f>L12&amp;"  "&amp;'L Tab'!$DJ$26</f>
        <v>Schleswig-Holstein  ( ab 1.01.2020 )</v>
      </c>
      <c r="X17" s="92" t="str">
        <f>M12&amp;"  "&amp;'L Tab'!$DJ$26</f>
        <v>Tarifgebiet Ost  ( ab 1.01.2020 )</v>
      </c>
      <c r="Y17" s="92" t="str">
        <f>C12&amp;"  "&amp;'L Tab'!$DR$26</f>
        <v>Baden-Württemberg  ( ab 1.01.2021 )</v>
      </c>
      <c r="Z17" s="92" t="str">
        <f>D12&amp;"  "&amp;'L Tab'!$DR$26</f>
        <v>Bayern  ( ab 1.01.2021 )</v>
      </c>
      <c r="AA17" s="92" t="str">
        <f>E12&amp;"  "&amp;'L Tab'!$DR$26</f>
        <v>Berlin  ( ab 1.01.2021 )</v>
      </c>
      <c r="AB17" s="92" t="str">
        <f>F12&amp;"  "&amp;'L Tab'!$DR$26</f>
        <v>Bremen  ( ab 1.01.2021 )</v>
      </c>
      <c r="AC17" s="92" t="str">
        <f>G12&amp;"  "&amp;'L Tab'!$DR$26</f>
        <v>Hamburg  ( ab 1.01.2021 )</v>
      </c>
      <c r="AD17" s="92" t="str">
        <f>H12&amp;"  "&amp;'L Tab'!$DR$26</f>
        <v>Niedersachsen  ( ab 1.01.2021 )</v>
      </c>
      <c r="AE17" s="92" t="str">
        <f>I12&amp;"  "&amp;'L Tab'!$DR$26</f>
        <v>Nordrhein-Westfalen  ( ab 1.01.2021 )</v>
      </c>
      <c r="AF17" s="92" t="str">
        <f>J12&amp;"  "&amp;'L Tab'!$DR$26</f>
        <v>Rheinland-Pfalz  ( ab 1.01.2021 )</v>
      </c>
      <c r="AG17" s="92" t="str">
        <f>K12&amp;"  "&amp;'L Tab'!$DR$26</f>
        <v>Saarland  ( ab 1.01.2021 )</v>
      </c>
      <c r="AH17" s="92" t="str">
        <f>L12&amp;"  "&amp;'L Tab'!$DR$26</f>
        <v>Schleswig-Holstein  ( ab 1.01.2021 )</v>
      </c>
      <c r="AI17" s="92" t="str">
        <f>M12&amp;"  "&amp;'L Tab'!$DR$26</f>
        <v>Tarifgebiet Ost  ( ab 1.01.2021 )</v>
      </c>
    </row>
    <row r="18" spans="1:35" s="5" customFormat="1" ht="9.75" customHeight="1">
      <c r="A18" s="13">
        <v>6</v>
      </c>
      <c r="B18" s="54" t="str">
        <f>Kalk!B25</f>
        <v>TV-L  Kr ( Anlage C )</v>
      </c>
      <c r="C18" s="94" t="str">
        <f>"Tarifgebiet West "&amp;'L Tab'!$DB$26</f>
        <v>Tarifgebiet West ( ab 1.01.2019 )</v>
      </c>
      <c r="D18" s="94" t="str">
        <f>"Tarifgebiet Ost "&amp;'L Tab'!$DB$26</f>
        <v>Tarifgebiet Ost ( ab 1.01.2019 )</v>
      </c>
      <c r="E18" s="94" t="str">
        <f>"Tarifgebiet West "&amp;'L Tab'!$DJ$26</f>
        <v>Tarifgebiet West ( ab 1.01.2020 )</v>
      </c>
      <c r="F18" s="94" t="str">
        <f>"Tarifgebiet Ost "&amp;'L Tab'!$DJ$26</f>
        <v>Tarifgebiet Ost ( ab 1.01.2020 )</v>
      </c>
      <c r="G18" s="94" t="str">
        <f>"Tarifgebiet West "&amp;'L Tab'!$DR$26</f>
        <v>Tarifgebiet West ( ab 1.01.2021 )</v>
      </c>
      <c r="H18" s="94" t="str">
        <f>"Tarifgebiet Ost "&amp;'L Tab'!$DR$26</f>
        <v>Tarifgebiet Ost ( ab 1.01.2021 )</v>
      </c>
      <c r="I18" s="95"/>
      <c r="J18" s="95"/>
      <c r="K18" s="95"/>
      <c r="L18" s="95"/>
      <c r="M18" s="95"/>
      <c r="N18" s="33"/>
      <c r="O18" s="33"/>
      <c r="P18" s="33"/>
      <c r="Q18" s="33"/>
      <c r="R18" s="33"/>
      <c r="S18" s="33"/>
      <c r="T18" s="33"/>
      <c r="U18" s="33"/>
      <c r="V18" s="33"/>
      <c r="W18" s="33"/>
      <c r="X18" s="33"/>
      <c r="Y18" s="33"/>
      <c r="Z18" s="33"/>
      <c r="AA18" s="33"/>
      <c r="AB18" s="33"/>
      <c r="AC18" s="33"/>
      <c r="AD18" s="33"/>
      <c r="AE18" s="33"/>
      <c r="AF18" s="33"/>
      <c r="AG18" s="33"/>
      <c r="AH18" s="33"/>
    </row>
    <row r="19" spans="1:35" s="5" customFormat="1" ht="9.75" customHeight="1">
      <c r="A19" s="11">
        <v>7</v>
      </c>
      <c r="B19" s="489" t="str">
        <f>Kalk!B26</f>
        <v>TV-L  SuE ( Anlage G )</v>
      </c>
      <c r="C19" s="426" t="str">
        <f>C12&amp;"  "&amp;'L Tab'!$DJ$26</f>
        <v>Baden-Württemberg  ( ab 1.01.2020 )</v>
      </c>
      <c r="D19" s="426" t="str">
        <f>D12&amp;"  "&amp;'L Tab'!$DJ$26</f>
        <v>Bayern  ( ab 1.01.2020 )</v>
      </c>
      <c r="E19" s="426" t="str">
        <f>E12&amp;"  "&amp;'L Tab'!$DJ$26</f>
        <v>Berlin  ( ab 1.01.2020 )</v>
      </c>
      <c r="F19" s="426" t="str">
        <f>F12&amp;"  "&amp;'L Tab'!$DJ$26</f>
        <v>Bremen  ( ab 1.01.2020 )</v>
      </c>
      <c r="G19" s="426" t="str">
        <f>G12&amp;"  "&amp;'L Tab'!$DJ$26</f>
        <v>Hamburg  ( ab 1.01.2020 )</v>
      </c>
      <c r="H19" s="426" t="str">
        <f>H12&amp;"  "&amp;'L Tab'!$DJ$26</f>
        <v>Niedersachsen  ( ab 1.01.2020 )</v>
      </c>
      <c r="I19" s="426" t="str">
        <f>I12&amp;"  "&amp;'L Tab'!$DJ$26</f>
        <v>Nordrhein-Westfalen  ( ab 1.01.2020 )</v>
      </c>
      <c r="J19" s="426" t="str">
        <f>J12&amp;"  "&amp;'L Tab'!$DJ$26</f>
        <v>Rheinland-Pfalz  ( ab 1.01.2020 )</v>
      </c>
      <c r="K19" s="426" t="str">
        <f>K12&amp;"  "&amp;'L Tab'!$DJ$26</f>
        <v>Saarland  ( ab 1.01.2020 )</v>
      </c>
      <c r="L19" s="426" t="str">
        <f>L12&amp;"  "&amp;'L Tab'!$DJ$26</f>
        <v>Schleswig-Holstein  ( ab 1.01.2020 )</v>
      </c>
      <c r="M19" s="426" t="str">
        <f>M12&amp;"  "&amp;'L Tab'!$DJ$26</f>
        <v>Tarifgebiet Ost  ( ab 1.01.2020 )</v>
      </c>
      <c r="N19" s="426" t="str">
        <f>C12&amp;"  "&amp;'L Tab'!$DR$26</f>
        <v>Baden-Württemberg  ( ab 1.01.2021 )</v>
      </c>
      <c r="O19" s="426" t="str">
        <f>D12&amp;"  "&amp;'L Tab'!$DR$26</f>
        <v>Bayern  ( ab 1.01.2021 )</v>
      </c>
      <c r="P19" s="426" t="str">
        <f>E12&amp;"  "&amp;'L Tab'!$DR$26</f>
        <v>Berlin  ( ab 1.01.2021 )</v>
      </c>
      <c r="Q19" s="426" t="str">
        <f>F12&amp;"  "&amp;'L Tab'!$DR$26</f>
        <v>Bremen  ( ab 1.01.2021 )</v>
      </c>
      <c r="R19" s="426" t="str">
        <f>G12&amp;"  "&amp;'L Tab'!$DR$26</f>
        <v>Hamburg  ( ab 1.01.2021 )</v>
      </c>
      <c r="S19" s="426" t="str">
        <f>H12&amp;"  "&amp;'L Tab'!$DR$26</f>
        <v>Niedersachsen  ( ab 1.01.2021 )</v>
      </c>
      <c r="T19" s="426" t="str">
        <f>I12&amp;"  "&amp;'L Tab'!$DR$26</f>
        <v>Nordrhein-Westfalen  ( ab 1.01.2021 )</v>
      </c>
      <c r="U19" s="426" t="str">
        <f>J12&amp;"  "&amp;'L Tab'!$DR$26</f>
        <v>Rheinland-Pfalz  ( ab 1.01.2021 )</v>
      </c>
      <c r="V19" s="426" t="str">
        <f>K12&amp;"  "&amp;'L Tab'!$DR$26</f>
        <v>Saarland  ( ab 1.01.2021 )</v>
      </c>
      <c r="W19" s="426" t="str">
        <f>L12&amp;"  "&amp;'L Tab'!$DR$26</f>
        <v>Schleswig-Holstein  ( ab 1.01.2021 )</v>
      </c>
      <c r="X19" s="426" t="str">
        <f>M12&amp;"  "&amp;'L Tab'!$DR$26</f>
        <v>Tarifgebiet Ost  ( ab 1.01.2021 )</v>
      </c>
      <c r="Y19" s="33"/>
      <c r="Z19" s="33"/>
      <c r="AA19" s="33"/>
      <c r="AB19" s="33"/>
      <c r="AC19" s="33"/>
      <c r="AD19" s="33"/>
      <c r="AE19" s="33"/>
      <c r="AF19" s="33"/>
      <c r="AG19" s="33"/>
      <c r="AH19" s="33"/>
    </row>
    <row r="20" spans="1:35" s="5" customFormat="1" ht="9.75" customHeight="1">
      <c r="A20" s="13">
        <v>8</v>
      </c>
      <c r="B20" s="54" t="str">
        <f>Kalk!B27</f>
        <v>TV-AVH ( AV Hamburg )</v>
      </c>
      <c r="C20" s="94" t="str">
        <f>"AVH "&amp;'AVH Tab'!BF29</f>
        <v>AVH ( ab 1.03.2020 )</v>
      </c>
      <c r="D20" s="616" t="str">
        <f>"AVH "&amp;'AVH Tab'!BN29</f>
        <v>AVH ( ab 1.04.2021 )</v>
      </c>
      <c r="E20" s="616" t="str">
        <f>"AVH "&amp;'AVH Tab'!BV29</f>
        <v>AVH ( ab 1.04.2022 )</v>
      </c>
      <c r="F20" s="95"/>
      <c r="G20" s="95"/>
      <c r="H20" s="95"/>
      <c r="I20" s="95"/>
      <c r="J20" s="95"/>
      <c r="K20" s="95"/>
      <c r="L20" s="95"/>
      <c r="M20" s="95"/>
      <c r="N20" s="33"/>
      <c r="O20" s="33"/>
      <c r="P20" s="33"/>
      <c r="Q20" s="33"/>
      <c r="R20" s="33"/>
      <c r="S20" s="33"/>
      <c r="T20" s="33"/>
      <c r="U20" s="33"/>
      <c r="V20" s="33"/>
      <c r="W20" s="33"/>
      <c r="X20" s="33"/>
      <c r="Y20" s="33"/>
      <c r="Z20" s="33"/>
      <c r="AA20" s="33"/>
      <c r="AB20" s="33"/>
      <c r="AC20" s="33"/>
      <c r="AD20" s="33"/>
      <c r="AE20" s="33"/>
      <c r="AF20" s="33"/>
      <c r="AG20" s="33"/>
      <c r="AH20" s="33"/>
    </row>
    <row r="21" spans="1:35" s="5" customFormat="1" ht="9.75" customHeight="1">
      <c r="A21" s="11">
        <v>9</v>
      </c>
      <c r="B21" s="53" t="str">
        <f>Kalk!B28</f>
        <v>TV-H  AT ( Hessen )</v>
      </c>
      <c r="C21" s="426" t="str">
        <f>"Hessen "&amp;'L Tab'!DJ39</f>
        <v>Hessen ( ab 1.03.2019 )</v>
      </c>
      <c r="D21" s="426" t="str">
        <f>"Hessen "&amp;'L Tab'!DR39</f>
        <v>Hessen ( ab 1.08.2019 )</v>
      </c>
      <c r="E21" s="426" t="str">
        <f>"Hessen "&amp;'L Tab'!DZ39</f>
        <v>Hessen ( ab 1.02.2020 )</v>
      </c>
      <c r="F21" s="426" t="str">
        <f>"Hessen "&amp;'L Tab'!EH39</f>
        <v>Hessen ( ab 1.01.2021 )</v>
      </c>
      <c r="G21" s="2"/>
      <c r="H21" s="2"/>
      <c r="I21" s="95"/>
      <c r="J21" s="95"/>
      <c r="K21" s="95"/>
      <c r="L21" s="95"/>
      <c r="M21" s="95"/>
      <c r="N21" s="33"/>
      <c r="O21" s="33"/>
      <c r="P21" s="33"/>
      <c r="Q21" s="33"/>
      <c r="R21" s="33"/>
      <c r="S21" s="33"/>
      <c r="T21" s="33"/>
      <c r="U21" s="33"/>
      <c r="V21" s="33"/>
      <c r="W21" s="33"/>
      <c r="X21" s="33"/>
      <c r="Y21" s="33"/>
      <c r="Z21" s="33"/>
      <c r="AA21" s="33"/>
      <c r="AB21" s="33"/>
      <c r="AC21" s="33"/>
      <c r="AD21" s="33"/>
      <c r="AE21" s="33"/>
      <c r="AF21" s="33"/>
      <c r="AG21" s="33"/>
      <c r="AH21" s="33"/>
    </row>
    <row r="22" spans="1:35" s="5" customFormat="1" ht="9.75" customHeight="1" thickBot="1">
      <c r="A22" s="562">
        <v>10</v>
      </c>
      <c r="B22" s="563" t="str">
        <f>Kalk!B29</f>
        <v>TV dataport</v>
      </c>
      <c r="C22" s="567" t="s">
        <v>587</v>
      </c>
      <c r="D22" s="567" t="s">
        <v>588</v>
      </c>
      <c r="E22" s="567" t="s">
        <v>589</v>
      </c>
      <c r="F22" s="2"/>
      <c r="G22" s="2"/>
      <c r="H22" s="2"/>
      <c r="I22" s="95"/>
      <c r="J22" s="95"/>
      <c r="K22" s="95"/>
      <c r="L22" s="95"/>
      <c r="M22" s="95"/>
      <c r="N22" s="33"/>
      <c r="O22" s="33"/>
      <c r="P22" s="33"/>
      <c r="Q22" s="33"/>
      <c r="R22" s="33"/>
      <c r="S22" s="33"/>
      <c r="T22" s="33"/>
      <c r="U22" s="33"/>
      <c r="V22" s="33"/>
      <c r="W22" s="33"/>
      <c r="X22" s="33"/>
      <c r="Y22" s="33"/>
      <c r="Z22" s="33"/>
      <c r="AA22" s="33"/>
      <c r="AB22" s="33"/>
      <c r="AC22" s="33"/>
      <c r="AD22" s="33"/>
      <c r="AE22" s="33"/>
      <c r="AF22" s="33"/>
      <c r="AG22" s="33"/>
      <c r="AH22" s="33"/>
    </row>
    <row r="23" spans="1:35" s="5" customFormat="1" ht="9.75" customHeight="1" thickBot="1">
      <c r="A23" s="467">
        <f>Kalk!B5</f>
        <v>1</v>
      </c>
      <c r="B23" s="544" t="str">
        <f>VLOOKUP(Kalk!B4,Kalk!F20:AM29,Kalk!C4+1)</f>
        <v>West und Ost ( ab 1.04.2021 )</v>
      </c>
      <c r="C23" s="467">
        <f>Kalk!D5</f>
        <v>1</v>
      </c>
      <c r="D23" s="2"/>
      <c r="E23" s="2"/>
      <c r="F23" s="2"/>
      <c r="G23" s="2"/>
      <c r="H23" s="2"/>
      <c r="I23" s="2"/>
      <c r="J23" s="2"/>
      <c r="K23" s="2"/>
      <c r="L23" s="2"/>
      <c r="M23" s="33"/>
      <c r="N23" s="33"/>
      <c r="O23" s="33"/>
      <c r="P23" s="33"/>
      <c r="Q23" s="33"/>
      <c r="R23" s="33"/>
      <c r="S23" s="33"/>
      <c r="T23" s="33"/>
      <c r="U23" s="33"/>
      <c r="V23" s="33"/>
      <c r="W23" s="33"/>
      <c r="X23" s="33"/>
      <c r="Y23" s="33"/>
      <c r="Z23" s="33"/>
      <c r="AA23" s="33"/>
      <c r="AB23" s="33"/>
      <c r="AC23" s="33"/>
      <c r="AD23" s="33"/>
      <c r="AE23" s="33"/>
      <c r="AF23" s="33"/>
      <c r="AG23" s="33"/>
      <c r="AH23" s="33"/>
    </row>
    <row r="24" spans="1:35" s="5" customFormat="1" ht="9.75" customHeight="1" thickBot="1">
      <c r="A24" s="2"/>
      <c r="B24" s="468">
        <f>IF(B11=0,0,VLOOKUP(Kalk!D5,Kalk!G3:K7,5))</f>
        <v>39</v>
      </c>
      <c r="C24" s="469">
        <f>IF(B11=0,0,ROUND(4.348*B24,2))</f>
        <v>169.57</v>
      </c>
      <c r="D24" s="543" t="str">
        <f>VLOOKUP(Kalk!B5,A13:AI22,Kalk!C4+2)</f>
        <v>West und Ost ( ab 1.04.2021 )</v>
      </c>
      <c r="E24" s="3"/>
      <c r="F24" s="2"/>
      <c r="G24" s="2"/>
      <c r="H24" s="2"/>
      <c r="I24" s="2"/>
      <c r="J24" s="2"/>
      <c r="K24" s="2"/>
      <c r="L24" s="2"/>
      <c r="M24" s="33"/>
      <c r="N24" s="33"/>
      <c r="O24" s="33"/>
      <c r="P24" s="33"/>
      <c r="Q24" s="33"/>
      <c r="R24" s="33"/>
      <c r="S24" s="33"/>
      <c r="T24" s="33"/>
      <c r="U24" s="33"/>
      <c r="V24" s="33"/>
      <c r="W24" s="33"/>
      <c r="X24" s="33"/>
      <c r="Y24" s="33"/>
      <c r="Z24" s="33"/>
      <c r="AA24" s="33"/>
      <c r="AB24" s="33"/>
      <c r="AC24" s="33"/>
      <c r="AD24" s="33"/>
      <c r="AE24" s="33"/>
      <c r="AF24" s="33"/>
      <c r="AG24" s="33"/>
      <c r="AH24" s="33"/>
    </row>
    <row r="25" spans="1:35" s="5" customFormat="1" ht="9.75" customHeight="1">
      <c r="A25" s="2"/>
      <c r="B25" s="2"/>
      <c r="C25" s="2"/>
      <c r="D25" s="7"/>
      <c r="E25" s="7"/>
      <c r="F25" s="7"/>
      <c r="G25" s="7"/>
      <c r="H25" s="7"/>
      <c r="I25" s="7"/>
      <c r="J25" s="7"/>
      <c r="K25" s="7"/>
      <c r="L25" s="7"/>
      <c r="M25" s="33"/>
      <c r="N25" s="33"/>
      <c r="O25" s="33"/>
      <c r="P25" s="33"/>
      <c r="Q25" s="33"/>
      <c r="R25" s="33"/>
      <c r="S25" s="33"/>
      <c r="T25" s="33"/>
      <c r="U25" s="33"/>
      <c r="V25" s="33"/>
      <c r="W25" s="33"/>
      <c r="X25" s="33"/>
      <c r="Y25" s="33"/>
      <c r="Z25" s="33"/>
      <c r="AA25" s="33"/>
      <c r="AB25" s="33"/>
      <c r="AC25" s="33"/>
      <c r="AD25" s="33"/>
      <c r="AE25" s="33"/>
      <c r="AF25" s="33"/>
      <c r="AG25" s="33"/>
      <c r="AH25" s="33"/>
    </row>
    <row r="26" spans="1:35" s="5" customFormat="1" ht="9.75" customHeight="1">
      <c r="A26" s="11">
        <v>1</v>
      </c>
      <c r="B26" s="53" t="str">
        <f>Kalk!B20</f>
        <v>TVöD ( Bund )</v>
      </c>
      <c r="C26" s="423" t="str">
        <f>Para!G73</f>
        <v>Stand 1.03.2020</v>
      </c>
      <c r="D26" s="423" t="str">
        <f>Para!G74</f>
        <v>Stand 1.04.2021</v>
      </c>
      <c r="E26" s="423" t="str">
        <f>Para!G75</f>
        <v>Stand 1.04.2022</v>
      </c>
      <c r="F26" s="4"/>
      <c r="G26" s="4"/>
      <c r="H26" s="4"/>
      <c r="I26" s="4"/>
      <c r="J26" s="4"/>
      <c r="K26" s="4"/>
      <c r="L26" s="4"/>
      <c r="M26" s="33"/>
      <c r="N26" s="33"/>
      <c r="O26" s="33"/>
      <c r="P26" s="33"/>
      <c r="Q26" s="33"/>
      <c r="R26" s="33"/>
      <c r="S26" s="33"/>
      <c r="T26" s="33"/>
      <c r="U26" s="33"/>
      <c r="V26" s="33"/>
      <c r="W26" s="33"/>
      <c r="X26" s="33"/>
      <c r="Y26" s="33"/>
      <c r="Z26" s="33"/>
      <c r="AA26" s="33"/>
      <c r="AB26" s="33"/>
      <c r="AC26" s="33"/>
      <c r="AD26" s="33"/>
      <c r="AE26" s="33"/>
      <c r="AF26" s="33"/>
      <c r="AG26" s="33"/>
      <c r="AH26" s="33"/>
    </row>
    <row r="27" spans="1:35" s="5" customFormat="1" ht="9.75" customHeight="1">
      <c r="A27" s="13">
        <v>2</v>
      </c>
      <c r="B27" s="54" t="str">
        <f>Kalk!B21</f>
        <v>TVöD ( VKA )</v>
      </c>
      <c r="C27" s="424" t="str">
        <f>Para!G96</f>
        <v>Stand 1.03.2020</v>
      </c>
      <c r="D27" s="424" t="str">
        <f>Para!G96</f>
        <v>Stand 1.03.2020</v>
      </c>
      <c r="E27" s="424" t="str">
        <f>Para!G101</f>
        <v>Stand 1.03.2020</v>
      </c>
      <c r="F27" s="424" t="str">
        <f>Para!G101</f>
        <v>Stand 1.03.2020</v>
      </c>
      <c r="G27" s="424" t="str">
        <f>Para!G97</f>
        <v>Stand 1.04.2021</v>
      </c>
      <c r="H27" s="424" t="str">
        <f>Para!G97</f>
        <v>Stand 1.04.2021</v>
      </c>
      <c r="I27" s="424" t="str">
        <f>Para!G102</f>
        <v>Stand 1.04.2021</v>
      </c>
      <c r="J27" s="424" t="str">
        <f>Para!G102</f>
        <v>Stand 1.04.2021</v>
      </c>
      <c r="K27" s="424" t="str">
        <f>Para!G98</f>
        <v>Stand 1.04.2022</v>
      </c>
      <c r="L27" s="424" t="str">
        <f>Para!G98</f>
        <v>Stand 1.04.2022</v>
      </c>
      <c r="M27" s="424" t="str">
        <f>Para!G103</f>
        <v>Stand 1.04.2022</v>
      </c>
      <c r="N27" s="424" t="str">
        <f>Para!G103</f>
        <v>Stand 1.04.2022</v>
      </c>
      <c r="O27" s="33"/>
      <c r="P27" s="33"/>
      <c r="Q27" s="33"/>
      <c r="R27" s="33"/>
      <c r="S27" s="33"/>
      <c r="T27" s="33"/>
      <c r="U27" s="33"/>
      <c r="V27" s="33"/>
      <c r="W27" s="33"/>
      <c r="X27" s="33"/>
      <c r="Y27" s="33"/>
      <c r="Z27" s="33"/>
      <c r="AA27" s="33"/>
      <c r="AB27" s="33"/>
      <c r="AC27" s="33"/>
      <c r="AD27" s="33"/>
      <c r="AE27" s="33"/>
      <c r="AF27" s="33"/>
      <c r="AG27" s="33"/>
      <c r="AH27" s="33"/>
    </row>
    <row r="28" spans="1:35" s="5" customFormat="1" ht="9.75" customHeight="1">
      <c r="A28" s="11">
        <v>3</v>
      </c>
      <c r="B28" s="53" t="str">
        <f>Kalk!B22</f>
        <v>TVöD ( BT-K )</v>
      </c>
      <c r="C28" s="423" t="str">
        <f>Para!G106</f>
        <v>Stand 1.03.2020</v>
      </c>
      <c r="D28" s="423" t="str">
        <f>Para!G106</f>
        <v>Stand 1.03.2020</v>
      </c>
      <c r="E28" s="619" t="str">
        <f>Para!G96</f>
        <v>Stand 1.03.2020</v>
      </c>
      <c r="F28" s="619" t="str">
        <f>Para!G96</f>
        <v>Stand 1.03.2020</v>
      </c>
      <c r="G28" s="423" t="str">
        <f>Para!G107</f>
        <v>Stand 1.04.2021</v>
      </c>
      <c r="H28" s="423" t="str">
        <f>Para!G107</f>
        <v>Stand 1.04.2021</v>
      </c>
      <c r="I28" s="619" t="str">
        <f>Para!G97</f>
        <v>Stand 1.04.2021</v>
      </c>
      <c r="J28" s="619" t="str">
        <f>Para!G97</f>
        <v>Stand 1.04.2021</v>
      </c>
      <c r="K28" s="11" t="str">
        <f>Para!G108</f>
        <v>Stand 1.04.2022</v>
      </c>
      <c r="L28" s="11" t="str">
        <f>Para!G108</f>
        <v>Stand 1.04.2022</v>
      </c>
      <c r="M28" s="619" t="str">
        <f>Para!G98</f>
        <v>Stand 1.04.2022</v>
      </c>
      <c r="N28" s="619" t="str">
        <f>Para!G98</f>
        <v>Stand 1.04.2022</v>
      </c>
      <c r="O28" s="33"/>
      <c r="P28" s="33"/>
      <c r="Q28" s="33"/>
      <c r="R28" s="33"/>
      <c r="S28" s="33"/>
      <c r="T28" s="33"/>
      <c r="U28" s="33"/>
      <c r="V28" s="33"/>
      <c r="W28" s="33"/>
      <c r="X28" s="33"/>
      <c r="Y28" s="33"/>
      <c r="Z28" s="33"/>
      <c r="AA28" s="33"/>
      <c r="AB28" s="33"/>
      <c r="AC28" s="33"/>
      <c r="AD28" s="33"/>
      <c r="AE28" s="33"/>
      <c r="AF28" s="33"/>
      <c r="AG28" s="33"/>
      <c r="AH28" s="33"/>
    </row>
    <row r="29" spans="1:35" s="5" customFormat="1" ht="9.75" customHeight="1">
      <c r="A29" s="13">
        <v>4</v>
      </c>
      <c r="B29" s="54" t="str">
        <f>Kalk!B23</f>
        <v>TVöD ( BT-B )</v>
      </c>
      <c r="C29" s="424" t="str">
        <f>Para!G106</f>
        <v>Stand 1.03.2020</v>
      </c>
      <c r="D29" s="424" t="str">
        <f>Para!G106</f>
        <v>Stand 1.03.2020</v>
      </c>
      <c r="E29" s="424" t="str">
        <f>Para!G107</f>
        <v>Stand 1.04.2021</v>
      </c>
      <c r="F29" s="424" t="str">
        <f>Para!G107</f>
        <v>Stand 1.04.2021</v>
      </c>
      <c r="G29" s="424" t="str">
        <f>Para!G108</f>
        <v>Stand 1.04.2022</v>
      </c>
      <c r="H29" s="424" t="str">
        <f>Para!G108</f>
        <v>Stand 1.04.2022</v>
      </c>
      <c r="I29" s="96"/>
      <c r="J29" s="96"/>
      <c r="K29" s="96"/>
      <c r="L29" s="96"/>
      <c r="M29" s="2"/>
      <c r="N29" s="33"/>
      <c r="O29" s="33"/>
      <c r="P29" s="33"/>
      <c r="Q29" s="33"/>
      <c r="R29" s="33"/>
      <c r="S29" s="33"/>
      <c r="T29" s="33"/>
      <c r="U29" s="33"/>
      <c r="V29" s="33"/>
      <c r="W29" s="33"/>
      <c r="X29" s="33"/>
      <c r="Y29" s="33"/>
      <c r="Z29" s="33"/>
      <c r="AA29" s="33"/>
      <c r="AB29" s="33"/>
      <c r="AC29" s="33"/>
      <c r="AD29" s="33"/>
      <c r="AE29" s="33"/>
      <c r="AF29" s="33"/>
      <c r="AG29" s="33"/>
      <c r="AH29" s="33"/>
    </row>
    <row r="30" spans="1:35" s="5" customFormat="1" ht="9.75" customHeight="1">
      <c r="A30" s="11">
        <v>5</v>
      </c>
      <c r="B30" s="53" t="str">
        <f>Kalk!B24</f>
        <v>TV-L  AT ( Anlage B )</v>
      </c>
      <c r="C30" s="11" t="str">
        <f>'L Tab'!$DB27</f>
        <v>Stand 1.01.2019</v>
      </c>
      <c r="D30" s="11" t="str">
        <f>'L Tab'!$DB27</f>
        <v>Stand 1.01.2019</v>
      </c>
      <c r="E30" s="11" t="str">
        <f>'L Tab'!$DB27</f>
        <v>Stand 1.01.2019</v>
      </c>
      <c r="F30" s="11" t="str">
        <f>'L Tab'!$DB27</f>
        <v>Stand 1.01.2019</v>
      </c>
      <c r="G30" s="11" t="str">
        <f>'L Tab'!$DB27</f>
        <v>Stand 1.01.2019</v>
      </c>
      <c r="H30" s="11" t="str">
        <f>'L Tab'!$DB27</f>
        <v>Stand 1.01.2019</v>
      </c>
      <c r="I30" s="11" t="str">
        <f>'L Tab'!$DB27</f>
        <v>Stand 1.01.2019</v>
      </c>
      <c r="J30" s="11" t="str">
        <f>'L Tab'!$DB27</f>
        <v>Stand 1.01.2019</v>
      </c>
      <c r="K30" s="11" t="str">
        <f>'L Tab'!$DB27</f>
        <v>Stand 1.01.2019</v>
      </c>
      <c r="L30" s="11" t="str">
        <f>'L Tab'!$DB27</f>
        <v>Stand 1.01.2019</v>
      </c>
      <c r="M30" s="11" t="str">
        <f>'L Tab'!$DB27</f>
        <v>Stand 1.01.2019</v>
      </c>
      <c r="N30" s="11" t="str">
        <f>'L Tab'!$DJ27</f>
        <v>Stand 1.01.2020</v>
      </c>
      <c r="O30" s="11" t="str">
        <f>'L Tab'!$DJ27</f>
        <v>Stand 1.01.2020</v>
      </c>
      <c r="P30" s="11" t="str">
        <f>'L Tab'!$DJ27</f>
        <v>Stand 1.01.2020</v>
      </c>
      <c r="Q30" s="11" t="str">
        <f>'L Tab'!$DJ27</f>
        <v>Stand 1.01.2020</v>
      </c>
      <c r="R30" s="11" t="str">
        <f>'L Tab'!$DJ27</f>
        <v>Stand 1.01.2020</v>
      </c>
      <c r="S30" s="11" t="str">
        <f>'L Tab'!$DJ27</f>
        <v>Stand 1.01.2020</v>
      </c>
      <c r="T30" s="11" t="str">
        <f>'L Tab'!$DJ27</f>
        <v>Stand 1.01.2020</v>
      </c>
      <c r="U30" s="11" t="str">
        <f>'L Tab'!$DJ27</f>
        <v>Stand 1.01.2020</v>
      </c>
      <c r="V30" s="11" t="str">
        <f>'L Tab'!$DJ27</f>
        <v>Stand 1.01.2020</v>
      </c>
      <c r="W30" s="11" t="str">
        <f>'L Tab'!$DJ27</f>
        <v>Stand 1.01.2020</v>
      </c>
      <c r="X30" s="11" t="str">
        <f>'L Tab'!$DJ27</f>
        <v>Stand 1.01.2020</v>
      </c>
      <c r="Y30" s="11" t="str">
        <f>'L Tab'!$DR27</f>
        <v>Stand 1.01.2021</v>
      </c>
      <c r="Z30" s="11" t="str">
        <f>'L Tab'!$DR27</f>
        <v>Stand 1.01.2021</v>
      </c>
      <c r="AA30" s="11" t="str">
        <f>'L Tab'!$DR27</f>
        <v>Stand 1.01.2021</v>
      </c>
      <c r="AB30" s="11" t="str">
        <f>'L Tab'!$DR27</f>
        <v>Stand 1.01.2021</v>
      </c>
      <c r="AC30" s="11" t="str">
        <f>'L Tab'!$DR27</f>
        <v>Stand 1.01.2021</v>
      </c>
      <c r="AD30" s="11" t="str">
        <f>'L Tab'!$DR27</f>
        <v>Stand 1.01.2021</v>
      </c>
      <c r="AE30" s="11" t="str">
        <f>'L Tab'!$DR27</f>
        <v>Stand 1.01.2021</v>
      </c>
      <c r="AF30" s="11" t="str">
        <f>'L Tab'!$DR27</f>
        <v>Stand 1.01.2021</v>
      </c>
      <c r="AG30" s="11" t="str">
        <f>'L Tab'!$DR27</f>
        <v>Stand 1.01.2021</v>
      </c>
      <c r="AH30" s="11" t="str">
        <f>'L Tab'!$DR27</f>
        <v>Stand 1.01.2021</v>
      </c>
      <c r="AI30" s="11" t="str">
        <f>'L Tab'!$DR27</f>
        <v>Stand 1.01.2021</v>
      </c>
    </row>
    <row r="31" spans="1:35" s="5" customFormat="1" ht="9.75" customHeight="1">
      <c r="A31" s="13">
        <v>6</v>
      </c>
      <c r="B31" s="54" t="str">
        <f>Kalk!B25</f>
        <v>TV-L  Kr ( Anlage C )</v>
      </c>
      <c r="C31" s="13" t="str">
        <f>'L Tab'!$DB27</f>
        <v>Stand 1.01.2019</v>
      </c>
      <c r="D31" s="13" t="str">
        <f>'L Tab'!$DB27</f>
        <v>Stand 1.01.2019</v>
      </c>
      <c r="E31" s="13" t="str">
        <f>'L Tab'!$DJ27</f>
        <v>Stand 1.01.2020</v>
      </c>
      <c r="F31" s="13" t="str">
        <f>'L Tab'!$DJ27</f>
        <v>Stand 1.01.2020</v>
      </c>
      <c r="G31" s="13" t="str">
        <f>'L Tab'!$DR27</f>
        <v>Stand 1.01.2021</v>
      </c>
      <c r="H31" s="13" t="str">
        <f>'L Tab'!$DR27</f>
        <v>Stand 1.01.2021</v>
      </c>
      <c r="I31" s="2"/>
      <c r="J31" s="2"/>
      <c r="K31" s="2"/>
      <c r="L31" s="2"/>
      <c r="M31" s="2"/>
      <c r="N31" s="33"/>
      <c r="O31" s="33"/>
      <c r="P31" s="33"/>
      <c r="Q31" s="33"/>
      <c r="R31" s="33"/>
      <c r="S31" s="33"/>
      <c r="T31" s="33"/>
      <c r="U31" s="33"/>
      <c r="V31" s="33"/>
      <c r="W31" s="33"/>
      <c r="X31" s="33"/>
      <c r="Y31" s="33"/>
      <c r="Z31" s="33"/>
      <c r="AA31" s="33"/>
      <c r="AB31" s="33"/>
      <c r="AC31" s="33"/>
      <c r="AD31" s="33"/>
      <c r="AE31" s="33"/>
      <c r="AF31" s="33"/>
      <c r="AG31" s="33"/>
      <c r="AH31" s="33"/>
    </row>
    <row r="32" spans="1:35" s="5" customFormat="1" ht="9.75" customHeight="1">
      <c r="A32" s="11">
        <v>7</v>
      </c>
      <c r="B32" s="489" t="str">
        <f>Kalk!B26</f>
        <v>TV-L  SuE ( Anlage G )</v>
      </c>
      <c r="C32" s="423" t="str">
        <f>N30</f>
        <v>Stand 1.01.2020</v>
      </c>
      <c r="D32" s="423" t="str">
        <f t="shared" ref="D32:X32" si="0">O30</f>
        <v>Stand 1.01.2020</v>
      </c>
      <c r="E32" s="423" t="str">
        <f t="shared" si="0"/>
        <v>Stand 1.01.2020</v>
      </c>
      <c r="F32" s="423" t="str">
        <f t="shared" si="0"/>
        <v>Stand 1.01.2020</v>
      </c>
      <c r="G32" s="423" t="str">
        <f t="shared" si="0"/>
        <v>Stand 1.01.2020</v>
      </c>
      <c r="H32" s="423" t="str">
        <f t="shared" si="0"/>
        <v>Stand 1.01.2020</v>
      </c>
      <c r="I32" s="423" t="str">
        <f t="shared" si="0"/>
        <v>Stand 1.01.2020</v>
      </c>
      <c r="J32" s="423" t="str">
        <f t="shared" si="0"/>
        <v>Stand 1.01.2020</v>
      </c>
      <c r="K32" s="423" t="str">
        <f t="shared" si="0"/>
        <v>Stand 1.01.2020</v>
      </c>
      <c r="L32" s="423" t="str">
        <f t="shared" si="0"/>
        <v>Stand 1.01.2020</v>
      </c>
      <c r="M32" s="423" t="str">
        <f t="shared" si="0"/>
        <v>Stand 1.01.2020</v>
      </c>
      <c r="N32" s="423" t="str">
        <f t="shared" si="0"/>
        <v>Stand 1.01.2021</v>
      </c>
      <c r="O32" s="423" t="str">
        <f t="shared" si="0"/>
        <v>Stand 1.01.2021</v>
      </c>
      <c r="P32" s="423" t="str">
        <f t="shared" si="0"/>
        <v>Stand 1.01.2021</v>
      </c>
      <c r="Q32" s="423" t="str">
        <f t="shared" si="0"/>
        <v>Stand 1.01.2021</v>
      </c>
      <c r="R32" s="423" t="str">
        <f t="shared" si="0"/>
        <v>Stand 1.01.2021</v>
      </c>
      <c r="S32" s="423" t="str">
        <f t="shared" si="0"/>
        <v>Stand 1.01.2021</v>
      </c>
      <c r="T32" s="423" t="str">
        <f t="shared" si="0"/>
        <v>Stand 1.01.2021</v>
      </c>
      <c r="U32" s="423" t="str">
        <f t="shared" si="0"/>
        <v>Stand 1.01.2021</v>
      </c>
      <c r="V32" s="423" t="str">
        <f t="shared" si="0"/>
        <v>Stand 1.01.2021</v>
      </c>
      <c r="W32" s="423" t="str">
        <f t="shared" si="0"/>
        <v>Stand 1.01.2021</v>
      </c>
      <c r="X32" s="423" t="str">
        <f t="shared" si="0"/>
        <v>Stand 1.01.2021</v>
      </c>
    </row>
    <row r="33" spans="1:35" s="5" customFormat="1" ht="9.75" customHeight="1">
      <c r="A33" s="13">
        <v>8</v>
      </c>
      <c r="B33" s="54" t="str">
        <f>Kalk!B27</f>
        <v>TV-AVH ( AV Hamburg )</v>
      </c>
      <c r="C33" s="13" t="str">
        <f>'AVH Tab'!BF30</f>
        <v>Stand 1.03.2020</v>
      </c>
      <c r="D33" s="615" t="str">
        <f>'AVH Tab'!BN30</f>
        <v>Stand 1.04.2021</v>
      </c>
      <c r="E33" s="615" t="str">
        <f>'AVH Tab'!BV30</f>
        <v>Stand 1.04.2022</v>
      </c>
      <c r="F33" s="2"/>
      <c r="G33" s="2"/>
      <c r="H33" s="2"/>
      <c r="I33" s="2"/>
      <c r="J33" s="2"/>
      <c r="K33" s="2"/>
      <c r="L33" s="2"/>
      <c r="M33" s="2"/>
      <c r="N33" s="33"/>
      <c r="O33" s="33"/>
      <c r="P33" s="33"/>
      <c r="Q33" s="33"/>
      <c r="R33" s="33"/>
      <c r="S33" s="33"/>
      <c r="T33" s="33"/>
      <c r="U33" s="33"/>
      <c r="V33" s="33"/>
      <c r="W33" s="33"/>
      <c r="X33" s="33"/>
      <c r="Y33" s="33"/>
      <c r="Z33" s="33"/>
      <c r="AA33" s="33"/>
      <c r="AB33" s="33"/>
      <c r="AC33" s="33"/>
      <c r="AD33" s="33"/>
      <c r="AE33" s="33"/>
      <c r="AF33" s="33"/>
      <c r="AG33" s="33"/>
      <c r="AH33" s="33"/>
    </row>
    <row r="34" spans="1:35" s="5" customFormat="1" ht="9.75" customHeight="1">
      <c r="A34" s="11">
        <v>9</v>
      </c>
      <c r="B34" s="489" t="str">
        <f>Kalk!B28</f>
        <v>TV-H  AT ( Hessen )</v>
      </c>
      <c r="C34" s="423" t="str">
        <f>'L Tab'!$DJ40</f>
        <v>Stand 1.03.2019</v>
      </c>
      <c r="D34" s="423" t="str">
        <f>'L Tab'!$DR40</f>
        <v>Stand 1.08.2019</v>
      </c>
      <c r="E34" s="423" t="str">
        <f>'L Tab'!$DZ40</f>
        <v>Stand 1.02.2020</v>
      </c>
      <c r="F34" s="423" t="str">
        <f>'L Tab'!$EH40</f>
        <v>Stand 1.01.2021</v>
      </c>
      <c r="G34" s="2"/>
      <c r="H34" s="2"/>
      <c r="I34" s="2"/>
      <c r="J34" s="2"/>
      <c r="K34" s="2"/>
      <c r="L34" s="2"/>
      <c r="M34" s="2"/>
      <c r="N34" s="33"/>
      <c r="O34" s="33"/>
      <c r="P34" s="33"/>
      <c r="Q34" s="33"/>
      <c r="R34" s="33"/>
      <c r="S34" s="33"/>
      <c r="T34" s="33"/>
      <c r="U34" s="33"/>
      <c r="V34" s="33"/>
      <c r="W34" s="33"/>
      <c r="X34" s="33"/>
      <c r="Y34" s="33"/>
      <c r="Z34" s="33"/>
      <c r="AA34" s="33"/>
      <c r="AB34" s="33"/>
      <c r="AC34" s="33"/>
      <c r="AD34" s="33"/>
      <c r="AE34" s="33"/>
      <c r="AF34" s="33"/>
      <c r="AG34" s="33"/>
      <c r="AH34" s="33"/>
    </row>
    <row r="35" spans="1:35" s="5" customFormat="1" ht="9.75" customHeight="1" thickBot="1">
      <c r="A35" s="13">
        <v>10</v>
      </c>
      <c r="B35" s="54" t="str">
        <f>Kalk!B29</f>
        <v>TV dataport</v>
      </c>
      <c r="C35" s="13" t="s">
        <v>525</v>
      </c>
      <c r="D35" s="13" t="s">
        <v>526</v>
      </c>
      <c r="E35" s="13" t="s">
        <v>527</v>
      </c>
      <c r="F35" s="2"/>
      <c r="G35" s="2"/>
      <c r="H35" s="2"/>
      <c r="I35" s="2"/>
      <c r="J35" s="2"/>
      <c r="K35" s="2"/>
      <c r="L35" s="2"/>
      <c r="M35" s="2"/>
      <c r="N35" s="33"/>
      <c r="O35" s="33"/>
      <c r="P35" s="33"/>
      <c r="Q35" s="33"/>
      <c r="R35" s="33"/>
      <c r="S35" s="33"/>
      <c r="T35" s="33"/>
      <c r="U35" s="33"/>
      <c r="V35" s="33"/>
      <c r="W35" s="33"/>
      <c r="X35" s="33"/>
      <c r="Y35" s="33"/>
      <c r="Z35" s="33"/>
      <c r="AA35" s="33"/>
      <c r="AB35" s="33"/>
      <c r="AC35" s="33"/>
      <c r="AD35" s="33"/>
      <c r="AE35" s="33"/>
      <c r="AF35" s="33"/>
      <c r="AG35" s="33"/>
      <c r="AH35" s="33"/>
    </row>
    <row r="36" spans="1:35" s="5" customFormat="1" ht="9.75" customHeight="1" thickBot="1">
      <c r="A36" s="2"/>
      <c r="B36" s="467" t="str">
        <f>VLOOKUP(Kalk!B5,A26:AI35,Kalk!C4+2)</f>
        <v>Stand 1.04.2021</v>
      </c>
      <c r="C36" s="2"/>
      <c r="D36" s="6"/>
      <c r="E36" s="3"/>
      <c r="F36" s="2"/>
      <c r="G36" s="2"/>
      <c r="H36" s="4"/>
      <c r="I36" s="3"/>
      <c r="J36" s="4"/>
      <c r="K36" s="2"/>
      <c r="L36" s="2"/>
      <c r="M36" s="33"/>
      <c r="N36" s="33"/>
      <c r="O36" s="33"/>
      <c r="P36" s="33"/>
      <c r="Q36" s="33"/>
      <c r="R36" s="33"/>
      <c r="S36" s="33"/>
      <c r="T36" s="33"/>
      <c r="U36" s="33"/>
      <c r="V36" s="33"/>
      <c r="W36" s="33"/>
      <c r="X36" s="33"/>
      <c r="Y36" s="33"/>
      <c r="Z36" s="33"/>
      <c r="AA36" s="33"/>
      <c r="AB36" s="33"/>
      <c r="AC36" s="33"/>
      <c r="AD36" s="33"/>
      <c r="AE36" s="33"/>
      <c r="AF36" s="33"/>
      <c r="AG36" s="33"/>
      <c r="AH36" s="33"/>
    </row>
    <row r="37" spans="1:35" ht="11.25">
      <c r="A37" s="9" t="s">
        <v>91</v>
      </c>
      <c r="B37" s="9">
        <f>Kalk!B5</f>
        <v>1</v>
      </c>
      <c r="C37" s="10" t="s">
        <v>94</v>
      </c>
      <c r="D37" s="34" t="str">
        <f>VLOOKUP(B37,Kalk!A20:B29,2)</f>
        <v>TVöD ( Bund )</v>
      </c>
    </row>
    <row r="38" spans="1:35" ht="11.25">
      <c r="A38" s="9" t="s">
        <v>92</v>
      </c>
      <c r="B38" s="9">
        <f>Kalk!C4</f>
        <v>2</v>
      </c>
      <c r="C38" s="10" t="s">
        <v>93</v>
      </c>
      <c r="D38" s="470" t="str">
        <f>VLOOKUP(B37,Kalk!$F$20:$AM$28,B38+1)</f>
        <v>West und Ost ( ab 1.04.2021 )</v>
      </c>
    </row>
    <row r="40" spans="1:35" s="5" customFormat="1" ht="9.75" customHeight="1">
      <c r="A40" s="11">
        <v>1</v>
      </c>
      <c r="B40" s="53" t="str">
        <f>Kalk!B20</f>
        <v>TVöD ( Bund )</v>
      </c>
      <c r="C40" s="11" t="s">
        <v>95</v>
      </c>
      <c r="D40" s="11" t="s">
        <v>95</v>
      </c>
      <c r="E40" s="11" t="s">
        <v>95</v>
      </c>
      <c r="F40" s="4"/>
      <c r="G40" s="4"/>
      <c r="H40" s="4"/>
      <c r="I40" s="4"/>
      <c r="J40" s="4"/>
      <c r="K40" s="4"/>
      <c r="L40" s="4"/>
      <c r="M40" s="33"/>
      <c r="N40" s="33"/>
      <c r="O40" s="33"/>
      <c r="P40" s="33"/>
      <c r="Q40" s="33"/>
      <c r="R40" s="33"/>
      <c r="S40" s="33"/>
      <c r="T40" s="33"/>
      <c r="U40" s="33"/>
      <c r="V40" s="33"/>
      <c r="W40" s="33"/>
      <c r="X40" s="33"/>
      <c r="Y40" s="33"/>
      <c r="Z40" s="33"/>
      <c r="AA40" s="33"/>
      <c r="AB40" s="33"/>
      <c r="AC40" s="33"/>
      <c r="AD40" s="33"/>
      <c r="AE40" s="33"/>
      <c r="AF40" s="33"/>
      <c r="AG40" s="33"/>
      <c r="AH40" s="33"/>
    </row>
    <row r="41" spans="1:35" s="5" customFormat="1" ht="9.75" customHeight="1">
      <c r="A41" s="13">
        <v>2</v>
      </c>
      <c r="B41" s="54" t="str">
        <f>Kalk!B21</f>
        <v>TVöD ( VKA )</v>
      </c>
      <c r="C41" s="13" t="s">
        <v>96</v>
      </c>
      <c r="D41" s="13" t="s">
        <v>97</v>
      </c>
      <c r="E41" s="13" t="s">
        <v>96</v>
      </c>
      <c r="F41" s="13" t="s">
        <v>97</v>
      </c>
      <c r="G41" s="424" t="s">
        <v>96</v>
      </c>
      <c r="H41" s="424" t="s">
        <v>97</v>
      </c>
      <c r="I41" s="13" t="s">
        <v>96</v>
      </c>
      <c r="J41" s="13" t="s">
        <v>97</v>
      </c>
      <c r="K41" s="13" t="s">
        <v>96</v>
      </c>
      <c r="L41" s="13" t="s">
        <v>97</v>
      </c>
      <c r="M41" s="13" t="s">
        <v>96</v>
      </c>
      <c r="N41" s="13" t="s">
        <v>97</v>
      </c>
      <c r="O41" s="33"/>
      <c r="P41" s="33"/>
      <c r="Q41" s="33"/>
      <c r="R41" s="33"/>
      <c r="S41" s="33"/>
      <c r="T41" s="33"/>
      <c r="U41" s="33"/>
      <c r="V41" s="33"/>
      <c r="W41" s="33"/>
      <c r="X41" s="33"/>
      <c r="Y41" s="33"/>
      <c r="Z41" s="33"/>
      <c r="AA41" s="33"/>
      <c r="AB41" s="33"/>
      <c r="AC41" s="33"/>
      <c r="AD41" s="33"/>
      <c r="AE41" s="33"/>
      <c r="AF41" s="33"/>
      <c r="AG41" s="33"/>
      <c r="AH41" s="33"/>
    </row>
    <row r="42" spans="1:35" s="5" customFormat="1" ht="9.75" customHeight="1">
      <c r="A42" s="11">
        <v>3</v>
      </c>
      <c r="B42" s="53" t="str">
        <f>Kalk!B22</f>
        <v>TVöD ( BT-K )</v>
      </c>
      <c r="C42" s="11" t="s">
        <v>96</v>
      </c>
      <c r="D42" s="11" t="s">
        <v>97</v>
      </c>
      <c r="E42" s="11" t="s">
        <v>96</v>
      </c>
      <c r="F42" s="11" t="s">
        <v>97</v>
      </c>
      <c r="G42" s="423" t="s">
        <v>96</v>
      </c>
      <c r="H42" s="423" t="s">
        <v>97</v>
      </c>
      <c r="I42" s="423" t="s">
        <v>96</v>
      </c>
      <c r="J42" s="423" t="s">
        <v>97</v>
      </c>
      <c r="K42" s="11" t="s">
        <v>96</v>
      </c>
      <c r="L42" s="11" t="s">
        <v>97</v>
      </c>
      <c r="M42" s="11" t="s">
        <v>96</v>
      </c>
      <c r="N42" s="11" t="s">
        <v>97</v>
      </c>
      <c r="O42" s="33"/>
      <c r="P42" s="33"/>
      <c r="Q42" s="33"/>
      <c r="R42" s="33"/>
      <c r="S42" s="33"/>
      <c r="T42" s="33"/>
      <c r="U42" s="33"/>
      <c r="V42" s="33"/>
      <c r="W42" s="33"/>
      <c r="X42" s="33"/>
      <c r="Y42" s="33"/>
      <c r="Z42" s="33"/>
      <c r="AA42" s="33"/>
      <c r="AB42" s="33"/>
      <c r="AC42" s="33"/>
      <c r="AD42" s="33"/>
      <c r="AE42" s="33"/>
      <c r="AF42" s="33"/>
      <c r="AG42" s="33"/>
      <c r="AH42" s="33"/>
    </row>
    <row r="43" spans="1:35" s="5" customFormat="1" ht="9.75" customHeight="1">
      <c r="A43" s="13">
        <v>4</v>
      </c>
      <c r="B43" s="54" t="str">
        <f>Kalk!B23</f>
        <v>TVöD ( BT-B )</v>
      </c>
      <c r="C43" s="13" t="s">
        <v>96</v>
      </c>
      <c r="D43" s="13" t="s">
        <v>97</v>
      </c>
      <c r="E43" s="424" t="s">
        <v>96</v>
      </c>
      <c r="F43" s="424" t="s">
        <v>97</v>
      </c>
      <c r="G43" s="13" t="s">
        <v>96</v>
      </c>
      <c r="H43" s="13" t="s">
        <v>97</v>
      </c>
      <c r="I43" s="96"/>
      <c r="J43" s="96"/>
      <c r="K43" s="96"/>
      <c r="L43" s="96"/>
      <c r="M43" s="2"/>
      <c r="N43" s="33"/>
      <c r="O43" s="33"/>
      <c r="P43" s="33"/>
      <c r="Q43" s="33"/>
      <c r="R43" s="33"/>
      <c r="S43" s="33"/>
      <c r="T43" s="33"/>
      <c r="U43" s="33"/>
      <c r="V43" s="33"/>
      <c r="W43" s="33"/>
      <c r="X43" s="33"/>
      <c r="Y43" s="33"/>
      <c r="Z43" s="33"/>
      <c r="AA43" s="33"/>
      <c r="AB43" s="33"/>
      <c r="AC43" s="33"/>
      <c r="AD43" s="33"/>
      <c r="AE43" s="33"/>
      <c r="AF43" s="33"/>
      <c r="AG43" s="33"/>
      <c r="AH43" s="33"/>
    </row>
    <row r="44" spans="1:35" s="5" customFormat="1" ht="9.75" customHeight="1">
      <c r="A44" s="11">
        <v>5</v>
      </c>
      <c r="B44" s="53" t="s">
        <v>540</v>
      </c>
      <c r="C44" s="11" t="s">
        <v>540</v>
      </c>
      <c r="D44" s="11" t="s">
        <v>540</v>
      </c>
      <c r="E44" s="11" t="s">
        <v>540</v>
      </c>
      <c r="F44" s="11" t="s">
        <v>540</v>
      </c>
      <c r="G44" s="11" t="s">
        <v>540</v>
      </c>
      <c r="H44" s="11" t="s">
        <v>540</v>
      </c>
      <c r="I44" s="11" t="s">
        <v>540</v>
      </c>
      <c r="J44" s="11" t="s">
        <v>540</v>
      </c>
      <c r="K44" s="11" t="s">
        <v>540</v>
      </c>
      <c r="L44" s="11" t="s">
        <v>540</v>
      </c>
      <c r="M44" s="11" t="s">
        <v>550</v>
      </c>
      <c r="N44" s="11" t="s">
        <v>540</v>
      </c>
      <c r="O44" s="11" t="s">
        <v>540</v>
      </c>
      <c r="P44" s="11" t="s">
        <v>540</v>
      </c>
      <c r="Q44" s="11" t="s">
        <v>540</v>
      </c>
      <c r="R44" s="11" t="s">
        <v>540</v>
      </c>
      <c r="S44" s="11" t="s">
        <v>540</v>
      </c>
      <c r="T44" s="11" t="s">
        <v>540</v>
      </c>
      <c r="U44" s="11" t="s">
        <v>540</v>
      </c>
      <c r="V44" s="11" t="s">
        <v>540</v>
      </c>
      <c r="W44" s="11" t="s">
        <v>540</v>
      </c>
      <c r="X44" s="11" t="s">
        <v>550</v>
      </c>
      <c r="Y44" s="11" t="s">
        <v>540</v>
      </c>
      <c r="Z44" s="11" t="s">
        <v>540</v>
      </c>
      <c r="AA44" s="11" t="s">
        <v>540</v>
      </c>
      <c r="AB44" s="11" t="s">
        <v>540</v>
      </c>
      <c r="AC44" s="11" t="s">
        <v>540</v>
      </c>
      <c r="AD44" s="11" t="s">
        <v>540</v>
      </c>
      <c r="AE44" s="11" t="s">
        <v>540</v>
      </c>
      <c r="AF44" s="11" t="s">
        <v>540</v>
      </c>
      <c r="AG44" s="11" t="s">
        <v>540</v>
      </c>
      <c r="AH44" s="11" t="s">
        <v>540</v>
      </c>
      <c r="AI44" s="11" t="s">
        <v>550</v>
      </c>
    </row>
    <row r="45" spans="1:35" s="5" customFormat="1" ht="9.75" customHeight="1">
      <c r="A45" s="13">
        <v>6</v>
      </c>
      <c r="B45" s="54" t="str">
        <f>Kalk!B25</f>
        <v>TV-L  Kr ( Anlage C )</v>
      </c>
      <c r="C45" s="13" t="s">
        <v>550</v>
      </c>
      <c r="D45" s="13" t="s">
        <v>550</v>
      </c>
      <c r="E45" s="13" t="s">
        <v>550</v>
      </c>
      <c r="F45" s="13" t="s">
        <v>550</v>
      </c>
      <c r="G45" s="13" t="s">
        <v>550</v>
      </c>
      <c r="H45" s="13" t="s">
        <v>550</v>
      </c>
      <c r="I45" s="2"/>
      <c r="J45" s="2"/>
      <c r="K45" s="2"/>
      <c r="L45" s="2"/>
      <c r="M45" s="2"/>
      <c r="N45" s="33"/>
      <c r="O45" s="33"/>
      <c r="P45" s="33"/>
      <c r="Q45" s="33"/>
      <c r="R45" s="33"/>
      <c r="S45" s="33"/>
      <c r="T45" s="33"/>
      <c r="U45" s="33"/>
      <c r="V45" s="33"/>
      <c r="W45" s="33"/>
      <c r="X45" s="33"/>
      <c r="Y45" s="33"/>
      <c r="Z45" s="33"/>
      <c r="AA45" s="33"/>
      <c r="AB45" s="33"/>
      <c r="AC45" s="33"/>
      <c r="AD45" s="33"/>
      <c r="AE45" s="33"/>
      <c r="AF45" s="33"/>
      <c r="AG45" s="33"/>
      <c r="AH45" s="33"/>
    </row>
    <row r="46" spans="1:35" s="5" customFormat="1" ht="9.75" customHeight="1">
      <c r="A46" s="11">
        <v>7</v>
      </c>
      <c r="B46" s="53" t="str">
        <f>Kalk!B26</f>
        <v>TV-L  SuE ( Anlage G )</v>
      </c>
      <c r="C46" s="11" t="str">
        <f>C44</f>
        <v>Land ( TdL )</v>
      </c>
      <c r="D46" s="11" t="str">
        <f t="shared" ref="D46:X46" si="1">D44</f>
        <v>Land ( TdL )</v>
      </c>
      <c r="E46" s="11" t="str">
        <f t="shared" si="1"/>
        <v>Land ( TdL )</v>
      </c>
      <c r="F46" s="11" t="str">
        <f t="shared" si="1"/>
        <v>Land ( TdL )</v>
      </c>
      <c r="G46" s="11" t="str">
        <f t="shared" si="1"/>
        <v>Land ( TdL )</v>
      </c>
      <c r="H46" s="11" t="str">
        <f t="shared" si="1"/>
        <v>Land ( TdL )</v>
      </c>
      <c r="I46" s="11" t="str">
        <f t="shared" si="1"/>
        <v>Land ( TdL )</v>
      </c>
      <c r="J46" s="11" t="str">
        <f t="shared" si="1"/>
        <v>Land ( TdL )</v>
      </c>
      <c r="K46" s="11" t="str">
        <f t="shared" si="1"/>
        <v>Land ( TdL )</v>
      </c>
      <c r="L46" s="11" t="str">
        <f t="shared" si="1"/>
        <v>Land ( TdL )</v>
      </c>
      <c r="M46" s="11" t="str">
        <f t="shared" si="1"/>
        <v>Länder ( TdL )</v>
      </c>
      <c r="N46" s="11" t="str">
        <f t="shared" si="1"/>
        <v>Land ( TdL )</v>
      </c>
      <c r="O46" s="11" t="str">
        <f t="shared" si="1"/>
        <v>Land ( TdL )</v>
      </c>
      <c r="P46" s="11" t="str">
        <f t="shared" si="1"/>
        <v>Land ( TdL )</v>
      </c>
      <c r="Q46" s="11" t="str">
        <f t="shared" si="1"/>
        <v>Land ( TdL )</v>
      </c>
      <c r="R46" s="11" t="str">
        <f t="shared" si="1"/>
        <v>Land ( TdL )</v>
      </c>
      <c r="S46" s="11" t="str">
        <f t="shared" si="1"/>
        <v>Land ( TdL )</v>
      </c>
      <c r="T46" s="11" t="str">
        <f t="shared" si="1"/>
        <v>Land ( TdL )</v>
      </c>
      <c r="U46" s="11" t="str">
        <f t="shared" si="1"/>
        <v>Land ( TdL )</v>
      </c>
      <c r="V46" s="11" t="str">
        <f t="shared" si="1"/>
        <v>Land ( TdL )</v>
      </c>
      <c r="W46" s="11" t="str">
        <f t="shared" si="1"/>
        <v>Land ( TdL )</v>
      </c>
      <c r="X46" s="11" t="str">
        <f t="shared" si="1"/>
        <v>Länder ( TdL )</v>
      </c>
      <c r="Y46" s="33"/>
      <c r="Z46" s="33"/>
      <c r="AA46" s="33"/>
      <c r="AB46" s="33"/>
      <c r="AC46" s="33"/>
      <c r="AD46" s="33"/>
      <c r="AE46" s="33"/>
      <c r="AF46" s="33"/>
      <c r="AG46" s="33"/>
      <c r="AH46" s="33"/>
    </row>
    <row r="47" spans="1:35" s="5" customFormat="1" ht="9.75" customHeight="1">
      <c r="A47" s="13">
        <v>8</v>
      </c>
      <c r="B47" s="54" t="str">
        <f>Kalk!B27</f>
        <v>TV-AVH ( AV Hamburg )</v>
      </c>
      <c r="C47" s="13" t="s">
        <v>613</v>
      </c>
      <c r="D47" s="13" t="s">
        <v>613</v>
      </c>
      <c r="E47" s="13" t="s">
        <v>613</v>
      </c>
      <c r="F47" s="2"/>
      <c r="G47" s="2"/>
      <c r="H47" s="2"/>
      <c r="I47" s="2"/>
      <c r="J47" s="2"/>
      <c r="K47" s="2"/>
      <c r="L47" s="2"/>
      <c r="M47" s="2"/>
      <c r="N47" s="33"/>
      <c r="O47" s="33"/>
      <c r="P47" s="33"/>
      <c r="Q47" s="33"/>
      <c r="R47" s="33"/>
      <c r="S47" s="33"/>
      <c r="T47" s="33"/>
      <c r="U47" s="33"/>
      <c r="V47" s="33"/>
      <c r="W47" s="33"/>
      <c r="X47" s="33"/>
      <c r="Y47" s="33"/>
      <c r="Z47" s="33"/>
      <c r="AA47" s="33"/>
      <c r="AB47" s="33"/>
      <c r="AC47" s="33"/>
      <c r="AD47" s="33"/>
      <c r="AE47" s="33"/>
      <c r="AF47" s="33"/>
      <c r="AG47" s="33"/>
      <c r="AH47" s="33"/>
    </row>
    <row r="48" spans="1:35" s="5" customFormat="1" ht="9.75" customHeight="1">
      <c r="A48" s="11">
        <v>9</v>
      </c>
      <c r="B48" s="53" t="str">
        <f>Kalk!B28</f>
        <v>TV-H  AT ( Hessen )</v>
      </c>
      <c r="C48" s="11" t="s">
        <v>194</v>
      </c>
      <c r="D48" s="11" t="s">
        <v>194</v>
      </c>
      <c r="E48" s="11" t="s">
        <v>194</v>
      </c>
      <c r="F48" s="11" t="s">
        <v>194</v>
      </c>
      <c r="G48" s="2"/>
      <c r="H48" s="2"/>
      <c r="I48" s="2"/>
      <c r="J48" s="2"/>
      <c r="K48" s="2"/>
      <c r="L48" s="2"/>
      <c r="M48" s="2"/>
      <c r="N48" s="33"/>
      <c r="O48" s="33"/>
      <c r="P48" s="33"/>
      <c r="Q48" s="33"/>
      <c r="R48" s="33"/>
      <c r="S48" s="33"/>
      <c r="T48" s="33"/>
      <c r="U48" s="33"/>
      <c r="V48" s="33"/>
      <c r="W48" s="33"/>
      <c r="X48" s="33"/>
      <c r="Y48" s="33"/>
      <c r="Z48" s="33"/>
      <c r="AA48" s="33"/>
      <c r="AB48" s="33"/>
      <c r="AC48" s="33"/>
      <c r="AD48" s="33"/>
      <c r="AE48" s="33"/>
      <c r="AF48" s="33"/>
      <c r="AG48" s="33"/>
      <c r="AH48" s="33"/>
    </row>
    <row r="49" spans="1:35" s="5" customFormat="1" ht="9.75" customHeight="1" thickBot="1">
      <c r="A49" s="562">
        <v>10</v>
      </c>
      <c r="B49" s="563" t="str">
        <f>Kalk!B29</f>
        <v>TV dataport</v>
      </c>
      <c r="C49" s="562" t="s">
        <v>590</v>
      </c>
      <c r="D49" s="562" t="s">
        <v>590</v>
      </c>
      <c r="E49" s="562" t="s">
        <v>590</v>
      </c>
      <c r="F49" s="2"/>
      <c r="G49" s="2"/>
      <c r="H49" s="2"/>
      <c r="I49" s="2"/>
      <c r="J49" s="2"/>
      <c r="K49" s="2"/>
      <c r="L49" s="2"/>
      <c r="M49" s="2"/>
      <c r="N49" s="33"/>
      <c r="O49" s="33"/>
      <c r="P49" s="33"/>
      <c r="Q49" s="33"/>
      <c r="R49" s="33"/>
      <c r="S49" s="33"/>
      <c r="T49" s="33"/>
      <c r="U49" s="33"/>
      <c r="V49" s="33"/>
      <c r="W49" s="33"/>
      <c r="X49" s="33"/>
      <c r="Y49" s="33"/>
      <c r="Z49" s="33"/>
      <c r="AA49" s="33"/>
      <c r="AB49" s="33"/>
      <c r="AC49" s="33"/>
      <c r="AD49" s="33"/>
      <c r="AE49" s="33"/>
      <c r="AF49" s="33"/>
      <c r="AG49" s="33"/>
      <c r="AH49" s="33"/>
    </row>
    <row r="50" spans="1:35" s="5" customFormat="1" ht="9.75" customHeight="1" thickBot="1">
      <c r="A50" s="2"/>
      <c r="B50" s="467" t="str">
        <f>VLOOKUP(Kalk!B5,A40:AI49,Kalk!C4+2)</f>
        <v>Bund</v>
      </c>
      <c r="C50" s="2"/>
      <c r="D50" s="6"/>
      <c r="E50" s="3"/>
      <c r="F50" s="2"/>
      <c r="G50" s="2"/>
      <c r="H50" s="4"/>
      <c r="I50" s="3"/>
      <c r="J50" s="4"/>
      <c r="K50" s="2"/>
      <c r="L50" s="2"/>
      <c r="M50" s="33"/>
      <c r="N50" s="33"/>
      <c r="O50" s="33"/>
      <c r="P50" s="33"/>
      <c r="Q50" s="33"/>
      <c r="R50" s="33"/>
      <c r="S50" s="33"/>
      <c r="T50" s="33"/>
      <c r="U50" s="33"/>
      <c r="V50" s="33"/>
      <c r="W50" s="33"/>
      <c r="X50" s="33"/>
      <c r="Y50" s="33"/>
      <c r="Z50" s="33"/>
      <c r="AA50" s="33"/>
      <c r="AB50" s="33"/>
      <c r="AC50" s="33"/>
      <c r="AD50" s="33"/>
      <c r="AE50" s="33"/>
      <c r="AF50" s="33"/>
      <c r="AG50" s="33"/>
      <c r="AH50" s="33"/>
    </row>
    <row r="52" spans="1:35" s="5" customFormat="1" ht="9.75" customHeight="1">
      <c r="A52" s="11">
        <v>1</v>
      </c>
      <c r="B52" s="53" t="str">
        <f>Kalk!B20</f>
        <v>TVöD ( Bund )</v>
      </c>
      <c r="C52" s="423" t="str">
        <f>C26</f>
        <v>Stand 1.03.2020</v>
      </c>
      <c r="D52" s="423" t="str">
        <f>D26</f>
        <v>Stand 1.04.2021</v>
      </c>
      <c r="E52" s="423" t="str">
        <f>E26</f>
        <v>Stand 1.04.2022</v>
      </c>
      <c r="F52" s="4"/>
      <c r="G52" s="4"/>
      <c r="H52" s="4"/>
      <c r="I52" s="4"/>
      <c r="J52" s="4"/>
      <c r="K52" s="4"/>
      <c r="L52" s="4"/>
      <c r="M52" s="33"/>
      <c r="N52" s="33"/>
      <c r="O52" s="33"/>
      <c r="P52" s="33"/>
      <c r="Q52" s="33"/>
      <c r="R52" s="33"/>
      <c r="S52" s="33"/>
      <c r="T52" s="33"/>
      <c r="U52" s="33"/>
      <c r="V52" s="33"/>
      <c r="W52" s="33"/>
      <c r="X52" s="33"/>
      <c r="Y52" s="33"/>
      <c r="Z52" s="33"/>
      <c r="AA52" s="33"/>
      <c r="AB52" s="33"/>
      <c r="AC52" s="33"/>
      <c r="AD52" s="33"/>
      <c r="AE52" s="33"/>
      <c r="AF52" s="33"/>
      <c r="AG52" s="33"/>
      <c r="AH52" s="33"/>
    </row>
    <row r="53" spans="1:35" s="5" customFormat="1" ht="9.75" customHeight="1">
      <c r="A53" s="13">
        <v>2</v>
      </c>
      <c r="B53" s="54" t="str">
        <f>Kalk!B21</f>
        <v>TVöD ( VKA )</v>
      </c>
      <c r="C53" s="424" t="str">
        <f>C27</f>
        <v>Stand 1.03.2020</v>
      </c>
      <c r="D53" s="424" t="str">
        <f>D27</f>
        <v>Stand 1.03.2020</v>
      </c>
      <c r="E53" s="424" t="str">
        <f t="shared" ref="E53:N53" si="2">E27</f>
        <v>Stand 1.03.2020</v>
      </c>
      <c r="F53" s="424" t="str">
        <f t="shared" si="2"/>
        <v>Stand 1.03.2020</v>
      </c>
      <c r="G53" s="424" t="str">
        <f t="shared" si="2"/>
        <v>Stand 1.04.2021</v>
      </c>
      <c r="H53" s="424" t="str">
        <f t="shared" si="2"/>
        <v>Stand 1.04.2021</v>
      </c>
      <c r="I53" s="424" t="str">
        <f t="shared" si="2"/>
        <v>Stand 1.04.2021</v>
      </c>
      <c r="J53" s="424" t="str">
        <f t="shared" si="2"/>
        <v>Stand 1.04.2021</v>
      </c>
      <c r="K53" s="424" t="str">
        <f t="shared" si="2"/>
        <v>Stand 1.04.2022</v>
      </c>
      <c r="L53" s="424" t="str">
        <f t="shared" si="2"/>
        <v>Stand 1.04.2022</v>
      </c>
      <c r="M53" s="424" t="str">
        <f t="shared" si="2"/>
        <v>Stand 1.04.2022</v>
      </c>
      <c r="N53" s="424" t="str">
        <f t="shared" si="2"/>
        <v>Stand 1.04.2022</v>
      </c>
      <c r="O53" s="33"/>
      <c r="P53" s="33"/>
      <c r="Q53" s="33"/>
      <c r="R53" s="33"/>
      <c r="S53" s="33"/>
      <c r="T53" s="33"/>
      <c r="U53" s="33"/>
      <c r="V53" s="33"/>
      <c r="W53" s="33"/>
      <c r="X53" s="33"/>
      <c r="Y53" s="33"/>
      <c r="Z53" s="33"/>
      <c r="AA53" s="33"/>
      <c r="AB53" s="33"/>
      <c r="AC53" s="33"/>
      <c r="AD53" s="33"/>
      <c r="AE53" s="33"/>
      <c r="AF53" s="33"/>
      <c r="AG53" s="33"/>
      <c r="AH53" s="33"/>
    </row>
    <row r="54" spans="1:35" s="5" customFormat="1" ht="9.75" customHeight="1">
      <c r="A54" s="11">
        <v>3</v>
      </c>
      <c r="B54" s="53" t="str">
        <f>Kalk!B22</f>
        <v>TVöD ( BT-K )</v>
      </c>
      <c r="C54" s="423" t="str">
        <f>C28</f>
        <v>Stand 1.03.2020</v>
      </c>
      <c r="D54" s="423" t="str">
        <f t="shared" ref="D54:N54" si="3">D28</f>
        <v>Stand 1.03.2020</v>
      </c>
      <c r="E54" s="423" t="str">
        <f t="shared" si="3"/>
        <v>Stand 1.03.2020</v>
      </c>
      <c r="F54" s="423" t="str">
        <f t="shared" si="3"/>
        <v>Stand 1.03.2020</v>
      </c>
      <c r="G54" s="423" t="str">
        <f t="shared" si="3"/>
        <v>Stand 1.04.2021</v>
      </c>
      <c r="H54" s="423" t="str">
        <f t="shared" si="3"/>
        <v>Stand 1.04.2021</v>
      </c>
      <c r="I54" s="423" t="str">
        <f t="shared" si="3"/>
        <v>Stand 1.04.2021</v>
      </c>
      <c r="J54" s="423" t="str">
        <f t="shared" si="3"/>
        <v>Stand 1.04.2021</v>
      </c>
      <c r="K54" s="11" t="str">
        <f t="shared" si="3"/>
        <v>Stand 1.04.2022</v>
      </c>
      <c r="L54" s="11" t="str">
        <f t="shared" si="3"/>
        <v>Stand 1.04.2022</v>
      </c>
      <c r="M54" s="11" t="str">
        <f t="shared" si="3"/>
        <v>Stand 1.04.2022</v>
      </c>
      <c r="N54" s="11" t="str">
        <f t="shared" si="3"/>
        <v>Stand 1.04.2022</v>
      </c>
      <c r="O54" s="33"/>
      <c r="P54" s="33"/>
      <c r="Q54" s="33"/>
      <c r="R54" s="33"/>
      <c r="S54" s="33"/>
      <c r="T54" s="33"/>
      <c r="U54" s="33"/>
      <c r="V54" s="33"/>
      <c r="W54" s="33"/>
      <c r="X54" s="33"/>
      <c r="Y54" s="33"/>
      <c r="Z54" s="33"/>
      <c r="AA54" s="33"/>
      <c r="AB54" s="33"/>
      <c r="AC54" s="33"/>
      <c r="AD54" s="33"/>
      <c r="AE54" s="33"/>
      <c r="AF54" s="33"/>
      <c r="AG54" s="33"/>
      <c r="AH54" s="33"/>
    </row>
    <row r="55" spans="1:35" s="5" customFormat="1" ht="9.75" customHeight="1">
      <c r="A55" s="13">
        <v>4</v>
      </c>
      <c r="B55" s="54" t="str">
        <f>Kalk!B23</f>
        <v>TVöD ( BT-B )</v>
      </c>
      <c r="C55" s="424" t="str">
        <f>C29</f>
        <v>Stand 1.03.2020</v>
      </c>
      <c r="D55" s="424" t="str">
        <f>D29</f>
        <v>Stand 1.03.2020</v>
      </c>
      <c r="E55" s="424" t="str">
        <f>E29</f>
        <v>Stand 1.04.2021</v>
      </c>
      <c r="F55" s="424" t="str">
        <f>F29</f>
        <v>Stand 1.04.2021</v>
      </c>
      <c r="G55" s="424" t="str">
        <f>G29</f>
        <v>Stand 1.04.2022</v>
      </c>
      <c r="H55" s="424" t="str">
        <f>H29</f>
        <v>Stand 1.04.2022</v>
      </c>
      <c r="I55" s="96"/>
      <c r="J55" s="96"/>
      <c r="K55" s="96"/>
      <c r="L55" s="96"/>
      <c r="M55" s="2"/>
      <c r="N55" s="33"/>
      <c r="O55" s="33"/>
      <c r="P55" s="33"/>
      <c r="Q55" s="33"/>
      <c r="R55" s="33"/>
      <c r="S55" s="33"/>
      <c r="T55" s="33"/>
      <c r="U55" s="33"/>
      <c r="V55" s="33"/>
      <c r="W55" s="33"/>
      <c r="X55" s="33"/>
      <c r="Y55" s="33"/>
      <c r="Z55" s="33"/>
      <c r="AA55" s="33"/>
      <c r="AB55" s="33"/>
      <c r="AC55" s="33"/>
      <c r="AD55" s="33"/>
      <c r="AE55" s="33"/>
      <c r="AF55" s="33"/>
      <c r="AG55" s="33"/>
      <c r="AH55" s="33"/>
    </row>
    <row r="56" spans="1:35" s="5" customFormat="1" ht="9.75" customHeight="1">
      <c r="A56" s="11">
        <v>5</v>
      </c>
      <c r="B56" s="53" t="str">
        <f>Kalk!B24</f>
        <v>TV-L  AT ( Anlage B )</v>
      </c>
      <c r="C56" s="11" t="str">
        <f>C30</f>
        <v>Stand 1.01.2019</v>
      </c>
      <c r="D56" s="11" t="str">
        <f t="shared" ref="D56:AI56" si="4">D30</f>
        <v>Stand 1.01.2019</v>
      </c>
      <c r="E56" s="11" t="str">
        <f t="shared" si="4"/>
        <v>Stand 1.01.2019</v>
      </c>
      <c r="F56" s="11" t="str">
        <f t="shared" si="4"/>
        <v>Stand 1.01.2019</v>
      </c>
      <c r="G56" s="11" t="str">
        <f t="shared" si="4"/>
        <v>Stand 1.01.2019</v>
      </c>
      <c r="H56" s="11" t="str">
        <f t="shared" si="4"/>
        <v>Stand 1.01.2019</v>
      </c>
      <c r="I56" s="11" t="str">
        <f t="shared" si="4"/>
        <v>Stand 1.01.2019</v>
      </c>
      <c r="J56" s="11" t="str">
        <f t="shared" si="4"/>
        <v>Stand 1.01.2019</v>
      </c>
      <c r="K56" s="11" t="str">
        <f t="shared" si="4"/>
        <v>Stand 1.01.2019</v>
      </c>
      <c r="L56" s="11" t="str">
        <f t="shared" si="4"/>
        <v>Stand 1.01.2019</v>
      </c>
      <c r="M56" s="11" t="str">
        <f t="shared" si="4"/>
        <v>Stand 1.01.2019</v>
      </c>
      <c r="N56" s="11" t="str">
        <f t="shared" si="4"/>
        <v>Stand 1.01.2020</v>
      </c>
      <c r="O56" s="11" t="str">
        <f t="shared" si="4"/>
        <v>Stand 1.01.2020</v>
      </c>
      <c r="P56" s="11" t="str">
        <f t="shared" si="4"/>
        <v>Stand 1.01.2020</v>
      </c>
      <c r="Q56" s="11" t="str">
        <f t="shared" si="4"/>
        <v>Stand 1.01.2020</v>
      </c>
      <c r="R56" s="11" t="str">
        <f t="shared" si="4"/>
        <v>Stand 1.01.2020</v>
      </c>
      <c r="S56" s="11" t="str">
        <f t="shared" si="4"/>
        <v>Stand 1.01.2020</v>
      </c>
      <c r="T56" s="11" t="str">
        <f t="shared" si="4"/>
        <v>Stand 1.01.2020</v>
      </c>
      <c r="U56" s="11" t="str">
        <f t="shared" si="4"/>
        <v>Stand 1.01.2020</v>
      </c>
      <c r="V56" s="11" t="str">
        <f t="shared" si="4"/>
        <v>Stand 1.01.2020</v>
      </c>
      <c r="W56" s="11" t="str">
        <f t="shared" si="4"/>
        <v>Stand 1.01.2020</v>
      </c>
      <c r="X56" s="11" t="str">
        <f t="shared" si="4"/>
        <v>Stand 1.01.2020</v>
      </c>
      <c r="Y56" s="11" t="str">
        <f t="shared" si="4"/>
        <v>Stand 1.01.2021</v>
      </c>
      <c r="Z56" s="11" t="str">
        <f t="shared" si="4"/>
        <v>Stand 1.01.2021</v>
      </c>
      <c r="AA56" s="11" t="str">
        <f t="shared" si="4"/>
        <v>Stand 1.01.2021</v>
      </c>
      <c r="AB56" s="11" t="str">
        <f t="shared" si="4"/>
        <v>Stand 1.01.2021</v>
      </c>
      <c r="AC56" s="11" t="str">
        <f t="shared" si="4"/>
        <v>Stand 1.01.2021</v>
      </c>
      <c r="AD56" s="11" t="str">
        <f t="shared" si="4"/>
        <v>Stand 1.01.2021</v>
      </c>
      <c r="AE56" s="11" t="str">
        <f t="shared" si="4"/>
        <v>Stand 1.01.2021</v>
      </c>
      <c r="AF56" s="11" t="str">
        <f t="shared" si="4"/>
        <v>Stand 1.01.2021</v>
      </c>
      <c r="AG56" s="11" t="str">
        <f t="shared" si="4"/>
        <v>Stand 1.01.2021</v>
      </c>
      <c r="AH56" s="11" t="str">
        <f t="shared" si="4"/>
        <v>Stand 1.01.2021</v>
      </c>
      <c r="AI56" s="11" t="str">
        <f t="shared" si="4"/>
        <v>Stand 1.01.2021</v>
      </c>
    </row>
    <row r="57" spans="1:35" s="5" customFormat="1" ht="9.75" customHeight="1">
      <c r="A57" s="13">
        <v>6</v>
      </c>
      <c r="B57" s="54" t="str">
        <f>Kalk!B25</f>
        <v>TV-L  Kr ( Anlage C )</v>
      </c>
      <c r="C57" s="13" t="str">
        <f>C30</f>
        <v>Stand 1.01.2019</v>
      </c>
      <c r="D57" s="13" t="str">
        <f>D30</f>
        <v>Stand 1.01.2019</v>
      </c>
      <c r="E57" s="13" t="str">
        <f>N30</f>
        <v>Stand 1.01.2020</v>
      </c>
      <c r="F57" s="13" t="str">
        <f>O30</f>
        <v>Stand 1.01.2020</v>
      </c>
      <c r="G57" s="13" t="str">
        <f>Y30</f>
        <v>Stand 1.01.2021</v>
      </c>
      <c r="H57" s="13" t="str">
        <f>Z30</f>
        <v>Stand 1.01.2021</v>
      </c>
      <c r="I57" s="2"/>
      <c r="J57" s="2"/>
      <c r="K57" s="2"/>
      <c r="L57" s="2"/>
      <c r="M57" s="2"/>
      <c r="N57" s="33"/>
      <c r="O57" s="33"/>
      <c r="P57" s="33"/>
      <c r="Q57" s="33"/>
      <c r="R57" s="33"/>
      <c r="S57" s="33"/>
      <c r="T57" s="33"/>
      <c r="U57" s="33"/>
      <c r="V57" s="33"/>
      <c r="W57" s="33"/>
      <c r="X57" s="33"/>
      <c r="Y57" s="33"/>
      <c r="Z57" s="33"/>
      <c r="AA57" s="33"/>
      <c r="AB57" s="33"/>
      <c r="AC57" s="33"/>
      <c r="AD57" s="33"/>
      <c r="AE57" s="33"/>
      <c r="AF57" s="33"/>
      <c r="AG57" s="33"/>
      <c r="AH57" s="33"/>
    </row>
    <row r="58" spans="1:35" s="5" customFormat="1" ht="9.75" customHeight="1">
      <c r="A58" s="11">
        <v>7</v>
      </c>
      <c r="B58" s="489" t="str">
        <f>Kalk!B26</f>
        <v>TV-L  SuE ( Anlage G )</v>
      </c>
      <c r="C58" s="423" t="str">
        <f>N30</f>
        <v>Stand 1.01.2020</v>
      </c>
      <c r="D58" s="423" t="str">
        <f t="shared" ref="D58:X58" si="5">O30</f>
        <v>Stand 1.01.2020</v>
      </c>
      <c r="E58" s="423" t="str">
        <f t="shared" si="5"/>
        <v>Stand 1.01.2020</v>
      </c>
      <c r="F58" s="423" t="str">
        <f t="shared" si="5"/>
        <v>Stand 1.01.2020</v>
      </c>
      <c r="G58" s="423" t="str">
        <f t="shared" si="5"/>
        <v>Stand 1.01.2020</v>
      </c>
      <c r="H58" s="423" t="str">
        <f t="shared" si="5"/>
        <v>Stand 1.01.2020</v>
      </c>
      <c r="I58" s="423" t="str">
        <f t="shared" si="5"/>
        <v>Stand 1.01.2020</v>
      </c>
      <c r="J58" s="423" t="str">
        <f t="shared" si="5"/>
        <v>Stand 1.01.2020</v>
      </c>
      <c r="K58" s="423" t="str">
        <f t="shared" si="5"/>
        <v>Stand 1.01.2020</v>
      </c>
      <c r="L58" s="423" t="str">
        <f t="shared" si="5"/>
        <v>Stand 1.01.2020</v>
      </c>
      <c r="M58" s="423" t="str">
        <f t="shared" si="5"/>
        <v>Stand 1.01.2020</v>
      </c>
      <c r="N58" s="423" t="str">
        <f t="shared" si="5"/>
        <v>Stand 1.01.2021</v>
      </c>
      <c r="O58" s="423" t="str">
        <f t="shared" si="5"/>
        <v>Stand 1.01.2021</v>
      </c>
      <c r="P58" s="423" t="str">
        <f t="shared" si="5"/>
        <v>Stand 1.01.2021</v>
      </c>
      <c r="Q58" s="423" t="str">
        <f t="shared" si="5"/>
        <v>Stand 1.01.2021</v>
      </c>
      <c r="R58" s="423" t="str">
        <f t="shared" si="5"/>
        <v>Stand 1.01.2021</v>
      </c>
      <c r="S58" s="423" t="str">
        <f t="shared" si="5"/>
        <v>Stand 1.01.2021</v>
      </c>
      <c r="T58" s="423" t="str">
        <f t="shared" si="5"/>
        <v>Stand 1.01.2021</v>
      </c>
      <c r="U58" s="423" t="str">
        <f t="shared" si="5"/>
        <v>Stand 1.01.2021</v>
      </c>
      <c r="V58" s="423" t="str">
        <f t="shared" si="5"/>
        <v>Stand 1.01.2021</v>
      </c>
      <c r="W58" s="423" t="str">
        <f t="shared" si="5"/>
        <v>Stand 1.01.2021</v>
      </c>
      <c r="X58" s="423" t="str">
        <f t="shared" si="5"/>
        <v>Stand 1.01.2021</v>
      </c>
      <c r="Y58" s="33"/>
      <c r="Z58" s="33"/>
      <c r="AA58" s="33"/>
      <c r="AB58" s="33"/>
      <c r="AC58" s="33"/>
      <c r="AD58" s="33"/>
      <c r="AE58" s="33"/>
      <c r="AF58" s="33"/>
      <c r="AG58" s="33"/>
      <c r="AH58" s="33"/>
    </row>
    <row r="59" spans="1:35" s="5" customFormat="1" ht="9.75" customHeight="1">
      <c r="A59" s="13">
        <v>8</v>
      </c>
      <c r="B59" s="54" t="str">
        <f>Kalk!B27</f>
        <v>TV-AVH ( AV Hamburg )</v>
      </c>
      <c r="C59" s="13" t="str">
        <f>'AVH Tab'!BF30</f>
        <v>Stand 1.03.2020</v>
      </c>
      <c r="D59" s="615" t="str">
        <f>'AVH Tab'!BN30</f>
        <v>Stand 1.04.2021</v>
      </c>
      <c r="E59" s="615" t="str">
        <f>'AVH Tab'!BV30</f>
        <v>Stand 1.04.2022</v>
      </c>
      <c r="F59" s="2"/>
      <c r="G59" s="2"/>
      <c r="H59" s="2"/>
      <c r="I59" s="2"/>
      <c r="J59" s="2"/>
      <c r="K59" s="2"/>
      <c r="L59" s="2"/>
      <c r="M59" s="2"/>
      <c r="N59" s="33"/>
      <c r="O59" s="33"/>
      <c r="P59" s="33"/>
      <c r="Q59" s="33"/>
      <c r="R59" s="33"/>
      <c r="S59" s="33"/>
      <c r="T59" s="33"/>
      <c r="U59" s="33"/>
      <c r="V59" s="33"/>
      <c r="W59" s="33"/>
      <c r="X59" s="33"/>
      <c r="Y59" s="33"/>
      <c r="Z59" s="33"/>
      <c r="AA59" s="33"/>
      <c r="AB59" s="33"/>
      <c r="AC59" s="33"/>
      <c r="AD59" s="33"/>
      <c r="AE59" s="33"/>
      <c r="AF59" s="33"/>
      <c r="AG59" s="33"/>
      <c r="AH59" s="33"/>
    </row>
    <row r="60" spans="1:35" s="5" customFormat="1" ht="9.75" customHeight="1">
      <c r="A60" s="11">
        <v>9</v>
      </c>
      <c r="B60" s="53" t="str">
        <f>Kalk!B28</f>
        <v>TV-H  AT ( Hessen )</v>
      </c>
      <c r="C60" s="423" t="str">
        <f>'L Tab'!$DJ40</f>
        <v>Stand 1.03.2019</v>
      </c>
      <c r="D60" s="423" t="str">
        <f>'L Tab'!$DR40</f>
        <v>Stand 1.08.2019</v>
      </c>
      <c r="E60" s="423" t="str">
        <f>'L Tab'!$DZ40</f>
        <v>Stand 1.02.2020</v>
      </c>
      <c r="F60" s="423" t="str">
        <f>'L Tab'!$EH40</f>
        <v>Stand 1.01.2021</v>
      </c>
      <c r="G60" s="2"/>
      <c r="H60" s="2"/>
      <c r="I60" s="2"/>
      <c r="J60" s="2"/>
      <c r="K60" s="2"/>
      <c r="L60" s="2"/>
      <c r="M60" s="2"/>
      <c r="N60" s="33"/>
      <c r="O60" s="33"/>
      <c r="P60" s="33"/>
      <c r="Q60" s="33"/>
      <c r="R60" s="33"/>
      <c r="S60" s="33"/>
      <c r="T60" s="33"/>
      <c r="U60" s="33"/>
      <c r="V60" s="33"/>
      <c r="W60" s="33"/>
      <c r="X60" s="33"/>
      <c r="Y60" s="33"/>
      <c r="Z60" s="33"/>
      <c r="AA60" s="33"/>
      <c r="AB60" s="33"/>
      <c r="AC60" s="33"/>
      <c r="AD60" s="33"/>
      <c r="AE60" s="33"/>
      <c r="AF60" s="33"/>
      <c r="AG60" s="33"/>
      <c r="AH60" s="33"/>
    </row>
    <row r="61" spans="1:35" s="5" customFormat="1" ht="9.75" customHeight="1" thickBot="1">
      <c r="A61" s="562">
        <v>10</v>
      </c>
      <c r="B61" s="563" t="str">
        <f>Kalk!B29</f>
        <v>TV dataport</v>
      </c>
      <c r="C61" s="564" t="s">
        <v>525</v>
      </c>
      <c r="D61" s="564" t="s">
        <v>526</v>
      </c>
      <c r="E61" s="564" t="s">
        <v>527</v>
      </c>
      <c r="F61" s="2"/>
      <c r="G61" s="2"/>
      <c r="H61" s="2"/>
      <c r="I61" s="2"/>
      <c r="J61" s="2"/>
      <c r="K61" s="2"/>
      <c r="L61" s="2"/>
      <c r="M61" s="2"/>
      <c r="N61" s="33"/>
      <c r="O61" s="33"/>
      <c r="P61" s="33"/>
      <c r="Q61" s="33"/>
      <c r="R61" s="33"/>
      <c r="S61" s="33"/>
      <c r="T61" s="33"/>
      <c r="U61" s="33"/>
      <c r="V61" s="33"/>
      <c r="W61" s="33"/>
      <c r="X61" s="33"/>
      <c r="Y61" s="33"/>
      <c r="Z61" s="33"/>
      <c r="AA61" s="33"/>
      <c r="AB61" s="33"/>
      <c r="AC61" s="33"/>
      <c r="AD61" s="33"/>
      <c r="AE61" s="33"/>
      <c r="AF61" s="33"/>
      <c r="AG61" s="33"/>
      <c r="AH61" s="33"/>
    </row>
    <row r="62" spans="1:35" s="5" customFormat="1" ht="9.75" customHeight="1" thickBot="1">
      <c r="A62" s="2"/>
      <c r="B62" s="467" t="str">
        <f>VLOOKUP(Kalk!B5,A52:AI61,Kalk!C4+2)</f>
        <v>Stand 1.04.2021</v>
      </c>
      <c r="C62" s="2"/>
      <c r="D62" s="6"/>
      <c r="E62" s="3"/>
      <c r="F62" s="2"/>
      <c r="G62" s="2"/>
      <c r="H62" s="4"/>
      <c r="I62" s="3"/>
      <c r="J62" s="4"/>
      <c r="K62" s="2"/>
      <c r="L62" s="2"/>
      <c r="M62" s="33"/>
      <c r="N62" s="33"/>
      <c r="O62" s="33"/>
      <c r="P62" s="33"/>
      <c r="Q62" s="33"/>
      <c r="R62" s="33"/>
      <c r="S62" s="33"/>
      <c r="T62" s="33"/>
      <c r="U62" s="33"/>
      <c r="V62" s="33"/>
      <c r="W62" s="33"/>
      <c r="X62" s="33"/>
      <c r="Y62" s="33"/>
      <c r="Z62" s="33"/>
      <c r="AA62" s="33"/>
      <c r="AB62" s="33"/>
      <c r="AC62" s="33"/>
      <c r="AD62" s="33"/>
      <c r="AE62" s="33"/>
      <c r="AF62" s="33"/>
      <c r="AG62" s="33"/>
      <c r="AH62" s="33"/>
    </row>
    <row r="64" spans="1:35" s="5" customFormat="1" ht="9.75" customHeight="1">
      <c r="A64" s="11">
        <v>1</v>
      </c>
      <c r="B64" s="53" t="str">
        <f>Kalk!B20</f>
        <v>TVöD ( Bund )</v>
      </c>
      <c r="C64" s="423" t="str">
        <f>Para!E71</f>
        <v>ab 1.03.2018</v>
      </c>
      <c r="D64" s="423" t="str">
        <f>Para!E72</f>
        <v>ab 1.04.2019</v>
      </c>
      <c r="E64" s="423" t="str">
        <f>Para!E73</f>
        <v>ab 1.03.2020</v>
      </c>
      <c r="F64" s="4"/>
      <c r="G64" s="4"/>
      <c r="H64" s="4"/>
      <c r="I64" s="4"/>
      <c r="J64" s="4"/>
      <c r="K64" s="4"/>
      <c r="L64" s="4"/>
      <c r="M64" s="33"/>
      <c r="N64" s="33"/>
      <c r="O64" s="33"/>
      <c r="P64" s="33"/>
      <c r="Q64" s="33"/>
      <c r="R64" s="33"/>
      <c r="S64" s="33"/>
      <c r="T64" s="33"/>
      <c r="U64" s="33"/>
      <c r="V64" s="33"/>
      <c r="W64" s="33"/>
      <c r="X64" s="33"/>
      <c r="Y64" s="33"/>
      <c r="Z64" s="33"/>
      <c r="AA64" s="33"/>
      <c r="AB64" s="33"/>
      <c r="AC64" s="33"/>
      <c r="AD64" s="33"/>
      <c r="AE64" s="33"/>
      <c r="AF64" s="33"/>
      <c r="AG64" s="33"/>
      <c r="AH64" s="33"/>
    </row>
    <row r="65" spans="1:35" s="5" customFormat="1" ht="9.75" customHeight="1">
      <c r="A65" s="13">
        <v>2</v>
      </c>
      <c r="B65" s="54" t="str">
        <f>Kalk!B21</f>
        <v>TVöD ( VKA )</v>
      </c>
      <c r="C65" s="424" t="str">
        <f>Para!$E$94</f>
        <v>ab 1.03.2018</v>
      </c>
      <c r="D65" s="424" t="str">
        <f>Para!$E$94</f>
        <v>ab 1.03.2018</v>
      </c>
      <c r="E65" s="424" t="str">
        <f>Para!$E$94</f>
        <v>ab 1.03.2018</v>
      </c>
      <c r="F65" s="424" t="str">
        <f>Para!$E$94</f>
        <v>ab 1.03.2018</v>
      </c>
      <c r="G65" s="424" t="str">
        <f>Para!$E$95</f>
        <v>ab 1.04.2019</v>
      </c>
      <c r="H65" s="424" t="str">
        <f>Para!$E$95</f>
        <v>ab 1.04.2019</v>
      </c>
      <c r="I65" s="424" t="str">
        <f>Para!$E$95</f>
        <v>ab 1.04.2019</v>
      </c>
      <c r="J65" s="424" t="str">
        <f>Para!$E$95</f>
        <v>ab 1.04.2019</v>
      </c>
      <c r="K65" s="424" t="str">
        <f>Para!$E$96</f>
        <v>ab 1.03.2020</v>
      </c>
      <c r="L65" s="424" t="str">
        <f>Para!$E$96</f>
        <v>ab 1.03.2020</v>
      </c>
      <c r="M65" s="424" t="str">
        <f>Para!$E$96</f>
        <v>ab 1.03.2020</v>
      </c>
      <c r="N65" s="424" t="str">
        <f>Para!$E$96</f>
        <v>ab 1.03.2020</v>
      </c>
      <c r="O65" s="33"/>
      <c r="P65" s="33"/>
      <c r="Q65" s="33"/>
      <c r="R65" s="33"/>
      <c r="S65" s="33"/>
      <c r="T65" s="33"/>
      <c r="U65" s="33"/>
      <c r="V65" s="33"/>
      <c r="W65" s="33"/>
      <c r="X65" s="33"/>
      <c r="Y65" s="33"/>
      <c r="Z65" s="33"/>
      <c r="AA65" s="33"/>
      <c r="AB65" s="33"/>
      <c r="AC65" s="33"/>
      <c r="AD65" s="33"/>
      <c r="AE65" s="33"/>
      <c r="AF65" s="33"/>
      <c r="AG65" s="33"/>
      <c r="AH65" s="33"/>
    </row>
    <row r="66" spans="1:35" s="5" customFormat="1" ht="9.75" customHeight="1">
      <c r="A66" s="11">
        <v>3</v>
      </c>
      <c r="B66" s="53" t="str">
        <f>Kalk!B22</f>
        <v>TVöD ( BT-K )</v>
      </c>
      <c r="C66" s="423" t="str">
        <f>Para!$E$104</f>
        <v>ab 1.03.2018</v>
      </c>
      <c r="D66" s="423" t="str">
        <f>Para!$E$104</f>
        <v>ab 1.03.2018</v>
      </c>
      <c r="E66" s="423" t="str">
        <f>Para!$E$94</f>
        <v>ab 1.03.2018</v>
      </c>
      <c r="F66" s="423" t="str">
        <f>Para!$E$94</f>
        <v>ab 1.03.2018</v>
      </c>
      <c r="G66" s="423" t="str">
        <f>Para!$E$105</f>
        <v>ab 1.03.2019</v>
      </c>
      <c r="H66" s="423" t="str">
        <f>Para!$E$105</f>
        <v>ab 1.03.2019</v>
      </c>
      <c r="I66" s="423" t="str">
        <f>Para!$E$95</f>
        <v>ab 1.04.2019</v>
      </c>
      <c r="J66" s="423" t="str">
        <f>Para!$E$95</f>
        <v>ab 1.04.2019</v>
      </c>
      <c r="K66" s="423" t="str">
        <f>Para!$E$106</f>
        <v>ab 1.03.2020</v>
      </c>
      <c r="L66" s="423" t="str">
        <f>Para!$E$106</f>
        <v>ab 1.03.2020</v>
      </c>
      <c r="M66" s="423" t="str">
        <f>Para!$E$96</f>
        <v>ab 1.03.2020</v>
      </c>
      <c r="N66" s="423" t="str">
        <f>Para!$E$96</f>
        <v>ab 1.03.2020</v>
      </c>
      <c r="O66" s="33"/>
      <c r="P66" s="33"/>
      <c r="Q66" s="33"/>
      <c r="R66" s="33"/>
      <c r="S66" s="33"/>
      <c r="T66" s="33"/>
      <c r="U66" s="33"/>
      <c r="V66" s="33"/>
      <c r="W66" s="33"/>
      <c r="X66" s="33"/>
      <c r="Y66" s="33"/>
      <c r="Z66" s="33"/>
      <c r="AA66" s="33"/>
      <c r="AB66" s="33"/>
      <c r="AC66" s="33"/>
      <c r="AD66" s="33"/>
      <c r="AE66" s="33"/>
      <c r="AF66" s="33"/>
      <c r="AG66" s="33"/>
      <c r="AH66" s="33"/>
    </row>
    <row r="67" spans="1:35" s="5" customFormat="1" ht="9.75" customHeight="1">
      <c r="A67" s="13">
        <v>4</v>
      </c>
      <c r="B67" s="54" t="str">
        <f>Kalk!B23</f>
        <v>TVöD ( BT-B )</v>
      </c>
      <c r="C67" s="424" t="str">
        <f>Para!$E$104</f>
        <v>ab 1.03.2018</v>
      </c>
      <c r="D67" s="424" t="str">
        <f>Para!$E$104</f>
        <v>ab 1.03.2018</v>
      </c>
      <c r="E67" s="424" t="str">
        <f>Para!$E$105</f>
        <v>ab 1.03.2019</v>
      </c>
      <c r="F67" s="424" t="str">
        <f>Para!$E$105</f>
        <v>ab 1.03.2019</v>
      </c>
      <c r="G67" s="424" t="str">
        <f>Para!$E$106</f>
        <v>ab 1.03.2020</v>
      </c>
      <c r="H67" s="424" t="str">
        <f>Para!$E$106</f>
        <v>ab 1.03.2020</v>
      </c>
      <c r="I67" s="96"/>
      <c r="J67" s="96"/>
      <c r="K67" s="96"/>
      <c r="L67" s="96"/>
      <c r="M67" s="2"/>
      <c r="N67" s="33"/>
      <c r="O67" s="33"/>
      <c r="P67" s="33"/>
      <c r="Q67" s="33"/>
      <c r="R67" s="33"/>
      <c r="S67" s="33"/>
      <c r="T67" s="33"/>
      <c r="U67" s="33"/>
      <c r="V67" s="33"/>
      <c r="W67" s="33"/>
      <c r="X67" s="33"/>
      <c r="Y67" s="33"/>
      <c r="Z67" s="33"/>
      <c r="AA67" s="33"/>
      <c r="AB67" s="33"/>
      <c r="AC67" s="33"/>
      <c r="AD67" s="33"/>
      <c r="AE67" s="33"/>
      <c r="AF67" s="33"/>
      <c r="AG67" s="33"/>
      <c r="AH67" s="33"/>
    </row>
    <row r="68" spans="1:35" s="5" customFormat="1" ht="9.75" customHeight="1">
      <c r="A68" s="11">
        <v>5</v>
      </c>
      <c r="B68" s="53" t="str">
        <f>Kalk!B24</f>
        <v>TV-L  AT ( Anlage B )</v>
      </c>
      <c r="C68" s="11" t="str">
        <f>'L Tab'!$DB$28</f>
        <v>ab 1.01.2019</v>
      </c>
      <c r="D68" s="11" t="str">
        <f>'L Tab'!$DB$28</f>
        <v>ab 1.01.2019</v>
      </c>
      <c r="E68" s="11" t="str">
        <f>'L Tab'!$DB$28</f>
        <v>ab 1.01.2019</v>
      </c>
      <c r="F68" s="11" t="str">
        <f>'L Tab'!$DB$28</f>
        <v>ab 1.01.2019</v>
      </c>
      <c r="G68" s="11" t="str">
        <f>'L Tab'!$DB$28</f>
        <v>ab 1.01.2019</v>
      </c>
      <c r="H68" s="11" t="str">
        <f>'L Tab'!$DB$28</f>
        <v>ab 1.01.2019</v>
      </c>
      <c r="I68" s="11" t="str">
        <f>'L Tab'!$DB$28</f>
        <v>ab 1.01.2019</v>
      </c>
      <c r="J68" s="11" t="str">
        <f>'L Tab'!$DB$28</f>
        <v>ab 1.01.2019</v>
      </c>
      <c r="K68" s="11" t="str">
        <f>'L Tab'!$DB$28</f>
        <v>ab 1.01.2019</v>
      </c>
      <c r="L68" s="11" t="str">
        <f>'L Tab'!$DB$28</f>
        <v>ab 1.01.2019</v>
      </c>
      <c r="M68" s="11" t="str">
        <f>'L Tab'!$DB$28</f>
        <v>ab 1.01.2019</v>
      </c>
      <c r="N68" s="11" t="str">
        <f>'L Tab'!$DJ$28</f>
        <v>ab 1.01.2020</v>
      </c>
      <c r="O68" s="11" t="str">
        <f>'L Tab'!$DJ$28</f>
        <v>ab 1.01.2020</v>
      </c>
      <c r="P68" s="11" t="str">
        <f>'L Tab'!$DJ$28</f>
        <v>ab 1.01.2020</v>
      </c>
      <c r="Q68" s="11" t="str">
        <f>'L Tab'!$DJ$28</f>
        <v>ab 1.01.2020</v>
      </c>
      <c r="R68" s="11" t="str">
        <f>'L Tab'!$DJ$28</f>
        <v>ab 1.01.2020</v>
      </c>
      <c r="S68" s="11" t="str">
        <f>'L Tab'!$DJ$28</f>
        <v>ab 1.01.2020</v>
      </c>
      <c r="T68" s="11" t="str">
        <f>'L Tab'!$DJ$28</f>
        <v>ab 1.01.2020</v>
      </c>
      <c r="U68" s="11" t="str">
        <f>'L Tab'!$DJ$28</f>
        <v>ab 1.01.2020</v>
      </c>
      <c r="V68" s="11" t="str">
        <f>'L Tab'!$DJ$28</f>
        <v>ab 1.01.2020</v>
      </c>
      <c r="W68" s="11" t="str">
        <f>'L Tab'!$DJ$28</f>
        <v>ab 1.01.2020</v>
      </c>
      <c r="X68" s="11" t="str">
        <f>'L Tab'!$DJ$28</f>
        <v>ab 1.01.2020</v>
      </c>
      <c r="Y68" s="11" t="str">
        <f>'L Tab'!$DR$28</f>
        <v>ab 1.01.2021</v>
      </c>
      <c r="Z68" s="11" t="str">
        <f>'L Tab'!$DR$28</f>
        <v>ab 1.01.2021</v>
      </c>
      <c r="AA68" s="11" t="str">
        <f>'L Tab'!$DR$28</f>
        <v>ab 1.01.2021</v>
      </c>
      <c r="AB68" s="11" t="str">
        <f>'L Tab'!$DR$28</f>
        <v>ab 1.01.2021</v>
      </c>
      <c r="AC68" s="11" t="str">
        <f>'L Tab'!$DR$28</f>
        <v>ab 1.01.2021</v>
      </c>
      <c r="AD68" s="11" t="str">
        <f>'L Tab'!$DR$28</f>
        <v>ab 1.01.2021</v>
      </c>
      <c r="AE68" s="11" t="str">
        <f>'L Tab'!$DR$28</f>
        <v>ab 1.01.2021</v>
      </c>
      <c r="AF68" s="11" t="str">
        <f>'L Tab'!$DR$28</f>
        <v>ab 1.01.2021</v>
      </c>
      <c r="AG68" s="11" t="str">
        <f>'L Tab'!$DR$28</f>
        <v>ab 1.01.2021</v>
      </c>
      <c r="AH68" s="11" t="str">
        <f>'L Tab'!$DR$28</f>
        <v>ab 1.01.2021</v>
      </c>
      <c r="AI68" s="11" t="str">
        <f>'L Tab'!$DR$28</f>
        <v>ab 1.01.2021</v>
      </c>
    </row>
    <row r="69" spans="1:35" s="5" customFormat="1" ht="9.75" customHeight="1">
      <c r="A69" s="13">
        <v>6</v>
      </c>
      <c r="B69" s="54" t="str">
        <f>Kalk!B25</f>
        <v>TV-L  Kr ( Anlage C )</v>
      </c>
      <c r="C69" s="424" t="str">
        <f>'L Tab'!$DB$28</f>
        <v>ab 1.01.2019</v>
      </c>
      <c r="D69" s="424" t="str">
        <f>'L Tab'!$DB$28</f>
        <v>ab 1.01.2019</v>
      </c>
      <c r="E69" s="424" t="str">
        <f>'L Tab'!$DJ$28</f>
        <v>ab 1.01.2020</v>
      </c>
      <c r="F69" s="424" t="str">
        <f>'L Tab'!$DJ$28</f>
        <v>ab 1.01.2020</v>
      </c>
      <c r="G69" s="424" t="str">
        <f>'L Tab'!$DR$28</f>
        <v>ab 1.01.2021</v>
      </c>
      <c r="H69" s="424" t="str">
        <f>'L Tab'!$DR$28</f>
        <v>ab 1.01.2021</v>
      </c>
      <c r="I69" s="2"/>
      <c r="J69" s="2"/>
      <c r="K69" s="2"/>
      <c r="L69" s="2"/>
      <c r="M69" s="2"/>
      <c r="N69" s="33"/>
      <c r="O69" s="33"/>
      <c r="P69" s="33"/>
      <c r="Q69" s="33"/>
      <c r="R69" s="33"/>
      <c r="S69" s="33"/>
      <c r="T69" s="33"/>
      <c r="U69" s="33"/>
      <c r="V69" s="33"/>
      <c r="W69" s="33"/>
      <c r="X69" s="33"/>
      <c r="Y69" s="33"/>
      <c r="Z69" s="33"/>
      <c r="AA69" s="33"/>
      <c r="AB69" s="33"/>
      <c r="AC69" s="33"/>
      <c r="AD69" s="33"/>
      <c r="AE69" s="33"/>
      <c r="AF69" s="33"/>
      <c r="AG69" s="33"/>
      <c r="AH69" s="33"/>
    </row>
    <row r="70" spans="1:35" s="5" customFormat="1" ht="9.75" customHeight="1">
      <c r="A70" s="11">
        <v>7</v>
      </c>
      <c r="B70" s="489" t="str">
        <f>Kalk!B26</f>
        <v>TV-L  SuE ( Anlage G )</v>
      </c>
      <c r="C70" s="423" t="str">
        <f>N68</f>
        <v>ab 1.01.2020</v>
      </c>
      <c r="D70" s="423" t="str">
        <f t="shared" ref="D70:K70" si="6">O68</f>
        <v>ab 1.01.2020</v>
      </c>
      <c r="E70" s="423" t="str">
        <f t="shared" si="6"/>
        <v>ab 1.01.2020</v>
      </c>
      <c r="F70" s="423" t="str">
        <f t="shared" si="6"/>
        <v>ab 1.01.2020</v>
      </c>
      <c r="G70" s="423" t="str">
        <f t="shared" si="6"/>
        <v>ab 1.01.2020</v>
      </c>
      <c r="H70" s="423" t="str">
        <f t="shared" si="6"/>
        <v>ab 1.01.2020</v>
      </c>
      <c r="I70" s="423" t="str">
        <f t="shared" si="6"/>
        <v>ab 1.01.2020</v>
      </c>
      <c r="J70" s="423" t="str">
        <f t="shared" si="6"/>
        <v>ab 1.01.2020</v>
      </c>
      <c r="K70" s="423" t="str">
        <f t="shared" si="6"/>
        <v>ab 1.01.2020</v>
      </c>
      <c r="L70" s="423" t="str">
        <f t="shared" ref="L70:X70" si="7">W68</f>
        <v>ab 1.01.2020</v>
      </c>
      <c r="M70" s="423" t="str">
        <f t="shared" si="7"/>
        <v>ab 1.01.2020</v>
      </c>
      <c r="N70" s="423" t="str">
        <f t="shared" si="7"/>
        <v>ab 1.01.2021</v>
      </c>
      <c r="O70" s="423" t="str">
        <f t="shared" si="7"/>
        <v>ab 1.01.2021</v>
      </c>
      <c r="P70" s="423" t="str">
        <f t="shared" si="7"/>
        <v>ab 1.01.2021</v>
      </c>
      <c r="Q70" s="423" t="str">
        <f t="shared" si="7"/>
        <v>ab 1.01.2021</v>
      </c>
      <c r="R70" s="423" t="str">
        <f t="shared" si="7"/>
        <v>ab 1.01.2021</v>
      </c>
      <c r="S70" s="423" t="str">
        <f t="shared" si="7"/>
        <v>ab 1.01.2021</v>
      </c>
      <c r="T70" s="423" t="str">
        <f t="shared" si="7"/>
        <v>ab 1.01.2021</v>
      </c>
      <c r="U70" s="423" t="str">
        <f t="shared" si="7"/>
        <v>ab 1.01.2021</v>
      </c>
      <c r="V70" s="423" t="str">
        <f t="shared" si="7"/>
        <v>ab 1.01.2021</v>
      </c>
      <c r="W70" s="423" t="str">
        <f t="shared" si="7"/>
        <v>ab 1.01.2021</v>
      </c>
      <c r="X70" s="423" t="str">
        <f t="shared" si="7"/>
        <v>ab 1.01.2021</v>
      </c>
      <c r="Y70" s="33"/>
      <c r="Z70" s="33"/>
      <c r="AA70" s="33"/>
      <c r="AB70" s="33"/>
      <c r="AC70" s="33"/>
      <c r="AD70" s="33"/>
      <c r="AE70" s="33"/>
      <c r="AF70" s="33"/>
      <c r="AG70" s="33"/>
      <c r="AH70" s="33"/>
    </row>
    <row r="71" spans="1:35" s="5" customFormat="1" ht="9.75" customHeight="1">
      <c r="A71" s="13">
        <v>8</v>
      </c>
      <c r="B71" s="54" t="str">
        <f>Kalk!B27</f>
        <v>TV-AVH ( AV Hamburg )</v>
      </c>
      <c r="C71" s="13" t="str">
        <f>'AVH Tab'!BF28</f>
        <v>ab 1.03.2020</v>
      </c>
      <c r="D71" s="615" t="str">
        <f>'AVH Tab'!BN28</f>
        <v>ab 1.04.2021</v>
      </c>
      <c r="E71" s="615" t="str">
        <f>'AVH Tab'!BV28</f>
        <v>ab 1.04.2022</v>
      </c>
      <c r="F71" s="2"/>
      <c r="G71" s="2"/>
      <c r="H71" s="2"/>
      <c r="I71" s="2"/>
      <c r="J71" s="2"/>
      <c r="K71" s="2"/>
      <c r="L71" s="2"/>
      <c r="M71" s="2"/>
      <c r="N71" s="33"/>
      <c r="O71" s="33"/>
      <c r="P71" s="33"/>
      <c r="Q71" s="33"/>
      <c r="R71" s="33"/>
      <c r="S71" s="33"/>
      <c r="T71" s="33"/>
      <c r="U71" s="33"/>
      <c r="V71" s="33"/>
      <c r="W71" s="33"/>
      <c r="X71" s="33"/>
      <c r="Y71" s="33"/>
      <c r="Z71" s="33"/>
      <c r="AA71" s="33"/>
      <c r="AB71" s="33"/>
      <c r="AC71" s="33"/>
      <c r="AD71" s="33"/>
      <c r="AE71" s="33"/>
      <c r="AF71" s="33"/>
      <c r="AG71" s="33"/>
      <c r="AH71" s="33"/>
    </row>
    <row r="72" spans="1:35" s="5" customFormat="1" ht="9.75" customHeight="1">
      <c r="A72" s="11">
        <v>9</v>
      </c>
      <c r="B72" s="53" t="str">
        <f>Kalk!B28</f>
        <v>TV-H  AT ( Hessen )</v>
      </c>
      <c r="C72" s="423" t="str">
        <f>'L Tab'!DJ41</f>
        <v>ab 1.03.2019</v>
      </c>
      <c r="D72" s="423" t="str">
        <f>'L Tab'!DR41</f>
        <v>ab 1.08.2019</v>
      </c>
      <c r="E72" s="423" t="str">
        <f>'L Tab'!DZ41</f>
        <v>ab 1.02.2020</v>
      </c>
      <c r="F72" s="423" t="str">
        <f>'L Tab'!EH41</f>
        <v>ab 1.01.2021</v>
      </c>
      <c r="G72" s="2"/>
      <c r="H72" s="2"/>
      <c r="I72" s="2"/>
      <c r="J72" s="2"/>
      <c r="K72" s="2"/>
      <c r="L72" s="2"/>
      <c r="M72" s="2"/>
      <c r="N72" s="33"/>
      <c r="O72" s="33"/>
      <c r="P72" s="33"/>
      <c r="Q72" s="33"/>
      <c r="R72" s="33"/>
      <c r="S72" s="33"/>
      <c r="T72" s="33"/>
      <c r="U72" s="33"/>
      <c r="V72" s="33"/>
      <c r="W72" s="33"/>
      <c r="X72" s="33"/>
      <c r="Y72" s="33"/>
      <c r="Z72" s="33"/>
      <c r="AA72" s="33"/>
      <c r="AB72" s="33"/>
      <c r="AC72" s="33"/>
      <c r="AD72" s="33"/>
      <c r="AE72" s="33"/>
      <c r="AF72" s="33"/>
      <c r="AG72" s="33"/>
      <c r="AH72" s="33"/>
    </row>
    <row r="73" spans="1:35" s="5" customFormat="1" ht="9.75" customHeight="1" thickBot="1">
      <c r="A73" s="562">
        <v>10</v>
      </c>
      <c r="B73" s="563" t="str">
        <f>Kalk!B29</f>
        <v>TV dataport</v>
      </c>
      <c r="C73" s="564" t="str">
        <f>'L Tab'!DJ77</f>
        <v>ab 1.01.2019</v>
      </c>
      <c r="D73" s="564" t="str">
        <f>'L Tab'!DR77</f>
        <v>ab 1.02.2020</v>
      </c>
      <c r="E73" s="562" t="str">
        <f>'L Tab'!DZ77</f>
        <v>ab 1.01.2021</v>
      </c>
      <c r="F73" s="2"/>
      <c r="G73" s="2"/>
      <c r="H73" s="2"/>
      <c r="I73" s="2"/>
      <c r="J73" s="2"/>
      <c r="K73" s="2"/>
      <c r="L73" s="2"/>
      <c r="M73" s="2"/>
      <c r="N73" s="33"/>
      <c r="O73" s="33"/>
      <c r="P73" s="33"/>
      <c r="Q73" s="33"/>
      <c r="R73" s="33"/>
      <c r="S73" s="33"/>
      <c r="T73" s="33"/>
      <c r="U73" s="33"/>
      <c r="V73" s="33"/>
      <c r="W73" s="33"/>
      <c r="X73" s="33"/>
      <c r="Y73" s="33"/>
      <c r="Z73" s="33"/>
      <c r="AA73" s="33"/>
      <c r="AB73" s="33"/>
      <c r="AC73" s="33"/>
      <c r="AD73" s="33"/>
      <c r="AE73" s="33"/>
      <c r="AF73" s="33"/>
      <c r="AG73" s="33"/>
      <c r="AH73" s="33"/>
    </row>
    <row r="74" spans="1:35" s="5" customFormat="1" ht="9.75" customHeight="1" thickBot="1">
      <c r="A74" s="2"/>
      <c r="B74" s="467" t="str">
        <f>VLOOKUP(Kalk!B5,A64:AI73,Kalk!C4+2)</f>
        <v>ab 1.04.2019</v>
      </c>
      <c r="C74" s="2"/>
      <c r="D74" s="6"/>
      <c r="E74" s="3"/>
      <c r="F74" s="2"/>
      <c r="G74" s="2"/>
      <c r="H74" s="4"/>
      <c r="I74" s="3"/>
      <c r="J74" s="4"/>
      <c r="K74" s="2"/>
      <c r="L74" s="2"/>
      <c r="M74" s="33"/>
      <c r="N74" s="33"/>
      <c r="O74" s="33"/>
      <c r="P74" s="33"/>
      <c r="Q74" s="33"/>
      <c r="R74" s="33"/>
      <c r="S74" s="33"/>
      <c r="T74" s="33"/>
      <c r="U74" s="33"/>
      <c r="V74" s="33"/>
      <c r="W74" s="33"/>
      <c r="X74" s="33"/>
      <c r="Y74" s="33"/>
      <c r="Z74" s="33"/>
      <c r="AA74" s="33"/>
      <c r="AB74" s="33"/>
      <c r="AC74" s="33"/>
      <c r="AD74" s="33"/>
      <c r="AE74" s="33"/>
      <c r="AF74" s="33"/>
      <c r="AG74" s="33"/>
      <c r="AH74" s="33"/>
    </row>
  </sheetData>
  <sheetProtection selectLockedCells="1" selectUnlockedCells="1"/>
  <phoneticPr fontId="0" type="noConversion"/>
  <pageMargins left="0.19685039370078741" right="0.19685039370078741" top="0.98425196850393704" bottom="0.98425196850393704" header="0.51181102362204722" footer="0.51181102362204722"/>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theme="6"/>
  </sheetPr>
  <dimension ref="A1:W53"/>
  <sheetViews>
    <sheetView workbookViewId="0">
      <selection activeCell="J55" sqref="J55"/>
    </sheetView>
  </sheetViews>
  <sheetFormatPr baseColWidth="10" defaultColWidth="8.5703125" defaultRowHeight="12.75"/>
  <cols>
    <col min="1" max="1" width="23.140625" style="329" customWidth="1"/>
    <col min="2" max="3" width="6.42578125" style="329" customWidth="1"/>
    <col min="4" max="9" width="8.5703125" style="329" customWidth="1"/>
    <col min="10" max="10" width="17.85546875" style="328" customWidth="1"/>
    <col min="11" max="12" width="6.42578125" style="329" customWidth="1"/>
    <col min="13" max="19" width="8.5703125" style="329"/>
    <col min="20" max="23" width="5.7109375" style="329" customWidth="1"/>
    <col min="24" max="16384" width="8.5703125" style="329"/>
  </cols>
  <sheetData>
    <row r="1" spans="1:23">
      <c r="A1" s="323" t="str">
        <f>Umse!B11</f>
        <v>1.2.</v>
      </c>
      <c r="B1" s="352"/>
      <c r="C1" s="326"/>
      <c r="D1" s="326" t="str">
        <f>IF(A1=0,"","Stundenentgelt  ( Vollzeit )")</f>
        <v>Stundenentgelt  ( Vollzeit )</v>
      </c>
      <c r="E1" s="326"/>
      <c r="F1" s="326"/>
      <c r="G1" s="326"/>
      <c r="H1" s="326"/>
      <c r="I1" s="353"/>
      <c r="K1" s="324"/>
      <c r="L1" s="325"/>
      <c r="M1" s="525" t="str">
        <f>IF(A1=0,"",IF(OR($A$1="4.1.",$A$1="4.2."),"Anlage E VKA",IF(OR($A$1="4.3.",$A$1="4.4."),"Anlage E VKA",IF(OR($A$1="4.5.",$A$1="4.6."),"Anlage E VKA",""))))</f>
        <v/>
      </c>
      <c r="N1" s="325"/>
      <c r="O1" s="325"/>
      <c r="P1" s="325"/>
      <c r="Q1" s="525" t="str">
        <f>IF(OR(Umse!$C$24=0,Kalk!B4=1,Kalk!B4=2,Kalk!B4=3,Kalk!B4=5,Kalk!B4=6,Kalk!B4=7,Kalk!B4=8,Kalk!B4=9,Kalk!B4=10),"",IF(OR(A1="4.1.",A1="4.2."),Para!C106,IF(OR(A1="4.3.",A1="4.4."),Para!C107,IF(OR(A1="4.5.",A1="4.6."),Para!C108,""))))</f>
        <v/>
      </c>
      <c r="R1" s="327"/>
    </row>
    <row r="2" spans="1:23" ht="21" customHeight="1">
      <c r="A2" s="330" t="str">
        <f>VLOOKUP(Kalk!B5,Kalk!A20:B29,2)</f>
        <v>TVöD ( Bund )</v>
      </c>
      <c r="B2" s="354" t="str">
        <f>K2</f>
        <v/>
      </c>
      <c r="C2" s="331"/>
      <c r="D2" s="332" t="str">
        <f t="shared" ref="D2:I2" si="0">M2</f>
        <v>Stufe 1</v>
      </c>
      <c r="E2" s="332" t="str">
        <f t="shared" si="0"/>
        <v>Stufe 2</v>
      </c>
      <c r="F2" s="332" t="str">
        <f t="shared" si="0"/>
        <v>Stufe 3</v>
      </c>
      <c r="G2" s="332" t="str">
        <f t="shared" si="0"/>
        <v>Stufe 4</v>
      </c>
      <c r="H2" s="332" t="str">
        <f t="shared" si="0"/>
        <v>Stufe 5</v>
      </c>
      <c r="I2" s="332" t="str">
        <f t="shared" si="0"/>
        <v>Stufe 6</v>
      </c>
      <c r="J2" s="333" t="str">
        <f>IF(OR(Umse!$C$24=0,$A$1=0),"",IF(Umse!B11="4.2.","",""))</f>
        <v/>
      </c>
      <c r="K2" s="354" t="str">
        <f>IF(Umse!$C$24=0,"",IF(OR($A$1="4.1.",$A$1="4.2.",$A$1="4.3.",$A$1="4.4.",$A$1="4.5.",$A$1="4.6."),V2,""))</f>
        <v/>
      </c>
      <c r="L2" s="331"/>
      <c r="M2" s="332" t="s">
        <v>7</v>
      </c>
      <c r="N2" s="332" t="s">
        <v>8</v>
      </c>
      <c r="O2" s="332" t="s">
        <v>9</v>
      </c>
      <c r="P2" s="332" t="s">
        <v>10</v>
      </c>
      <c r="Q2" s="332" t="s">
        <v>11</v>
      </c>
      <c r="R2" s="332" t="s">
        <v>12</v>
      </c>
      <c r="V2" s="355" t="s">
        <v>277</v>
      </c>
    </row>
    <row r="3" spans="1:23">
      <c r="A3" s="323" t="str">
        <f>Umse!B23</f>
        <v>West und Ost ( ab 1.04.2021 )</v>
      </c>
      <c r="B3" s="356" t="str">
        <f>K3</f>
        <v/>
      </c>
      <c r="C3" s="357" t="str">
        <f>L3</f>
        <v/>
      </c>
      <c r="D3" s="335" t="str">
        <f t="shared" ref="D3:I3" si="1">IF(M3=0,0,IF(M3="-","-",IF(M3="","",FIXED(ROUND(M3/$A$5,2),2))))</f>
        <v/>
      </c>
      <c r="E3" s="335" t="str">
        <f t="shared" si="1"/>
        <v/>
      </c>
      <c r="F3" s="335" t="str">
        <f t="shared" si="1"/>
        <v/>
      </c>
      <c r="G3" s="335" t="str">
        <f t="shared" si="1"/>
        <v/>
      </c>
      <c r="H3" s="335" t="str">
        <f t="shared" si="1"/>
        <v/>
      </c>
      <c r="I3" s="335" t="str">
        <f t="shared" si="1"/>
        <v/>
      </c>
      <c r="J3" s="328" t="str">
        <f>""</f>
        <v/>
      </c>
      <c r="K3" s="356" t="str">
        <f>IF(Umse!$C$24=0,"",IF(OR($A$1="4.1.",$A$1="4.2.",$A$1="4.3.",$A$1="4.4.",$A$1="4.5.",$A$1="4.6."),V3,""))</f>
        <v/>
      </c>
      <c r="L3" s="357" t="str">
        <f>IF(Umse!$C$24=0,"",IF(OR($A$1="4.1.",$A$1="4.2.",$A$1="4.3.",$A$1="4.4.",$A$1="4.5.",$A$1="4.6."),W3,""))</f>
        <v/>
      </c>
      <c r="M3" s="335" t="str">
        <f>IF(Umse!$C$24=0,"",IF(OR($A$1="4.1.",$A$1="4.2."),'VKr Tab'!C464,IF(OR($A$1="4.3.",$A$1="4.4."),'VKr Tab'!C485,IF(OR($A$1="4.5.",$A$1="4.6."),'VKr Tab'!C506,""))))</f>
        <v/>
      </c>
      <c r="N3" s="335" t="str">
        <f>IF(Umse!$C$24=0,"",IF(OR($A$1="4.1.",$A$1="4.2."),'VKr Tab'!D464,IF(OR($A$1="4.3.",$A$1="4.4."),'VKr Tab'!D485,IF(OR($A$1="4.5.",$A$1="4.6."),'VKr Tab'!D506,""))))</f>
        <v/>
      </c>
      <c r="O3" s="335" t="str">
        <f>IF(Umse!$C$24=0,"",IF(OR($A$1="4.1.",$A$1="4.2."),'VKr Tab'!E464,IF(OR($A$1="4.3.",$A$1="4.4."),'VKr Tab'!E485,IF(OR($A$1="4.5.",$A$1="4.6."),'VKr Tab'!E506,""))))</f>
        <v/>
      </c>
      <c r="P3" s="335" t="str">
        <f>IF(Umse!$C$24=0,"",IF(OR($A$1="4.1.",$A$1="4.2."),'VKr Tab'!F464,IF(OR($A$1="4.3.",$A$1="4.4."),'VKr Tab'!F485,IF(OR($A$1="4.5.",$A$1="4.6."),'VKr Tab'!F506,""))))</f>
        <v/>
      </c>
      <c r="Q3" s="335" t="str">
        <f>IF(Umse!$C$24=0,"",IF(OR($A$1="4.1.",$A$1="4.2."),'VKr Tab'!G464,IF(OR($A$1="4.3.",$A$1="4.4."),'VKr Tab'!G485,IF(OR($A$1="4.5.",$A$1="4.6."),'VKr Tab'!G506,""))))</f>
        <v/>
      </c>
      <c r="R3" s="335" t="str">
        <f>IF(Umse!$C$24=0,"",IF(OR($A$1="4.1.",$A$1="4.2."),'VKr Tab'!H464,IF(OR($A$1="4.3.",$A$1="4.4."),'VKr Tab'!H485,IF(OR($A$1="4.5.",$A$1="4.6."),'VKr Tab'!H506,""))))</f>
        <v/>
      </c>
      <c r="V3" s="332" t="s">
        <v>387</v>
      </c>
      <c r="W3" s="363">
        <v>16</v>
      </c>
    </row>
    <row r="4" spans="1:23">
      <c r="A4" s="336">
        <f>Umse!B24</f>
        <v>39</v>
      </c>
      <c r="B4" s="356" t="str">
        <f t="shared" ref="B4:C14" si="2">K4</f>
        <v/>
      </c>
      <c r="C4" s="357" t="str">
        <f t="shared" si="2"/>
        <v/>
      </c>
      <c r="D4" s="335" t="str">
        <f t="shared" ref="D4:D14" si="3">IF(M4=0,0,IF(M4="-","-",IF(M4="","",FIXED(ROUND(M4/$A$5,2),2))))</f>
        <v/>
      </c>
      <c r="E4" s="335" t="str">
        <f t="shared" ref="E4:E14" si="4">IF(N4=0,0,IF(N4="-","-",IF(N4="","",FIXED(ROUND(N4/$A$5,2),2))))</f>
        <v/>
      </c>
      <c r="F4" s="335" t="str">
        <f t="shared" ref="F4:F14" si="5">IF(O4=0,0,IF(O4="-","-",IF(O4="","",FIXED(ROUND(O4/$A$5,2),2))))</f>
        <v/>
      </c>
      <c r="G4" s="335" t="str">
        <f t="shared" ref="G4:G14" si="6">IF(P4=0,0,IF(P4="-","-",IF(P4="","",FIXED(ROUND(P4/$A$5,2),2))))</f>
        <v/>
      </c>
      <c r="H4" s="335" t="str">
        <f t="shared" ref="H4:H14" si="7">IF(Q4=0,0,IF(Q4="-","-",IF(Q4="","",FIXED(ROUND(Q4/$A$5,2),2))))</f>
        <v/>
      </c>
      <c r="I4" s="335" t="str">
        <f t="shared" ref="I4:I14" si="8">IF(R4=0,0,IF(R4="-","-",IF(R4="","",FIXED(ROUND(R4/$A$5,2),2))))</f>
        <v/>
      </c>
      <c r="J4" s="328" t="str">
        <f>""</f>
        <v/>
      </c>
      <c r="K4" s="356" t="str">
        <f>IF(Umse!$C$24=0,"",IF(OR($A$1="4.1.",$A$1="4.2.",$A$1="4.3.",$A$1="4.4.",$A$1="4.5.",$A$1="4.6."),V4,""))</f>
        <v/>
      </c>
      <c r="L4" s="357" t="str">
        <f>IF(Umse!$C$24=0,"",IF(OR($A$1="4.1.",$A$1="4.2.",$A$1="4.3.",$A$1="4.4.",$A$1="4.5.",$A$1="4.6."),W4,""))</f>
        <v/>
      </c>
      <c r="M4" s="335" t="str">
        <f>IF(Umse!$C$24=0,"",IF(OR($A$1="4.1.",$A$1="4.2."),'VKr Tab'!C465,IF(OR($A$1="4.3.",$A$1="4.4."),'VKr Tab'!C486,IF(OR($A$1="4.5.",$A$1="4.6."),'VKr Tab'!C507,""))))</f>
        <v/>
      </c>
      <c r="N4" s="335" t="str">
        <f>IF(Umse!$C$24=0,"",IF(OR($A$1="4.1.",$A$1="4.2."),'VKr Tab'!D465,IF(OR($A$1="4.3.",$A$1="4.4."),'VKr Tab'!D486,IF(OR($A$1="4.5.",$A$1="4.6."),'VKr Tab'!D507,""))))</f>
        <v/>
      </c>
      <c r="O4" s="335" t="str">
        <f>IF(Umse!$C$24=0,"",IF(OR($A$1="4.1.",$A$1="4.2."),'VKr Tab'!E465,IF(OR($A$1="4.3.",$A$1="4.4."),'VKr Tab'!E486,IF(OR($A$1="4.5.",$A$1="4.6."),'VKr Tab'!E507,""))))</f>
        <v/>
      </c>
      <c r="P4" s="335" t="str">
        <f>IF(Umse!$C$24=0,"",IF(OR($A$1="4.1.",$A$1="4.2."),'VKr Tab'!F465,IF(OR($A$1="4.3.",$A$1="4.4."),'VKr Tab'!F486,IF(OR($A$1="4.5.",$A$1="4.6."),'VKr Tab'!F507,""))))</f>
        <v/>
      </c>
      <c r="Q4" s="335" t="str">
        <f>IF(Umse!$C$24=0,"",IF(OR($A$1="4.1.",$A$1="4.2."),'VKr Tab'!G465,IF(OR($A$1="4.3.",$A$1="4.4."),'VKr Tab'!G486,IF(OR($A$1="4.5.",$A$1="4.6."),'VKr Tab'!G507,""))))</f>
        <v/>
      </c>
      <c r="R4" s="335" t="str">
        <f>IF(Umse!$C$24=0,"",IF(OR($A$1="4.1.",$A$1="4.2."),'VKr Tab'!H465,IF(OR($A$1="4.3.",$A$1="4.4."),'VKr Tab'!H486,IF(OR($A$1="4.5.",$A$1="4.6."),'VKr Tab'!H507,""))))</f>
        <v/>
      </c>
      <c r="V4" s="332" t="s">
        <v>387</v>
      </c>
      <c r="W4" s="363">
        <v>15</v>
      </c>
    </row>
    <row r="5" spans="1:23">
      <c r="A5" s="337">
        <f>Umse!C24</f>
        <v>169.57</v>
      </c>
      <c r="B5" s="356" t="str">
        <f t="shared" si="2"/>
        <v/>
      </c>
      <c r="C5" s="357" t="str">
        <f t="shared" si="2"/>
        <v/>
      </c>
      <c r="D5" s="335" t="str">
        <f t="shared" si="3"/>
        <v/>
      </c>
      <c r="E5" s="335" t="str">
        <f t="shared" si="4"/>
        <v/>
      </c>
      <c r="F5" s="335" t="str">
        <f t="shared" si="5"/>
        <v/>
      </c>
      <c r="G5" s="335" t="str">
        <f t="shared" si="6"/>
        <v/>
      </c>
      <c r="H5" s="335" t="str">
        <f t="shared" si="7"/>
        <v/>
      </c>
      <c r="I5" s="335" t="str">
        <f t="shared" si="8"/>
        <v/>
      </c>
      <c r="J5" s="328" t="str">
        <f>""</f>
        <v/>
      </c>
      <c r="K5" s="356" t="str">
        <f>IF(Umse!$C$24=0,"",IF(OR($A$1="4.1.",$A$1="4.2.",$A$1="4.3.",$A$1="4.4.",$A$1="4.5.",$A$1="4.6."),V5,""))</f>
        <v/>
      </c>
      <c r="L5" s="357" t="str">
        <f>IF(Umse!$C$24=0,"",IF(OR($A$1="4.1.",$A$1="4.2.",$A$1="4.3.",$A$1="4.4.",$A$1="4.5.",$A$1="4.6."),W5,""))</f>
        <v/>
      </c>
      <c r="M5" s="335" t="str">
        <f>IF(Umse!$C$24=0,"",IF(OR($A$1="4.1.",$A$1="4.2."),'VKr Tab'!C466,IF(OR($A$1="4.3.",$A$1="4.4."),'VKr Tab'!C487,IF(OR($A$1="4.5.",$A$1="4.6."),'VKr Tab'!C508,""))))</f>
        <v/>
      </c>
      <c r="N5" s="335" t="str">
        <f>IF(Umse!$C$24=0,"",IF(OR($A$1="4.1.",$A$1="4.2."),'VKr Tab'!D466,IF(OR($A$1="4.3.",$A$1="4.4."),'VKr Tab'!D487,IF(OR($A$1="4.5.",$A$1="4.6."),'VKr Tab'!D508,""))))</f>
        <v/>
      </c>
      <c r="O5" s="335" t="str">
        <f>IF(Umse!$C$24=0,"",IF(OR($A$1="4.1.",$A$1="4.2."),'VKr Tab'!E466,IF(OR($A$1="4.3.",$A$1="4.4."),'VKr Tab'!E487,IF(OR($A$1="4.5.",$A$1="4.6."),'VKr Tab'!E508,""))))</f>
        <v/>
      </c>
      <c r="P5" s="335" t="str">
        <f>IF(Umse!$C$24=0,"",IF(OR($A$1="4.1.",$A$1="4.2."),'VKr Tab'!F466,IF(OR($A$1="4.3.",$A$1="4.4."),'VKr Tab'!F487,IF(OR($A$1="4.5.",$A$1="4.6."),'VKr Tab'!F508,""))))</f>
        <v/>
      </c>
      <c r="Q5" s="335" t="str">
        <f>IF(Umse!$C$24=0,"",IF(OR($A$1="4.1.",$A$1="4.2."),'VKr Tab'!G466,IF(OR($A$1="4.3.",$A$1="4.4."),'VKr Tab'!G487,IF(OR($A$1="4.5.",$A$1="4.6."),'VKr Tab'!G508,""))))</f>
        <v/>
      </c>
      <c r="R5" s="335" t="str">
        <f>IF(Umse!$C$24=0,"",IF(OR($A$1="4.1.",$A$1="4.2."),'VKr Tab'!H466,IF(OR($A$1="4.3.",$A$1="4.4."),'VKr Tab'!H487,IF(OR($A$1="4.5.",$A$1="4.6."),'VKr Tab'!H508,""))))</f>
        <v/>
      </c>
      <c r="V5" s="332" t="s">
        <v>387</v>
      </c>
      <c r="W5" s="363">
        <v>14</v>
      </c>
    </row>
    <row r="6" spans="1:23">
      <c r="A6" s="338"/>
      <c r="B6" s="356" t="str">
        <f t="shared" si="2"/>
        <v/>
      </c>
      <c r="C6" s="357" t="str">
        <f t="shared" si="2"/>
        <v/>
      </c>
      <c r="D6" s="335" t="str">
        <f t="shared" si="3"/>
        <v/>
      </c>
      <c r="E6" s="335" t="str">
        <f t="shared" si="4"/>
        <v/>
      </c>
      <c r="F6" s="335" t="str">
        <f t="shared" si="5"/>
        <v/>
      </c>
      <c r="G6" s="335" t="str">
        <f t="shared" si="6"/>
        <v/>
      </c>
      <c r="H6" s="335" t="str">
        <f t="shared" si="7"/>
        <v/>
      </c>
      <c r="I6" s="335" t="str">
        <f t="shared" si="8"/>
        <v/>
      </c>
      <c r="J6" s="328" t="str">
        <f>""</f>
        <v/>
      </c>
      <c r="K6" s="356" t="str">
        <f>IF(Umse!$C$24=0,"",IF(OR($A$1="4.1.",$A$1="4.2.",$A$1="4.3.",$A$1="4.4.",$A$1="4.5.",$A$1="4.6."),V6,""))</f>
        <v/>
      </c>
      <c r="L6" s="357" t="str">
        <f>IF(Umse!$C$24=0,"",IF(OR($A$1="4.1.",$A$1="4.2.",$A$1="4.3.",$A$1="4.4.",$A$1="4.5.",$A$1="4.6."),W6,""))</f>
        <v/>
      </c>
      <c r="M6" s="335" t="str">
        <f>IF(Umse!$C$24=0,"",IF(OR($A$1="4.1.",$A$1="4.2."),'VKr Tab'!C467,IF(OR($A$1="4.3.",$A$1="4.4."),'VKr Tab'!C488,IF(OR($A$1="4.5.",$A$1="4.6."),'VKr Tab'!C509,""))))</f>
        <v/>
      </c>
      <c r="N6" s="335" t="str">
        <f>IF(Umse!$C$24=0,"",IF(OR($A$1="4.1.",$A$1="4.2."),'VKr Tab'!D467,IF(OR($A$1="4.3.",$A$1="4.4."),'VKr Tab'!D488,IF(OR($A$1="4.5.",$A$1="4.6."),'VKr Tab'!D509,""))))</f>
        <v/>
      </c>
      <c r="O6" s="335" t="str">
        <f>IF(Umse!$C$24=0,"",IF(OR($A$1="4.1.",$A$1="4.2."),'VKr Tab'!E467,IF(OR($A$1="4.3.",$A$1="4.4."),'VKr Tab'!E488,IF(OR($A$1="4.5.",$A$1="4.6."),'VKr Tab'!E509,""))))</f>
        <v/>
      </c>
      <c r="P6" s="335" t="str">
        <f>IF(Umse!$C$24=0,"",IF(OR($A$1="4.1.",$A$1="4.2."),'VKr Tab'!F467,IF(OR($A$1="4.3.",$A$1="4.4."),'VKr Tab'!F488,IF(OR($A$1="4.5.",$A$1="4.6."),'VKr Tab'!F509,""))))</f>
        <v/>
      </c>
      <c r="Q6" s="335" t="str">
        <f>IF(Umse!$C$24=0,"",IF(OR($A$1="4.1.",$A$1="4.2."),'VKr Tab'!G467,IF(OR($A$1="4.3.",$A$1="4.4."),'VKr Tab'!G488,IF(OR($A$1="4.5.",$A$1="4.6."),'VKr Tab'!G509,""))))</f>
        <v/>
      </c>
      <c r="R6" s="335" t="str">
        <f>IF(Umse!$C$24=0,"",IF(OR($A$1="4.1.",$A$1="4.2."),'VKr Tab'!H467,IF(OR($A$1="4.3.",$A$1="4.4."),'VKr Tab'!H488,IF(OR($A$1="4.5.",$A$1="4.6."),'VKr Tab'!H509,""))))</f>
        <v/>
      </c>
      <c r="V6" s="332" t="s">
        <v>387</v>
      </c>
      <c r="W6" s="363">
        <v>13</v>
      </c>
    </row>
    <row r="7" spans="1:23">
      <c r="A7" s="338"/>
      <c r="B7" s="356" t="str">
        <f t="shared" si="2"/>
        <v/>
      </c>
      <c r="C7" s="357" t="str">
        <f t="shared" si="2"/>
        <v/>
      </c>
      <c r="D7" s="335" t="str">
        <f t="shared" si="3"/>
        <v/>
      </c>
      <c r="E7" s="335" t="str">
        <f t="shared" si="4"/>
        <v/>
      </c>
      <c r="F7" s="335" t="str">
        <f t="shared" si="5"/>
        <v/>
      </c>
      <c r="G7" s="335" t="str">
        <f t="shared" si="6"/>
        <v/>
      </c>
      <c r="H7" s="335" t="str">
        <f t="shared" si="7"/>
        <v/>
      </c>
      <c r="I7" s="335" t="str">
        <f t="shared" si="8"/>
        <v/>
      </c>
      <c r="J7" s="328" t="str">
        <f>IF(OR(Umse!$C$24=0,$A$1=0),"",IF(Umse!B11="4.2.","",""))</f>
        <v/>
      </c>
      <c r="K7" s="356" t="str">
        <f>IF(Umse!$C$24=0,"",IF(OR($A$1="4.1.",$A$1="4.2.",$A$1="4.3.",$A$1="4.4.",$A$1="4.5.",$A$1="4.6."),V7,""))</f>
        <v/>
      </c>
      <c r="L7" s="357" t="str">
        <f>IF(Umse!$C$24=0,"",IF(OR($A$1="4.1.",$A$1="4.2.",$A$1="4.3.",$A$1="4.4.",$A$1="4.5.",$A$1="4.6."),W7,""))</f>
        <v/>
      </c>
      <c r="M7" s="335" t="str">
        <f>IF(Umse!$C$24=0,"",IF(OR($A$1="4.1.",$A$1="4.2."),'VKr Tab'!C468,IF(OR($A$1="4.3.",$A$1="4.4."),'VKr Tab'!C489,IF(OR($A$1="4.5.",$A$1="4.6."),'VKr Tab'!C510,""))))</f>
        <v/>
      </c>
      <c r="N7" s="335" t="str">
        <f>IF(Umse!$C$24=0,"",IF(OR($A$1="4.1.",$A$1="4.2."),'VKr Tab'!D468,IF(OR($A$1="4.3.",$A$1="4.4."),'VKr Tab'!D489,IF(OR($A$1="4.5.",$A$1="4.6."),'VKr Tab'!D510,""))))</f>
        <v/>
      </c>
      <c r="O7" s="335" t="str">
        <f>IF(Umse!$C$24=0,"",IF(OR($A$1="4.1.",$A$1="4.2."),'VKr Tab'!E468,IF(OR($A$1="4.3.",$A$1="4.4."),'VKr Tab'!E489,IF(OR($A$1="4.5.",$A$1="4.6."),'VKr Tab'!E510,""))))</f>
        <v/>
      </c>
      <c r="P7" s="335" t="str">
        <f>IF(Umse!$C$24=0,"",IF(OR($A$1="4.1.",$A$1="4.2."),'VKr Tab'!F468,IF(OR($A$1="4.3.",$A$1="4.4."),'VKr Tab'!F489,IF(OR($A$1="4.5.",$A$1="4.6."),'VKr Tab'!F510,""))))</f>
        <v/>
      </c>
      <c r="Q7" s="335" t="str">
        <f>IF(Umse!$C$24=0,"",IF(OR($A$1="4.1.",$A$1="4.2."),'VKr Tab'!G468,IF(OR($A$1="4.3.",$A$1="4.4."),'VKr Tab'!G489,IF(OR($A$1="4.5.",$A$1="4.6."),'VKr Tab'!G510,""))))</f>
        <v/>
      </c>
      <c r="R7" s="335" t="str">
        <f>IF(Umse!$C$24=0,"",IF(OR($A$1="4.1.",$A$1="4.2."),'VKr Tab'!H468,IF(OR($A$1="4.3.",$A$1="4.4."),'VKr Tab'!H489,IF(OR($A$1="4.5.",$A$1="4.6."),'VKr Tab'!H510,""))))</f>
        <v/>
      </c>
      <c r="V7" s="332" t="s">
        <v>387</v>
      </c>
      <c r="W7" s="363">
        <v>12</v>
      </c>
    </row>
    <row r="8" spans="1:23">
      <c r="A8" s="338"/>
      <c r="B8" s="356" t="str">
        <f t="shared" si="2"/>
        <v/>
      </c>
      <c r="C8" s="357" t="str">
        <f t="shared" si="2"/>
        <v/>
      </c>
      <c r="D8" s="335" t="str">
        <f t="shared" si="3"/>
        <v/>
      </c>
      <c r="E8" s="335" t="str">
        <f t="shared" si="4"/>
        <v/>
      </c>
      <c r="F8" s="335" t="str">
        <f t="shared" si="5"/>
        <v/>
      </c>
      <c r="G8" s="335" t="str">
        <f t="shared" si="6"/>
        <v/>
      </c>
      <c r="H8" s="335" t="str">
        <f t="shared" si="7"/>
        <v/>
      </c>
      <c r="I8" s="335" t="str">
        <f t="shared" si="8"/>
        <v/>
      </c>
      <c r="J8" s="328" t="str">
        <f>IF(OR(Umse!$C$24=0,$A$1=0),"",IF(Umse!B11="4.2.","",""))</f>
        <v/>
      </c>
      <c r="K8" s="356" t="str">
        <f>IF(Umse!$C$24=0,"",IF(OR($A$1="4.1.",$A$1="4.2.",$A$1="4.3.",$A$1="4.4.",$A$1="4.5.",$A$1="4.6."),V8,""))</f>
        <v/>
      </c>
      <c r="L8" s="357" t="str">
        <f>IF(Umse!$C$24=0,"",IF(OR($A$1="4.1.",$A$1="4.2.",$A$1="4.3.",$A$1="4.4.",$A$1="4.5.",$A$1="4.6."),W8,""))</f>
        <v/>
      </c>
      <c r="M8" s="335" t="str">
        <f>IF(Umse!$C$24=0,"",IF(OR($A$1="4.1.",$A$1="4.2."),'VKr Tab'!C469,IF(OR($A$1="4.3.",$A$1="4.4."),'VKr Tab'!C490,IF(OR($A$1="4.5.",$A$1="4.6."),'VKr Tab'!C511,""))))</f>
        <v/>
      </c>
      <c r="N8" s="335" t="str">
        <f>IF(Umse!$C$24=0,"",IF(OR($A$1="4.1.",$A$1="4.2."),'VKr Tab'!D469,IF(OR($A$1="4.3.",$A$1="4.4."),'VKr Tab'!D490,IF(OR($A$1="4.5.",$A$1="4.6."),'VKr Tab'!D511,""))))</f>
        <v/>
      </c>
      <c r="O8" s="335" t="str">
        <f>IF(Umse!$C$24=0,"",IF(OR($A$1="4.1.",$A$1="4.2."),'VKr Tab'!E469,IF(OR($A$1="4.3.",$A$1="4.4."),'VKr Tab'!E490,IF(OR($A$1="4.5.",$A$1="4.6."),'VKr Tab'!E511,""))))</f>
        <v/>
      </c>
      <c r="P8" s="335" t="str">
        <f>IF(Umse!$C$24=0,"",IF(OR($A$1="4.1.",$A$1="4.2."),'VKr Tab'!F469,IF(OR($A$1="4.3.",$A$1="4.4."),'VKr Tab'!F490,IF(OR($A$1="4.5.",$A$1="4.6."),'VKr Tab'!F511,""))))</f>
        <v/>
      </c>
      <c r="Q8" s="335" t="str">
        <f>IF(Umse!$C$24=0,"",IF(OR($A$1="4.1.",$A$1="4.2."),'VKr Tab'!G469,IF(OR($A$1="4.3.",$A$1="4.4."),'VKr Tab'!G490,IF(OR($A$1="4.5.",$A$1="4.6."),'VKr Tab'!G511,""))))</f>
        <v/>
      </c>
      <c r="R8" s="335" t="str">
        <f>IF(Umse!$C$24=0,"",IF(OR($A$1="4.1.",$A$1="4.2."),'VKr Tab'!H469,IF(OR($A$1="4.3.",$A$1="4.4."),'VKr Tab'!H490,IF(OR($A$1="4.5.",$A$1="4.6."),'VKr Tab'!H511,""))))</f>
        <v/>
      </c>
      <c r="V8" s="332" t="s">
        <v>387</v>
      </c>
      <c r="W8" s="363">
        <v>11</v>
      </c>
    </row>
    <row r="9" spans="1:23">
      <c r="A9" s="338"/>
      <c r="B9" s="356" t="str">
        <f t="shared" si="2"/>
        <v/>
      </c>
      <c r="C9" s="357" t="str">
        <f t="shared" si="2"/>
        <v/>
      </c>
      <c r="D9" s="335" t="str">
        <f t="shared" si="3"/>
        <v/>
      </c>
      <c r="E9" s="335" t="str">
        <f t="shared" si="4"/>
        <v/>
      </c>
      <c r="F9" s="335" t="str">
        <f t="shared" si="5"/>
        <v/>
      </c>
      <c r="G9" s="335" t="str">
        <f t="shared" si="6"/>
        <v/>
      </c>
      <c r="H9" s="335" t="str">
        <f t="shared" si="7"/>
        <v/>
      </c>
      <c r="I9" s="335" t="str">
        <f t="shared" si="8"/>
        <v/>
      </c>
      <c r="J9" s="333" t="str">
        <f>IF(OR(Umse!$C$24=0,$A$1=0),"",IF(Umse!B11="4.2.","",""))</f>
        <v/>
      </c>
      <c r="K9" s="356" t="str">
        <f>IF(Umse!$C$24=0,"",IF(OR($A$1="4.1.",$A$1="4.2.",$A$1="4.3.",$A$1="4.4.",$A$1="4.5.",$A$1="4.6."),V9,""))</f>
        <v/>
      </c>
      <c r="L9" s="357" t="str">
        <f>IF(Umse!$C$24=0,"",IF(OR($A$1="4.1.",$A$1="4.2.",$A$1="4.3.",$A$1="4.4.",$A$1="4.5.",$A$1="4.6."),W9,""))</f>
        <v/>
      </c>
      <c r="M9" s="335" t="str">
        <f>IF(Umse!$C$24=0,"",IF(OR($A$1="4.1.",$A$1="4.2."),'VKr Tab'!C470,IF(OR($A$1="4.3.",$A$1="4.4."),'VKr Tab'!C491,IF(OR($A$1="4.5.",$A$1="4.6."),'VKr Tab'!C512,""))))</f>
        <v/>
      </c>
      <c r="N9" s="335" t="str">
        <f>IF(Umse!$C$24=0,"",IF(OR($A$1="4.1.",$A$1="4.2."),'VKr Tab'!D470,IF(OR($A$1="4.3.",$A$1="4.4."),'VKr Tab'!D491,IF(OR($A$1="4.5.",$A$1="4.6."),'VKr Tab'!D512,""))))</f>
        <v/>
      </c>
      <c r="O9" s="335" t="str">
        <f>IF(Umse!$C$24=0,"",IF(OR($A$1="4.1.",$A$1="4.2."),'VKr Tab'!E470,IF(OR($A$1="4.3.",$A$1="4.4."),'VKr Tab'!E491,IF(OR($A$1="4.5.",$A$1="4.6."),'VKr Tab'!E512,""))))</f>
        <v/>
      </c>
      <c r="P9" s="335" t="str">
        <f>IF(Umse!$C$24=0,"",IF(OR($A$1="4.1.",$A$1="4.2."),'VKr Tab'!F470,IF(OR($A$1="4.3.",$A$1="4.4."),'VKr Tab'!F491,IF(OR($A$1="4.5.",$A$1="4.6."),'VKr Tab'!F512,""))))</f>
        <v/>
      </c>
      <c r="Q9" s="335" t="str">
        <f>IF(Umse!$C$24=0,"",IF(OR($A$1="4.1.",$A$1="4.2."),'VKr Tab'!G470,IF(OR($A$1="4.3.",$A$1="4.4."),'VKr Tab'!G491,IF(OR($A$1="4.5.",$A$1="4.6."),'VKr Tab'!G512,""))))</f>
        <v/>
      </c>
      <c r="R9" s="335" t="str">
        <f>IF(Umse!$C$24=0,"",IF(OR($A$1="4.1.",$A$1="4.2."),'VKr Tab'!H470,IF(OR($A$1="4.3.",$A$1="4.4."),'VKr Tab'!H491,IF(OR($A$1="4.5.",$A$1="4.6."),'VKr Tab'!H512,""))))</f>
        <v/>
      </c>
      <c r="S9" s="358"/>
      <c r="V9" s="332" t="s">
        <v>387</v>
      </c>
      <c r="W9" s="363">
        <v>10</v>
      </c>
    </row>
    <row r="10" spans="1:23">
      <c r="B10" s="356" t="str">
        <f t="shared" si="2"/>
        <v/>
      </c>
      <c r="C10" s="357" t="str">
        <f t="shared" si="2"/>
        <v/>
      </c>
      <c r="D10" s="335" t="str">
        <f t="shared" si="3"/>
        <v/>
      </c>
      <c r="E10" s="335" t="str">
        <f t="shared" si="4"/>
        <v/>
      </c>
      <c r="F10" s="335" t="str">
        <f t="shared" si="5"/>
        <v/>
      </c>
      <c r="G10" s="335" t="str">
        <f t="shared" si="6"/>
        <v/>
      </c>
      <c r="H10" s="335" t="str">
        <f t="shared" si="7"/>
        <v/>
      </c>
      <c r="I10" s="335" t="str">
        <f t="shared" si="8"/>
        <v/>
      </c>
      <c r="J10" s="328" t="str">
        <f>IF(OR(Umse!$C$24=0,$A$1=0),"",IF(Umse!B11="4.2.","",""))</f>
        <v/>
      </c>
      <c r="K10" s="356" t="str">
        <f>IF(Umse!$C$24=0,"",IF(OR($A$1="4.1.",$A$1="4.2.",$A$1="4.3.",$A$1="4.4.",$A$1="4.5.",$A$1="4.6."),V10,""))</f>
        <v/>
      </c>
      <c r="L10" s="357" t="str">
        <f>IF(Umse!$C$24=0,"",IF(OR($A$1="4.1.",$A$1="4.2.",$A$1="4.3.",$A$1="4.4.",$A$1="4.5.",$A$1="4.6."),W10,""))</f>
        <v/>
      </c>
      <c r="M10" s="335" t="str">
        <f>IF(Umse!$C$24=0,"",IF(OR($A$1="4.1.",$A$1="4.2."),'VKr Tab'!C471,IF(OR($A$1="4.3.",$A$1="4.4."),'VKr Tab'!C492,IF(OR($A$1="4.5.",$A$1="4.6."),'VKr Tab'!C513,""))))</f>
        <v/>
      </c>
      <c r="N10" s="335" t="str">
        <f>IF(Umse!$C$24=0,"",IF(OR($A$1="4.1.",$A$1="4.2."),'VKr Tab'!D471,IF(OR($A$1="4.3.",$A$1="4.4."),'VKr Tab'!D492,IF(OR($A$1="4.5.",$A$1="4.6."),'VKr Tab'!D513,""))))</f>
        <v/>
      </c>
      <c r="O10" s="335" t="str">
        <f>IF(Umse!$C$24=0,"",IF(OR($A$1="4.1.",$A$1="4.2."),'VKr Tab'!E471,IF(OR($A$1="4.3.",$A$1="4.4."),'VKr Tab'!E492,IF(OR($A$1="4.5.",$A$1="4.6."),'VKr Tab'!E513,""))))</f>
        <v/>
      </c>
      <c r="P10" s="335" t="str">
        <f>IF(Umse!$C$24=0,"",IF(OR($A$1="4.1.",$A$1="4.2."),'VKr Tab'!F471,IF(OR($A$1="4.3.",$A$1="4.4."),'VKr Tab'!F492,IF(OR($A$1="4.5.",$A$1="4.6."),'VKr Tab'!F513,""))))</f>
        <v/>
      </c>
      <c r="Q10" s="335" t="str">
        <f>IF(Umse!$C$24=0,"",IF(OR($A$1="4.1.",$A$1="4.2."),'VKr Tab'!G471,IF(OR($A$1="4.3.",$A$1="4.4."),'VKr Tab'!G492,IF(OR($A$1="4.5.",$A$1="4.6."),'VKr Tab'!G513,""))))</f>
        <v/>
      </c>
      <c r="R10" s="335" t="str">
        <f>IF(Umse!$C$24=0,"",IF(OR($A$1="4.1.",$A$1="4.2."),'VKr Tab'!H471,IF(OR($A$1="4.3.",$A$1="4.4."),'VKr Tab'!H492,IF(OR($A$1="4.5.",$A$1="4.6."),'VKr Tab'!H513,""))))</f>
        <v/>
      </c>
      <c r="S10" s="358"/>
      <c r="V10" s="332" t="s">
        <v>387</v>
      </c>
      <c r="W10" s="363">
        <v>9</v>
      </c>
    </row>
    <row r="11" spans="1:23">
      <c r="B11" s="356" t="str">
        <f t="shared" si="2"/>
        <v/>
      </c>
      <c r="C11" s="357" t="str">
        <f t="shared" si="2"/>
        <v/>
      </c>
      <c r="D11" s="335" t="str">
        <f t="shared" si="3"/>
        <v/>
      </c>
      <c r="E11" s="335" t="str">
        <f t="shared" si="4"/>
        <v/>
      </c>
      <c r="F11" s="335" t="str">
        <f t="shared" si="5"/>
        <v/>
      </c>
      <c r="G11" s="335" t="str">
        <f t="shared" si="6"/>
        <v/>
      </c>
      <c r="H11" s="335" t="str">
        <f t="shared" si="7"/>
        <v/>
      </c>
      <c r="I11" s="335" t="str">
        <f t="shared" si="8"/>
        <v/>
      </c>
      <c r="J11" s="333" t="str">
        <f>IF(OR(Umse!$C$24=0,$A$1=0),"",IF(Umse!B11="4.2.","",""))</f>
        <v/>
      </c>
      <c r="K11" s="356" t="str">
        <f>IF(Umse!$C$24=0,"",IF(OR($A$1="4.1.",$A$1="4.2.",$A$1="4.3.",$A$1="4.4.",$A$1="4.5.",$A$1="4.6."),V11,""))</f>
        <v/>
      </c>
      <c r="L11" s="357" t="str">
        <f>IF(Umse!$C$24=0,"",IF(OR($A$1="4.1.",$A$1="4.2.",$A$1="4.3.",$A$1="4.4.",$A$1="4.5.",$A$1="4.6."),W11,""))</f>
        <v/>
      </c>
      <c r="M11" s="335" t="str">
        <f>IF(Umse!$C$24=0,"",IF(OR($A$1="4.1.",$A$1="4.2."),'VKr Tab'!C472,IF(OR($A$1="4.3.",$A$1="4.4."),'VKr Tab'!C493,IF(OR($A$1="4.5.",$A$1="4.6."),'VKr Tab'!C514,""))))</f>
        <v/>
      </c>
      <c r="N11" s="335" t="str">
        <f>IF(Umse!$C$24=0,"",IF(OR($A$1="4.1.",$A$1="4.2."),'VKr Tab'!D472,IF(OR($A$1="4.3.",$A$1="4.4."),'VKr Tab'!D493,IF(OR($A$1="4.5.",$A$1="4.6."),'VKr Tab'!D514,""))))</f>
        <v/>
      </c>
      <c r="O11" s="335" t="str">
        <f>IF(Umse!$C$24=0,"",IF(OR($A$1="4.1.",$A$1="4.2."),'VKr Tab'!E472,IF(OR($A$1="4.3.",$A$1="4.4."),'VKr Tab'!E493,IF(OR($A$1="4.5.",$A$1="4.6."),'VKr Tab'!E514,""))))</f>
        <v/>
      </c>
      <c r="P11" s="335" t="str">
        <f>IF(Umse!$C$24=0,"",IF(OR($A$1="4.1.",$A$1="4.2."),'VKr Tab'!F472,IF(OR($A$1="4.3.",$A$1="4.4."),'VKr Tab'!F493,IF(OR($A$1="4.5.",$A$1="4.6."),'VKr Tab'!F514,""))))</f>
        <v/>
      </c>
      <c r="Q11" s="335" t="str">
        <f>IF(Umse!$C$24=0,"",IF(OR($A$1="4.1.",$A$1="4.2."),'VKr Tab'!G472,IF(OR($A$1="4.3.",$A$1="4.4."),'VKr Tab'!G493,IF(OR($A$1="4.5.",$A$1="4.6."),'VKr Tab'!G514,""))))</f>
        <v/>
      </c>
      <c r="R11" s="335" t="str">
        <f>IF(Umse!$C$24=0,"",IF(OR($A$1="4.1.",$A$1="4.2."),'VKr Tab'!H472,IF(OR($A$1="4.3.",$A$1="4.4."),'VKr Tab'!H493,IF(OR($A$1="4.5.",$A$1="4.6."),'VKr Tab'!H514,""))))</f>
        <v/>
      </c>
      <c r="S11" s="346"/>
      <c r="V11" s="332" t="s">
        <v>387</v>
      </c>
      <c r="W11" s="363">
        <v>8</v>
      </c>
    </row>
    <row r="12" spans="1:23">
      <c r="B12" s="356" t="str">
        <f t="shared" si="2"/>
        <v/>
      </c>
      <c r="C12" s="357" t="str">
        <f t="shared" si="2"/>
        <v/>
      </c>
      <c r="D12" s="335" t="str">
        <f t="shared" si="3"/>
        <v/>
      </c>
      <c r="E12" s="335" t="str">
        <f t="shared" si="4"/>
        <v/>
      </c>
      <c r="F12" s="335" t="str">
        <f t="shared" si="5"/>
        <v/>
      </c>
      <c r="G12" s="335" t="str">
        <f t="shared" si="6"/>
        <v/>
      </c>
      <c r="H12" s="335" t="str">
        <f t="shared" si="7"/>
        <v/>
      </c>
      <c r="I12" s="335" t="str">
        <f t="shared" si="8"/>
        <v/>
      </c>
      <c r="J12" s="333" t="str">
        <f>""</f>
        <v/>
      </c>
      <c r="K12" s="356" t="str">
        <f>IF(Umse!$C$24=0,"",IF(OR($A$1="4.1.",$A$1="4.2.",$A$1="4.3.",$A$1="4.4.",$A$1="4.5.",$A$1="4.6."),V12,""))</f>
        <v/>
      </c>
      <c r="L12" s="357" t="str">
        <f>IF(Umse!$C$24=0,"",IF(OR($A$1="4.1.",$A$1="4.2.",$A$1="4.3.",$A$1="4.4.",$A$1="4.5.",$A$1="4.6."),W12,""))</f>
        <v/>
      </c>
      <c r="M12" s="335" t="str">
        <f>IF(Umse!$C$24=0,"",IF(OR($A$1="4.1.",$A$1="4.2."),'VKr Tab'!C473,IF(OR($A$1="4.3.",$A$1="4.4."),'VKr Tab'!C494,IF(OR($A$1="4.5.",$A$1="4.6."),'VKr Tab'!C515,""))))</f>
        <v/>
      </c>
      <c r="N12" s="335" t="str">
        <f>IF(Umse!$C$24=0,"",IF(OR($A$1="4.1.",$A$1="4.2."),'VKr Tab'!D473,IF(OR($A$1="4.3.",$A$1="4.4."),'VKr Tab'!D494,IF(OR($A$1="4.5.",$A$1="4.6."),'VKr Tab'!D515,""))))</f>
        <v/>
      </c>
      <c r="O12" s="335" t="str">
        <f>IF(Umse!$C$24=0,"",IF(OR($A$1="4.1.",$A$1="4.2."),'VKr Tab'!E473,IF(OR($A$1="4.3.",$A$1="4.4."),'VKr Tab'!E494,IF(OR($A$1="4.5.",$A$1="4.6."),'VKr Tab'!E515,""))))</f>
        <v/>
      </c>
      <c r="P12" s="335" t="str">
        <f>IF(Umse!$C$24=0,"",IF(OR($A$1="4.1.",$A$1="4.2."),'VKr Tab'!F473,IF(OR($A$1="4.3.",$A$1="4.4."),'VKr Tab'!F494,IF(OR($A$1="4.5.",$A$1="4.6."),'VKr Tab'!F515,""))))</f>
        <v/>
      </c>
      <c r="Q12" s="335" t="str">
        <f>IF(Umse!$C$24=0,"",IF(OR($A$1="4.1.",$A$1="4.2."),'VKr Tab'!G473,IF(OR($A$1="4.3.",$A$1="4.4."),'VKr Tab'!G494,IF(OR($A$1="4.5.",$A$1="4.6."),'VKr Tab'!G515,""))))</f>
        <v/>
      </c>
      <c r="R12" s="335" t="str">
        <f>IF(Umse!$C$24=0,"",IF(OR($A$1="4.1.",$A$1="4.2."),'VKr Tab'!H473,IF(OR($A$1="4.3.",$A$1="4.4."),'VKr Tab'!H494,IF(OR($A$1="4.5.",$A$1="4.6."),'VKr Tab'!H515,""))))</f>
        <v/>
      </c>
      <c r="S12" s="359"/>
      <c r="V12" s="332" t="s">
        <v>387</v>
      </c>
      <c r="W12" s="363">
        <v>7</v>
      </c>
    </row>
    <row r="13" spans="1:23">
      <c r="B13" s="356" t="str">
        <f t="shared" si="2"/>
        <v/>
      </c>
      <c r="C13" s="357" t="str">
        <f t="shared" si="2"/>
        <v/>
      </c>
      <c r="D13" s="335" t="str">
        <f t="shared" si="3"/>
        <v/>
      </c>
      <c r="E13" s="335" t="str">
        <f t="shared" si="4"/>
        <v/>
      </c>
      <c r="F13" s="335" t="str">
        <f t="shared" si="5"/>
        <v/>
      </c>
      <c r="G13" s="335" t="str">
        <f t="shared" si="6"/>
        <v/>
      </c>
      <c r="H13" s="335" t="str">
        <f t="shared" si="7"/>
        <v/>
      </c>
      <c r="I13" s="335" t="str">
        <f t="shared" si="8"/>
        <v/>
      </c>
      <c r="J13" s="333" t="str">
        <f>""</f>
        <v/>
      </c>
      <c r="K13" s="356" t="str">
        <f>IF(Umse!$C$24=0,"",IF(OR($A$1="4.1.",$A$1="4.2.",$A$1="4.3.",$A$1="4.4.",$A$1="4.5.",$A$1="4.6."),V13,""))</f>
        <v/>
      </c>
      <c r="L13" s="357" t="str">
        <f>IF(Umse!$C$24=0,"",IF(OR($A$1="4.1.",$A$1="4.2.",$A$1="4.3.",$A$1="4.4.",$A$1="4.5.",$A$1="4.6."),W13,""))</f>
        <v/>
      </c>
      <c r="M13" s="335" t="str">
        <f>IF(Umse!$C$24=0,"",IF(OR($A$1="4.1.",$A$1="4.2."),'VKr Tab'!C474,IF(OR($A$1="4.3.",$A$1="4.4."),'VKr Tab'!C495,IF(OR($A$1="4.5.",$A$1="4.6."),'VKr Tab'!C516,""))))</f>
        <v/>
      </c>
      <c r="N13" s="335" t="str">
        <f>IF(Umse!$C$24=0,"",IF(OR($A$1="4.1.",$A$1="4.2."),'VKr Tab'!D474,IF(OR($A$1="4.3.",$A$1="4.4."),'VKr Tab'!D495,IF(OR($A$1="4.5.",$A$1="4.6."),'VKr Tab'!D516,""))))</f>
        <v/>
      </c>
      <c r="O13" s="335" t="str">
        <f>IF(Umse!$C$24=0,"",IF(OR($A$1="4.1.",$A$1="4.2."),'VKr Tab'!E474,IF(OR($A$1="4.3.",$A$1="4.4."),'VKr Tab'!E495,IF(OR($A$1="4.5.",$A$1="4.6."),'VKr Tab'!E516,""))))</f>
        <v/>
      </c>
      <c r="P13" s="335" t="str">
        <f>IF(Umse!$C$24=0,"",IF(OR($A$1="4.1.",$A$1="4.2."),'VKr Tab'!F474,IF(OR($A$1="4.3.",$A$1="4.4."),'VKr Tab'!F495,IF(OR($A$1="4.5.",$A$1="4.6."),'VKr Tab'!F516,""))))</f>
        <v/>
      </c>
      <c r="Q13" s="335" t="str">
        <f>IF(Umse!$C$24=0,"",IF(OR($A$1="4.1.",$A$1="4.2."),'VKr Tab'!G474,IF(OR($A$1="4.3.",$A$1="4.4."),'VKr Tab'!G495,IF(OR($A$1="4.5.",$A$1="4.6."),'VKr Tab'!G516,""))))</f>
        <v/>
      </c>
      <c r="R13" s="335" t="str">
        <f>IF(Umse!$C$24=0,"",IF(OR($A$1="4.1.",$A$1="4.2."),'VKr Tab'!H474,IF(OR($A$1="4.3.",$A$1="4.4."),'VKr Tab'!H495,IF(OR($A$1="4.5.",$A$1="4.6."),'VKr Tab'!H516,""))))</f>
        <v/>
      </c>
      <c r="S13" s="359"/>
      <c r="V13" s="332" t="s">
        <v>387</v>
      </c>
      <c r="W13" s="363">
        <v>6</v>
      </c>
    </row>
    <row r="14" spans="1:23">
      <c r="B14" s="356" t="str">
        <f t="shared" si="2"/>
        <v/>
      </c>
      <c r="C14" s="357" t="str">
        <f t="shared" si="2"/>
        <v/>
      </c>
      <c r="D14" s="335" t="str">
        <f t="shared" si="3"/>
        <v/>
      </c>
      <c r="E14" s="335" t="str">
        <f t="shared" si="4"/>
        <v/>
      </c>
      <c r="F14" s="335" t="str">
        <f t="shared" si="5"/>
        <v/>
      </c>
      <c r="G14" s="335" t="str">
        <f t="shared" si="6"/>
        <v/>
      </c>
      <c r="H14" s="335" t="str">
        <f t="shared" si="7"/>
        <v/>
      </c>
      <c r="I14" s="335" t="str">
        <f t="shared" si="8"/>
        <v/>
      </c>
      <c r="J14" s="333" t="str">
        <f>""</f>
        <v/>
      </c>
      <c r="K14" s="356" t="str">
        <f>IF(Umse!$C$24=0,"",IF(OR($A$1="4.1.",$A$1="4.2.",$A$1="4.3.",$A$1="4.4.",$A$1="4.5.",$A$1="4.6."),V14,""))</f>
        <v/>
      </c>
      <c r="L14" s="357" t="str">
        <f>IF(Umse!$C$24=0,"",IF(OR($A$1="4.1.",$A$1="4.2.",$A$1="4.3.",$A$1="4.4.",$A$1="4.5.",$A$1="4.6."),W14,""))</f>
        <v/>
      </c>
      <c r="M14" s="335" t="str">
        <f>IF(Umse!$C$24=0,"",IF(OR($A$1="4.1.",$A$1="4.2."),'VKr Tab'!C475,IF(OR($A$1="4.3.",$A$1="4.4."),'VKr Tab'!C496,IF(OR($A$1="4.5.",$A$1="4.6."),'VKr Tab'!C517,""))))</f>
        <v/>
      </c>
      <c r="N14" s="335" t="str">
        <f>IF(Umse!$C$24=0,"",IF(OR($A$1="4.1.",$A$1="4.2."),'VKr Tab'!D475,IF(OR($A$1="4.3.",$A$1="4.4."),'VKr Tab'!D496,IF(OR($A$1="4.5.",$A$1="4.6."),'VKr Tab'!D517,""))))</f>
        <v/>
      </c>
      <c r="O14" s="335" t="str">
        <f>IF(Umse!$C$24=0,"",IF(OR($A$1="4.1.",$A$1="4.2."),'VKr Tab'!E475,IF(OR($A$1="4.3.",$A$1="4.4."),'VKr Tab'!E496,IF(OR($A$1="4.5.",$A$1="4.6."),'VKr Tab'!E517,""))))</f>
        <v/>
      </c>
      <c r="P14" s="335" t="str">
        <f>IF(Umse!$C$24=0,"",IF(OR($A$1="4.1.",$A$1="4.2."),'VKr Tab'!F475,IF(OR($A$1="4.3.",$A$1="4.4."),'VKr Tab'!F496,IF(OR($A$1="4.5.",$A$1="4.6."),'VKr Tab'!F517,""))))</f>
        <v/>
      </c>
      <c r="Q14" s="335" t="str">
        <f>IF(Umse!$C$24=0,"",IF(OR($A$1="4.1.",$A$1="4.2."),'VKr Tab'!G475,IF(OR($A$1="4.3.",$A$1="4.4."),'VKr Tab'!G496,IF(OR($A$1="4.5.",$A$1="4.6."),'VKr Tab'!G517,""))))</f>
        <v/>
      </c>
      <c r="R14" s="335" t="str">
        <f>IF(Umse!$C$24=0,"",IF(OR($A$1="4.1.",$A$1="4.2."),'VKr Tab'!H475,IF(OR($A$1="4.3.",$A$1="4.4."),'VKr Tab'!H496,IF(OR($A$1="4.5.",$A$1="4.6."),'VKr Tab'!H517,""))))</f>
        <v/>
      </c>
      <c r="S14" s="359"/>
      <c r="V14" s="332" t="s">
        <v>387</v>
      </c>
      <c r="W14" s="363">
        <v>5</v>
      </c>
    </row>
    <row r="15" spans="1:23">
      <c r="B15" s="356"/>
      <c r="C15" s="356"/>
      <c r="D15" s="361"/>
      <c r="E15" s="361"/>
      <c r="F15" s="361"/>
      <c r="G15" s="361"/>
      <c r="H15" s="361"/>
      <c r="I15" s="361"/>
      <c r="J15" s="333" t="str">
        <f>""</f>
        <v/>
      </c>
      <c r="K15" s="356"/>
      <c r="L15" s="356"/>
      <c r="M15" s="334"/>
      <c r="N15" s="334"/>
      <c r="O15" s="334"/>
      <c r="P15" s="334"/>
      <c r="Q15" s="334"/>
      <c r="R15" s="334"/>
      <c r="S15" s="359"/>
    </row>
    <row r="16" spans="1:23">
      <c r="B16" s="356"/>
      <c r="C16" s="356"/>
      <c r="D16" s="361"/>
      <c r="E16" s="361"/>
      <c r="F16" s="361"/>
      <c r="G16" s="361"/>
      <c r="H16" s="361"/>
      <c r="I16" s="361"/>
      <c r="J16" s="333" t="str">
        <f>""</f>
        <v/>
      </c>
      <c r="K16" s="356"/>
      <c r="L16" s="356"/>
      <c r="M16" s="334"/>
      <c r="N16" s="334"/>
      <c r="O16" s="334"/>
      <c r="P16" s="334"/>
      <c r="Q16" s="334"/>
      <c r="R16" s="334"/>
      <c r="S16" s="359"/>
    </row>
    <row r="17" spans="2:19">
      <c r="B17" s="356"/>
      <c r="C17" s="356"/>
      <c r="D17" s="361"/>
      <c r="E17" s="361"/>
      <c r="F17" s="361"/>
      <c r="G17" s="361"/>
      <c r="H17" s="361"/>
      <c r="I17" s="361"/>
      <c r="J17" s="333" t="str">
        <f>""</f>
        <v/>
      </c>
      <c r="K17" s="356"/>
      <c r="L17" s="356"/>
      <c r="M17" s="334"/>
      <c r="N17" s="334"/>
      <c r="O17" s="334"/>
      <c r="P17" s="334"/>
      <c r="Q17" s="334"/>
      <c r="R17" s="334"/>
      <c r="S17" s="359"/>
    </row>
    <row r="18" spans="2:19">
      <c r="B18" s="332"/>
      <c r="C18" s="332"/>
      <c r="D18" s="361"/>
      <c r="E18" s="361"/>
      <c r="F18" s="361"/>
      <c r="G18" s="361"/>
      <c r="H18" s="361"/>
      <c r="I18" s="361"/>
      <c r="J18" s="333" t="str">
        <f>""</f>
        <v/>
      </c>
      <c r="K18" s="356"/>
      <c r="L18" s="356"/>
      <c r="M18" s="334"/>
      <c r="N18" s="334"/>
      <c r="O18" s="334"/>
      <c r="P18" s="334"/>
      <c r="Q18" s="334"/>
      <c r="R18" s="334"/>
      <c r="S18" s="359"/>
    </row>
    <row r="19" spans="2:19">
      <c r="B19" s="332"/>
      <c r="C19" s="332"/>
      <c r="D19" s="361"/>
      <c r="E19" s="361"/>
      <c r="F19" s="361"/>
      <c r="G19" s="361"/>
      <c r="H19" s="361"/>
      <c r="I19" s="361"/>
      <c r="J19" s="333" t="str">
        <f>""</f>
        <v/>
      </c>
      <c r="K19" s="356"/>
      <c r="L19" s="356"/>
      <c r="M19" s="334"/>
      <c r="N19" s="334"/>
      <c r="O19" s="334"/>
      <c r="P19" s="334"/>
      <c r="Q19" s="334"/>
      <c r="R19" s="334"/>
      <c r="S19" s="328"/>
    </row>
    <row r="20" spans="2:19">
      <c r="B20" s="332"/>
      <c r="C20" s="332"/>
      <c r="D20" s="361"/>
      <c r="E20" s="361"/>
      <c r="F20" s="361"/>
      <c r="G20" s="361"/>
      <c r="H20" s="361"/>
      <c r="I20" s="361"/>
      <c r="J20" s="333" t="str">
        <f>""</f>
        <v/>
      </c>
      <c r="K20" s="356"/>
      <c r="L20" s="356"/>
      <c r="M20" s="334"/>
      <c r="N20" s="334"/>
      <c r="O20" s="334"/>
      <c r="P20" s="334"/>
      <c r="Q20" s="334"/>
      <c r="R20" s="334"/>
      <c r="S20" s="328"/>
    </row>
    <row r="21" spans="2:19">
      <c r="J21" s="328" t="str">
        <f>""</f>
        <v/>
      </c>
      <c r="K21" s="356"/>
      <c r="L21" s="356"/>
      <c r="M21" s="334"/>
      <c r="N21" s="334"/>
      <c r="O21" s="334"/>
      <c r="P21" s="334"/>
      <c r="Q21" s="334"/>
      <c r="R21" s="334"/>
      <c r="S21" s="328"/>
    </row>
    <row r="22" spans="2:19">
      <c r="B22" s="324"/>
      <c r="C22" s="325"/>
      <c r="D22" s="326" t="str">
        <f>IF(A1=0,"","Zeitzuschläge")</f>
        <v>Zeitzuschläge</v>
      </c>
      <c r="E22" s="325"/>
      <c r="F22" s="325"/>
      <c r="G22" s="325"/>
      <c r="H22" s="325"/>
      <c r="I22" s="327"/>
      <c r="K22" s="356"/>
      <c r="L22" s="356"/>
      <c r="M22" s="334"/>
      <c r="N22" s="334"/>
      <c r="O22" s="334"/>
      <c r="P22" s="334"/>
      <c r="Q22" s="334"/>
      <c r="R22" s="334"/>
      <c r="S22" s="328"/>
    </row>
    <row r="23" spans="2:19" ht="12.75" customHeight="1">
      <c r="B23" s="677" t="s">
        <v>192</v>
      </c>
      <c r="C23" s="678"/>
      <c r="D23" s="688" t="s">
        <v>512</v>
      </c>
      <c r="E23" s="687" t="s">
        <v>392</v>
      </c>
      <c r="F23" s="687" t="s">
        <v>21</v>
      </c>
      <c r="G23" s="683" t="s">
        <v>190</v>
      </c>
      <c r="H23" s="683" t="s">
        <v>191</v>
      </c>
      <c r="I23" s="687" t="s">
        <v>393</v>
      </c>
      <c r="K23" s="356"/>
      <c r="L23" s="356"/>
      <c r="M23" s="334"/>
      <c r="N23" s="334"/>
      <c r="O23" s="334"/>
      <c r="P23" s="334"/>
      <c r="Q23" s="334"/>
      <c r="R23" s="334"/>
      <c r="S23" s="328"/>
    </row>
    <row r="24" spans="2:19" ht="11.25" customHeight="1">
      <c r="B24" s="679"/>
      <c r="C24" s="680"/>
      <c r="D24" s="688"/>
      <c r="E24" s="687"/>
      <c r="F24" s="687"/>
      <c r="G24" s="683"/>
      <c r="H24" s="683"/>
      <c r="I24" s="687"/>
      <c r="K24" s="356"/>
      <c r="L24" s="356"/>
      <c r="M24" s="334"/>
      <c r="N24" s="334"/>
      <c r="O24" s="334"/>
      <c r="P24" s="334"/>
      <c r="Q24" s="334"/>
      <c r="R24" s="334"/>
      <c r="S24" s="328"/>
    </row>
    <row r="25" spans="2:19" ht="11.25" customHeight="1">
      <c r="B25" s="679"/>
      <c r="C25" s="680"/>
      <c r="D25" s="688"/>
      <c r="E25" s="687"/>
      <c r="F25" s="687"/>
      <c r="G25" s="683"/>
      <c r="H25" s="683"/>
      <c r="I25" s="687"/>
      <c r="K25" s="356"/>
      <c r="L25" s="356"/>
      <c r="M25" s="334"/>
      <c r="N25" s="334"/>
      <c r="O25" s="334"/>
      <c r="P25" s="334"/>
      <c r="Q25" s="334"/>
      <c r="R25" s="334"/>
      <c r="S25" s="328"/>
    </row>
    <row r="26" spans="2:19" ht="11.25" customHeight="1">
      <c r="B26" s="679"/>
      <c r="C26" s="680"/>
      <c r="D26" s="688"/>
      <c r="E26" s="687"/>
      <c r="F26" s="687"/>
      <c r="G26" s="683"/>
      <c r="H26" s="683"/>
      <c r="I26" s="687"/>
      <c r="K26" s="356"/>
      <c r="L26" s="356"/>
      <c r="M26" s="334"/>
      <c r="N26" s="334"/>
      <c r="O26" s="334"/>
      <c r="P26" s="334"/>
      <c r="Q26" s="334"/>
      <c r="R26" s="334"/>
      <c r="S26" s="328"/>
    </row>
    <row r="27" spans="2:19" ht="11.25" customHeight="1">
      <c r="B27" s="679"/>
      <c r="C27" s="680"/>
      <c r="D27" s="688"/>
      <c r="E27" s="687"/>
      <c r="F27" s="687"/>
      <c r="G27" s="683"/>
      <c r="H27" s="683"/>
      <c r="I27" s="687"/>
      <c r="K27" s="356"/>
      <c r="L27" s="356"/>
      <c r="M27" s="334"/>
      <c r="N27" s="334"/>
      <c r="O27" s="334"/>
      <c r="P27" s="334"/>
      <c r="Q27" s="334"/>
      <c r="R27" s="334"/>
      <c r="S27" s="328"/>
    </row>
    <row r="28" spans="2:19" ht="11.25" customHeight="1">
      <c r="B28" s="679"/>
      <c r="C28" s="680"/>
      <c r="D28" s="688"/>
      <c r="E28" s="687"/>
      <c r="F28" s="687"/>
      <c r="G28" s="683"/>
      <c r="H28" s="683"/>
      <c r="I28" s="687"/>
      <c r="K28" s="332"/>
      <c r="L28" s="332"/>
      <c r="M28" s="334"/>
      <c r="N28" s="334"/>
      <c r="O28" s="334"/>
      <c r="P28" s="334"/>
      <c r="Q28" s="334"/>
      <c r="R28" s="334"/>
      <c r="S28" s="328"/>
    </row>
    <row r="29" spans="2:19" ht="11.25" customHeight="1">
      <c r="B29" s="679"/>
      <c r="C29" s="680"/>
      <c r="D29" s="688"/>
      <c r="E29" s="687"/>
      <c r="F29" s="687"/>
      <c r="G29" s="683"/>
      <c r="H29" s="683"/>
      <c r="I29" s="687"/>
      <c r="K29" s="332"/>
      <c r="L29" s="332"/>
      <c r="M29" s="334"/>
      <c r="N29" s="334"/>
      <c r="O29" s="334"/>
      <c r="P29" s="334"/>
      <c r="Q29" s="334"/>
      <c r="R29" s="334"/>
      <c r="S29" s="328"/>
    </row>
    <row r="30" spans="2:19" ht="11.25" customHeight="1">
      <c r="B30" s="679"/>
      <c r="C30" s="680"/>
      <c r="D30" s="688"/>
      <c r="E30" s="687"/>
      <c r="F30" s="687"/>
      <c r="G30" s="683"/>
      <c r="H30" s="683"/>
      <c r="I30" s="687"/>
      <c r="K30" s="332"/>
      <c r="L30" s="332"/>
      <c r="M30" s="334"/>
      <c r="N30" s="334"/>
      <c r="O30" s="334"/>
      <c r="P30" s="334"/>
      <c r="Q30" s="334"/>
      <c r="R30" s="334"/>
      <c r="S30" s="328"/>
    </row>
    <row r="31" spans="2:19" ht="11.25" customHeight="1">
      <c r="B31" s="679"/>
      <c r="C31" s="680"/>
      <c r="D31" s="688"/>
      <c r="E31" s="687"/>
      <c r="F31" s="687"/>
      <c r="G31" s="683"/>
      <c r="H31" s="683"/>
      <c r="I31" s="687"/>
    </row>
    <row r="32" spans="2:19" ht="11.25" customHeight="1">
      <c r="B32" s="679"/>
      <c r="C32" s="680"/>
      <c r="D32" s="688"/>
      <c r="E32" s="687"/>
      <c r="F32" s="687"/>
      <c r="G32" s="683"/>
      <c r="H32" s="683"/>
      <c r="I32" s="687"/>
      <c r="K32" s="433"/>
      <c r="L32" s="434"/>
      <c r="M32" s="434" t="str">
        <f>IF(A1=0,"","Bereitschaftsdienst ( Stunde = 100 % )")</f>
        <v>Bereitschaftsdienst ( Stunde = 100 % )</v>
      </c>
      <c r="N32" s="434"/>
      <c r="O32" s="434"/>
      <c r="P32" s="434"/>
      <c r="Q32" s="434"/>
      <c r="R32" s="435" t="str">
        <f>IF(A1=0,"","Anl G II § 46 Abs 4 BT-B")</f>
        <v>Anl G II § 46 Abs 4 BT-B</v>
      </c>
    </row>
    <row r="33" spans="1:18" ht="16.5">
      <c r="A33" s="328" t="s">
        <v>9</v>
      </c>
      <c r="B33" s="354" t="str">
        <f>B2</f>
        <v/>
      </c>
      <c r="C33" s="331"/>
      <c r="D33" s="349" t="s">
        <v>221</v>
      </c>
      <c r="E33" s="350">
        <v>0.2</v>
      </c>
      <c r="F33" s="350">
        <v>0.25</v>
      </c>
      <c r="G33" s="350">
        <v>0.35</v>
      </c>
      <c r="H33" s="350">
        <v>1.35</v>
      </c>
      <c r="I33" s="350">
        <v>0.35</v>
      </c>
      <c r="K33" s="436" t="str">
        <f>IF(Umse!$C$24=0,"",IF(Kalk!$B$5=4,'KrBe Tab'!A5,""))</f>
        <v/>
      </c>
      <c r="L33" s="437"/>
      <c r="M33" s="437" t="str">
        <f>IF(Umse!$C$24=0,"",IF(Kalk!$B$5=4,'KrBe Tab'!C5,""))</f>
        <v/>
      </c>
      <c r="N33" s="437" t="str">
        <f>IF(Umse!$C$24=0,"",IF(Kalk!$B$5=4,'KrBe Tab'!D5,""))</f>
        <v/>
      </c>
      <c r="O33" s="437" t="str">
        <f>IF(Umse!$C$24=0,"",IF(Kalk!$B$5=4,'KrBe Tab'!E5,""))</f>
        <v/>
      </c>
      <c r="P33" s="437" t="str">
        <f>IF(Umse!$C$24=0,"",IF(Kalk!$B$5=4,'KrBe Tab'!F5,""))</f>
        <v/>
      </c>
      <c r="Q33" s="437" t="str">
        <f>IF(Umse!$C$24=0,"",IF(Kalk!$B$5=4,'KrBe Tab'!G5,""))</f>
        <v/>
      </c>
      <c r="R33" s="437" t="str">
        <f>IF(Umse!$C$24=0,"",IF(Kalk!$B$5=4,'KrBe Tab'!H5,""))</f>
        <v/>
      </c>
    </row>
    <row r="34" spans="1:18" ht="11.25" customHeight="1">
      <c r="A34" s="328" t="str">
        <f>IF(O3="-","-",IF(O3="","",FIXED(ROUND(O3/$A$5,2),2)))</f>
        <v/>
      </c>
      <c r="B34" s="356" t="str">
        <f>B3</f>
        <v/>
      </c>
      <c r="C34" s="357" t="str">
        <f>C3</f>
        <v/>
      </c>
      <c r="D34" s="343" t="str">
        <f>IF(A34="","",ROUND(A34*0.15,2))</f>
        <v/>
      </c>
      <c r="E34" s="343" t="str">
        <f>IF(A34="","",ROUND(A34*$E$33,2))</f>
        <v/>
      </c>
      <c r="F34" s="343" t="str">
        <f>IF(A34="","",ROUND(A34*$F$33,2))</f>
        <v/>
      </c>
      <c r="G34" s="343" t="str">
        <f>IF(A34="","",ROUND(A34*$G$33,2))</f>
        <v/>
      </c>
      <c r="H34" s="343" t="str">
        <f>IF(A34="","",ROUND(A34*$H$33,2))</f>
        <v/>
      </c>
      <c r="I34" s="343" t="str">
        <f>IF(A34="","",ROUND(A34*$I$33,2))</f>
        <v/>
      </c>
      <c r="K34" s="437" t="str">
        <f>IF(Umse!$C$24=0,"",IF(Kalk!$B$5=4,'KrBe Tab'!A6,""))</f>
        <v/>
      </c>
      <c r="L34" s="531" t="str">
        <f>IF(Umse!$C$24=0,"",IF(Kalk!$B$5=4,'KrBe Tab'!B6,""))</f>
        <v/>
      </c>
      <c r="M34" s="432" t="str">
        <f>IF(Umse!$C$24=0,"",IF(Kalk!$B$5=4,'KrBe Tab'!C6,""))</f>
        <v/>
      </c>
      <c r="N34" s="439" t="str">
        <f>IF(Umse!$C$24=0,"",IF(Kalk!$B$5=4,'KrBe Tab'!D6,""))</f>
        <v/>
      </c>
      <c r="O34" s="439" t="str">
        <f>IF(Umse!$C$24=0,"",IF(Kalk!$B$5=4,'KrBe Tab'!E6,""))</f>
        <v/>
      </c>
      <c r="P34" s="439" t="str">
        <f>IF(Umse!$C$24=0,"",IF(Kalk!$B$5=4,'KrBe Tab'!F6,""))</f>
        <v/>
      </c>
      <c r="Q34" s="437"/>
      <c r="R34" s="437"/>
    </row>
    <row r="35" spans="1:18" ht="11.25" customHeight="1">
      <c r="A35" s="328" t="str">
        <f>IF(O4="-","-",IF(O4="","",FIXED(ROUND(O4/$A$5,2),2)))</f>
        <v/>
      </c>
      <c r="B35" s="356" t="str">
        <f t="shared" ref="B35:C45" si="9">B4</f>
        <v/>
      </c>
      <c r="C35" s="357" t="str">
        <f t="shared" si="9"/>
        <v/>
      </c>
      <c r="D35" s="343" t="str">
        <f>IF(A35="","",ROUND(A35*0.15,2))</f>
        <v/>
      </c>
      <c r="E35" s="343" t="str">
        <f t="shared" ref="E35:E45" si="10">IF(A35="","",ROUND(A35*$E$33,2))</f>
        <v/>
      </c>
      <c r="F35" s="343" t="str">
        <f t="shared" ref="F35:F45" si="11">IF(A35="","",ROUND(A35*$F$33,2))</f>
        <v/>
      </c>
      <c r="G35" s="343" t="str">
        <f t="shared" ref="G35:G45" si="12">IF(A35="","",ROUND(A35*$G$33,2))</f>
        <v/>
      </c>
      <c r="H35" s="343" t="str">
        <f t="shared" ref="H35:H45" si="13">IF(A35="","",ROUND(A35*$H$33,2))</f>
        <v/>
      </c>
      <c r="I35" s="343" t="str">
        <f t="shared" ref="I35:I45" si="14">IF(A35="","",ROUND(A35*$I$33,2))</f>
        <v/>
      </c>
      <c r="K35" s="437" t="str">
        <f>IF(Umse!$C$24=0,"",IF(Kalk!$B$5=4,'KrBe Tab'!A7,""))</f>
        <v/>
      </c>
      <c r="L35" s="531" t="str">
        <f>IF(Umse!$C$24=0,"",IF(Kalk!$B$5=4,'KrBe Tab'!B7,""))</f>
        <v/>
      </c>
      <c r="M35" s="432" t="str">
        <f>IF(Umse!$C$24=0,"",IF(Kalk!$B$5=4,'KrBe Tab'!C7,""))</f>
        <v/>
      </c>
      <c r="N35" s="439" t="str">
        <f>IF(Umse!$C$24=0,"",IF(Kalk!$B$5=4,'KrBe Tab'!D7,""))</f>
        <v/>
      </c>
      <c r="O35" s="437"/>
      <c r="P35" s="437"/>
      <c r="Q35" s="437"/>
      <c r="R35" s="437"/>
    </row>
    <row r="36" spans="1:18" ht="11.25" customHeight="1">
      <c r="A36" s="328" t="str">
        <f>IF(O5="-","-",IF(O5="","",FIXED(ROUND(O5/$A$5,2),2)))</f>
        <v/>
      </c>
      <c r="B36" s="356" t="str">
        <f t="shared" si="9"/>
        <v/>
      </c>
      <c r="C36" s="357" t="str">
        <f t="shared" si="9"/>
        <v/>
      </c>
      <c r="D36" s="343" t="str">
        <f>IF(A36="","",ROUND(A36*0.15,2))</f>
        <v/>
      </c>
      <c r="E36" s="343" t="str">
        <f t="shared" si="10"/>
        <v/>
      </c>
      <c r="F36" s="343" t="str">
        <f t="shared" si="11"/>
        <v/>
      </c>
      <c r="G36" s="343" t="str">
        <f t="shared" si="12"/>
        <v/>
      </c>
      <c r="H36" s="343" t="str">
        <f t="shared" si="13"/>
        <v/>
      </c>
      <c r="I36" s="343" t="str">
        <f t="shared" si="14"/>
        <v/>
      </c>
      <c r="K36" s="437" t="str">
        <f>IF(Umse!$C$24=0,"",IF(Kalk!$B$5=4,'KrBe Tab'!A8,""))</f>
        <v/>
      </c>
      <c r="L36" s="531" t="str">
        <f>IF(Umse!$C$24=0,"",IF(Kalk!$B$5=4,'KrBe Tab'!B8,""))</f>
        <v/>
      </c>
      <c r="M36" s="432" t="str">
        <f>IF(Umse!$C$24=0,"",IF(Kalk!$B$5=4,'KrBe Tab'!C8,""))</f>
        <v/>
      </c>
      <c r="N36" s="439" t="str">
        <f>IF(Umse!$C$24=0,"",IF(Kalk!$B$5=4,'KrBe Tab'!D8,""))</f>
        <v/>
      </c>
      <c r="O36" s="437"/>
      <c r="P36" s="437"/>
      <c r="Q36" s="437"/>
      <c r="R36" s="437"/>
    </row>
    <row r="37" spans="1:18" ht="11.25" customHeight="1">
      <c r="A37" s="328" t="str">
        <f t="shared" ref="A37:A45" si="15">IF(O6="-","-",IF(O6="","",FIXED(ROUND(O6/$A$5,2),2)))</f>
        <v/>
      </c>
      <c r="B37" s="356" t="str">
        <f t="shared" si="9"/>
        <v/>
      </c>
      <c r="C37" s="357" t="str">
        <f t="shared" si="9"/>
        <v/>
      </c>
      <c r="D37" s="343" t="str">
        <f>IF(A37="","",ROUND(A37*0.15,2))</f>
        <v/>
      </c>
      <c r="E37" s="343" t="str">
        <f t="shared" si="10"/>
        <v/>
      </c>
      <c r="F37" s="343" t="str">
        <f t="shared" si="11"/>
        <v/>
      </c>
      <c r="G37" s="343" t="str">
        <f t="shared" si="12"/>
        <v/>
      </c>
      <c r="H37" s="343" t="str">
        <f t="shared" si="13"/>
        <v/>
      </c>
      <c r="I37" s="343" t="str">
        <f t="shared" si="14"/>
        <v/>
      </c>
      <c r="K37" s="437" t="str">
        <f>IF(Umse!$C$24=0,"",IF(Kalk!$B$5=4,'KrBe Tab'!A9,""))</f>
        <v/>
      </c>
      <c r="L37" s="531" t="str">
        <f>IF(Umse!$C$24=0,"",IF(Kalk!$B$5=4,'KrBe Tab'!B9,""))</f>
        <v/>
      </c>
      <c r="M37" s="432" t="str">
        <f>IF(Umse!$C$24=0,"",IF(Kalk!$B$5=4,'KrBe Tab'!C9,""))</f>
        <v/>
      </c>
      <c r="N37" s="439" t="str">
        <f>IF(Umse!$C$24=0,"",IF(Kalk!$B$5=4,'KrBe Tab'!D9,""))</f>
        <v/>
      </c>
      <c r="O37" s="437"/>
      <c r="P37" s="437"/>
      <c r="Q37" s="437"/>
      <c r="R37" s="437"/>
    </row>
    <row r="38" spans="1:18" ht="11.25" customHeight="1">
      <c r="A38" s="328" t="str">
        <f t="shared" si="15"/>
        <v/>
      </c>
      <c r="B38" s="356" t="str">
        <f t="shared" si="9"/>
        <v/>
      </c>
      <c r="C38" s="357" t="str">
        <f t="shared" si="9"/>
        <v/>
      </c>
      <c r="D38" s="432" t="str">
        <f>IF(A38="","",ROUND(A38*0.15,2))</f>
        <v/>
      </c>
      <c r="E38" s="343" t="str">
        <f t="shared" si="10"/>
        <v/>
      </c>
      <c r="F38" s="343" t="str">
        <f t="shared" si="11"/>
        <v/>
      </c>
      <c r="G38" s="343" t="str">
        <f t="shared" si="12"/>
        <v/>
      </c>
      <c r="H38" s="343" t="str">
        <f t="shared" si="13"/>
        <v/>
      </c>
      <c r="I38" s="343" t="str">
        <f t="shared" si="14"/>
        <v/>
      </c>
      <c r="K38" s="437" t="str">
        <f>IF(Umse!$C$24=0,"",IF(Kalk!$B$5=4,'KrBe Tab'!A10,""))</f>
        <v/>
      </c>
      <c r="L38" s="531" t="str">
        <f>IF(Umse!$C$24=0,"",IF(Kalk!$B$5=4,'KrBe Tab'!B10,""))</f>
        <v/>
      </c>
      <c r="M38" s="432" t="str">
        <f>IF(Umse!$C$24=0,"",IF(Kalk!$B$5=4,'KrBe Tab'!C10,""))</f>
        <v/>
      </c>
      <c r="N38" s="439" t="str">
        <f>IF(Umse!$C$24=0,"",IF(Kalk!$B$5=4,'KrBe Tab'!D10,""))</f>
        <v/>
      </c>
      <c r="O38" s="437"/>
      <c r="P38" s="437"/>
      <c r="Q38" s="437"/>
      <c r="R38" s="437"/>
    </row>
    <row r="39" spans="1:18" ht="11.25" customHeight="1">
      <c r="A39" s="328" t="str">
        <f t="shared" si="15"/>
        <v/>
      </c>
      <c r="B39" s="356" t="str">
        <f t="shared" si="9"/>
        <v/>
      </c>
      <c r="C39" s="357" t="str">
        <f t="shared" si="9"/>
        <v/>
      </c>
      <c r="D39" s="343" t="str">
        <f t="shared" ref="D39:D45" si="16">IF(A39="","",ROUND(A39*0.3,2))</f>
        <v/>
      </c>
      <c r="E39" s="343" t="str">
        <f t="shared" si="10"/>
        <v/>
      </c>
      <c r="F39" s="343" t="str">
        <f t="shared" si="11"/>
        <v/>
      </c>
      <c r="G39" s="343" t="str">
        <f t="shared" si="12"/>
        <v/>
      </c>
      <c r="H39" s="343" t="str">
        <f t="shared" si="13"/>
        <v/>
      </c>
      <c r="I39" s="343" t="str">
        <f t="shared" si="14"/>
        <v/>
      </c>
      <c r="K39" s="437" t="str">
        <f>IF(Umse!$C$24=0,"",IF(Kalk!$B$5=4,'KrBe Tab'!A11,""))</f>
        <v/>
      </c>
      <c r="L39" s="531" t="str">
        <f>IF(Umse!$C$24=0,"",IF(Kalk!$B$5=4,'KrBe Tab'!B11,""))</f>
        <v/>
      </c>
      <c r="M39" s="432" t="str">
        <f>IF(Umse!$C$24=0,"",IF(Kalk!$B$5=4,'KrBe Tab'!C11,""))</f>
        <v/>
      </c>
      <c r="N39" s="439" t="str">
        <f>IF(Umse!$C$24=0,"",IF(Kalk!$B$5=4,'KrBe Tab'!D11,""))</f>
        <v/>
      </c>
      <c r="O39" s="437"/>
      <c r="P39" s="437"/>
      <c r="Q39" s="437"/>
      <c r="R39" s="437"/>
    </row>
    <row r="40" spans="1:18" ht="11.25" customHeight="1">
      <c r="A40" s="328" t="str">
        <f t="shared" si="15"/>
        <v/>
      </c>
      <c r="B40" s="356" t="str">
        <f t="shared" si="9"/>
        <v/>
      </c>
      <c r="C40" s="357" t="str">
        <f t="shared" si="9"/>
        <v/>
      </c>
      <c r="D40" s="343" t="str">
        <f t="shared" si="16"/>
        <v/>
      </c>
      <c r="E40" s="343" t="str">
        <f t="shared" si="10"/>
        <v/>
      </c>
      <c r="F40" s="343" t="str">
        <f t="shared" si="11"/>
        <v/>
      </c>
      <c r="G40" s="343" t="str">
        <f t="shared" si="12"/>
        <v/>
      </c>
      <c r="H40" s="343" t="str">
        <f t="shared" si="13"/>
        <v/>
      </c>
      <c r="I40" s="343" t="str">
        <f t="shared" si="14"/>
        <v/>
      </c>
      <c r="K40" s="437" t="str">
        <f>IF(Umse!$C$24=0,"",IF(Kalk!$B$5=4,'KrBe Tab'!A12,""))</f>
        <v/>
      </c>
      <c r="L40" s="531" t="str">
        <f>IF(Umse!$C$24=0,"",IF(Kalk!$B$5=4,'KrBe Tab'!B12,""))</f>
        <v/>
      </c>
      <c r="M40" s="432" t="str">
        <f>IF(Umse!$C$24=0,"",IF(Kalk!$B$5=4,'KrBe Tab'!C12,""))</f>
        <v/>
      </c>
      <c r="N40" s="439" t="str">
        <f>IF(Umse!$C$24=0,"",IF(Kalk!$B$5=4,'KrBe Tab'!D12,""))</f>
        <v/>
      </c>
      <c r="O40" s="437"/>
      <c r="P40" s="437"/>
      <c r="Q40" s="437"/>
      <c r="R40" s="437"/>
    </row>
    <row r="41" spans="1:18" ht="11.25" customHeight="1">
      <c r="A41" s="328" t="str">
        <f t="shared" si="15"/>
        <v/>
      </c>
      <c r="B41" s="356" t="str">
        <f t="shared" si="9"/>
        <v/>
      </c>
      <c r="C41" s="357" t="str">
        <f t="shared" si="9"/>
        <v/>
      </c>
      <c r="D41" s="343" t="str">
        <f t="shared" si="16"/>
        <v/>
      </c>
      <c r="E41" s="343" t="str">
        <f t="shared" si="10"/>
        <v/>
      </c>
      <c r="F41" s="343" t="str">
        <f t="shared" si="11"/>
        <v/>
      </c>
      <c r="G41" s="343" t="str">
        <f t="shared" si="12"/>
        <v/>
      </c>
      <c r="H41" s="343" t="str">
        <f t="shared" si="13"/>
        <v/>
      </c>
      <c r="I41" s="343" t="str">
        <f t="shared" si="14"/>
        <v/>
      </c>
      <c r="K41" s="437" t="str">
        <f>IF(Umse!$C$24=0,"",IF(Kalk!$B$5=4,'KrBe Tab'!A13,""))</f>
        <v/>
      </c>
      <c r="L41" s="531" t="str">
        <f>IF(Umse!$C$24=0,"",IF(Kalk!$B$5=4,'KrBe Tab'!B13,""))</f>
        <v/>
      </c>
      <c r="M41" s="432" t="str">
        <f>IF(Umse!$C$24=0,"",IF(Kalk!$B$5=4,'KrBe Tab'!C13,""))</f>
        <v/>
      </c>
      <c r="N41" s="439" t="str">
        <f>IF(Umse!$C$24=0,"",IF(Kalk!$B$5=4,'KrBe Tab'!D13,""))</f>
        <v/>
      </c>
      <c r="O41" s="437"/>
      <c r="P41" s="437"/>
      <c r="Q41" s="437"/>
      <c r="R41" s="437"/>
    </row>
    <row r="42" spans="1:18" ht="11.25" customHeight="1">
      <c r="A42" s="328" t="str">
        <f t="shared" si="15"/>
        <v/>
      </c>
      <c r="B42" s="356" t="str">
        <f t="shared" si="9"/>
        <v/>
      </c>
      <c r="C42" s="357" t="str">
        <f t="shared" si="9"/>
        <v/>
      </c>
      <c r="D42" s="343" t="str">
        <f t="shared" si="16"/>
        <v/>
      </c>
      <c r="E42" s="343" t="str">
        <f t="shared" si="10"/>
        <v/>
      </c>
      <c r="F42" s="343" t="str">
        <f t="shared" si="11"/>
        <v/>
      </c>
      <c r="G42" s="343" t="str">
        <f t="shared" si="12"/>
        <v/>
      </c>
      <c r="H42" s="343" t="str">
        <f t="shared" si="13"/>
        <v/>
      </c>
      <c r="I42" s="343" t="str">
        <f t="shared" si="14"/>
        <v/>
      </c>
      <c r="K42" s="437" t="str">
        <f>IF(Umse!$C$24=0,"",IF(Kalk!$B$5=4,'KrBe Tab'!A14,""))</f>
        <v/>
      </c>
      <c r="L42" s="531" t="str">
        <f>IF(Umse!$C$24=0,"",IF(Kalk!$B$5=4,'KrBe Tab'!B14,""))</f>
        <v/>
      </c>
      <c r="M42" s="432" t="str">
        <f>IF(Umse!$C$24=0,"",IF(Kalk!$B$5=4,'KrBe Tab'!C14,""))</f>
        <v/>
      </c>
      <c r="N42" s="439" t="str">
        <f>IF(Umse!$C$24=0,"",IF(Kalk!$B$5=4,'KrBe Tab'!D14,""))</f>
        <v/>
      </c>
      <c r="O42" s="437"/>
      <c r="P42" s="437"/>
      <c r="Q42" s="437"/>
      <c r="R42" s="437"/>
    </row>
    <row r="43" spans="1:18" ht="11.25" customHeight="1">
      <c r="A43" s="328" t="str">
        <f t="shared" si="15"/>
        <v/>
      </c>
      <c r="B43" s="356" t="str">
        <f t="shared" si="9"/>
        <v/>
      </c>
      <c r="C43" s="357" t="str">
        <f t="shared" si="9"/>
        <v/>
      </c>
      <c r="D43" s="343" t="str">
        <f t="shared" si="16"/>
        <v/>
      </c>
      <c r="E43" s="343" t="str">
        <f t="shared" si="10"/>
        <v/>
      </c>
      <c r="F43" s="343" t="str">
        <f t="shared" si="11"/>
        <v/>
      </c>
      <c r="G43" s="343" t="str">
        <f t="shared" si="12"/>
        <v/>
      </c>
      <c r="H43" s="343" t="str">
        <f t="shared" si="13"/>
        <v/>
      </c>
      <c r="I43" s="343" t="str">
        <f t="shared" si="14"/>
        <v/>
      </c>
      <c r="K43" s="437" t="str">
        <f>IF(Umse!$C$24=0,"",IF(Kalk!$B$5=4,'KrBe Tab'!A15,""))</f>
        <v/>
      </c>
      <c r="L43" s="531" t="str">
        <f>IF(Umse!$C$24=0,"",IF(Kalk!$B$5=4,'KrBe Tab'!B15,""))</f>
        <v/>
      </c>
      <c r="M43" s="432" t="str">
        <f>IF(Umse!$C$24=0,"",IF(Kalk!$B$5=4,'KrBe Tab'!C15,""))</f>
        <v/>
      </c>
      <c r="N43" s="439" t="str">
        <f>IF(Umse!$C$24=0,"",IF(Kalk!$B$5=4,'KrBe Tab'!D15,""))</f>
        <v/>
      </c>
      <c r="O43" s="437"/>
      <c r="P43" s="437"/>
      <c r="Q43" s="437"/>
      <c r="R43" s="437"/>
    </row>
    <row r="44" spans="1:18" ht="11.25" customHeight="1">
      <c r="A44" s="328" t="str">
        <f t="shared" si="15"/>
        <v/>
      </c>
      <c r="B44" s="356" t="str">
        <f t="shared" si="9"/>
        <v/>
      </c>
      <c r="C44" s="357" t="str">
        <f t="shared" si="9"/>
        <v/>
      </c>
      <c r="D44" s="343" t="str">
        <f t="shared" si="16"/>
        <v/>
      </c>
      <c r="E44" s="343" t="str">
        <f t="shared" si="10"/>
        <v/>
      </c>
      <c r="F44" s="343" t="str">
        <f t="shared" si="11"/>
        <v/>
      </c>
      <c r="G44" s="343" t="str">
        <f t="shared" si="12"/>
        <v/>
      </c>
      <c r="H44" s="343" t="str">
        <f t="shared" si="13"/>
        <v/>
      </c>
      <c r="I44" s="343" t="str">
        <f t="shared" si="14"/>
        <v/>
      </c>
      <c r="K44" s="437" t="str">
        <f>IF(Umse!$C$24=0,"",IF(Kalk!$B$5=4,'KrBe Tab'!A16,""))</f>
        <v/>
      </c>
      <c r="L44" s="531" t="str">
        <f>IF(Umse!$C$24=0,"",IF(Kalk!$B$5=4,'KrBe Tab'!B16,""))</f>
        <v/>
      </c>
      <c r="M44" s="432" t="str">
        <f>IF(Umse!$C$24=0,"",IF(Kalk!$B$5=4,'KrBe Tab'!C16,""))</f>
        <v/>
      </c>
      <c r="N44" s="439" t="str">
        <f>IF(Umse!$C$24=0,"",IF(Kalk!$B$5=4,'KrBe Tab'!D16,""))</f>
        <v/>
      </c>
      <c r="O44" s="437"/>
      <c r="P44" s="437"/>
      <c r="Q44" s="437"/>
      <c r="R44" s="437"/>
    </row>
    <row r="45" spans="1:18" ht="11.25" customHeight="1">
      <c r="A45" s="328" t="str">
        <f t="shared" si="15"/>
        <v/>
      </c>
      <c r="B45" s="356" t="str">
        <f t="shared" si="9"/>
        <v/>
      </c>
      <c r="C45" s="357" t="str">
        <f t="shared" si="9"/>
        <v/>
      </c>
      <c r="D45" s="343" t="str">
        <f t="shared" si="16"/>
        <v/>
      </c>
      <c r="E45" s="343" t="str">
        <f t="shared" si="10"/>
        <v/>
      </c>
      <c r="F45" s="343" t="str">
        <f t="shared" si="11"/>
        <v/>
      </c>
      <c r="G45" s="343" t="str">
        <f t="shared" si="12"/>
        <v/>
      </c>
      <c r="H45" s="343" t="str">
        <f t="shared" si="13"/>
        <v/>
      </c>
      <c r="I45" s="343" t="str">
        <f t="shared" si="14"/>
        <v/>
      </c>
      <c r="K45" s="437" t="str">
        <f>IF(Umse!$C$24=0,"",IF(Kalk!$B$5=4,'KrBe Tab'!A17,""))</f>
        <v/>
      </c>
      <c r="L45" s="531" t="str">
        <f>IF(Umse!$C$24=0,"",IF(Kalk!$B$5=4,'KrBe Tab'!B17,""))</f>
        <v/>
      </c>
      <c r="M45" s="432" t="str">
        <f>IF(Umse!$C$24=0,"",IF(Kalk!$B$5=4,'KrBe Tab'!C17,""))</f>
        <v/>
      </c>
      <c r="N45" s="439" t="str">
        <f>IF(Umse!$C$24=0,"",IF(Kalk!$B$5=4,'KrBe Tab'!D17,""))</f>
        <v/>
      </c>
      <c r="O45" s="437"/>
      <c r="P45" s="437"/>
      <c r="Q45" s="437"/>
      <c r="R45" s="437"/>
    </row>
    <row r="46" spans="1:18" ht="11.25" customHeight="1">
      <c r="B46" s="356"/>
      <c r="C46" s="356"/>
      <c r="D46" s="343"/>
      <c r="E46" s="343"/>
      <c r="F46" s="343"/>
      <c r="G46" s="343"/>
      <c r="H46" s="343"/>
      <c r="I46" s="343"/>
      <c r="K46" s="437" t="str">
        <f>IF(Umse!$C$24=0,"",IF(Kalk!$B$5=4,'KrBe Tab'!A18,""))</f>
        <v/>
      </c>
      <c r="L46" s="438" t="str">
        <f>IF(Umse!$C$24=0,"",IF(Kalk!$B$5=4,'KrBe Tab'!B18,""))</f>
        <v/>
      </c>
      <c r="M46" s="432" t="str">
        <f>IF(Umse!$C$24=0,"",IF(Kalk!$B$5=4,'KrBe Tab'!C18,""))</f>
        <v/>
      </c>
      <c r="N46" s="439" t="str">
        <f>IF(Umse!$C$24=0,"",IF(Kalk!$B$5=4,'KrBe Tab'!D18,""))</f>
        <v/>
      </c>
      <c r="O46" s="437"/>
      <c r="P46" s="432"/>
      <c r="Q46" s="432"/>
      <c r="R46" s="432"/>
    </row>
    <row r="47" spans="1:18" ht="11.25" customHeight="1">
      <c r="B47" s="356"/>
      <c r="C47" s="356"/>
      <c r="D47" s="343"/>
      <c r="E47" s="343"/>
      <c r="F47" s="343"/>
      <c r="G47" s="343"/>
      <c r="H47" s="343"/>
      <c r="I47" s="343"/>
      <c r="K47" s="437" t="str">
        <f>IF(Umse!$C$24=0,"",IF(Kalk!$B$5=4,'KrBe Tab'!A19,""))</f>
        <v/>
      </c>
      <c r="L47" s="438" t="str">
        <f>IF(Umse!$C$24=0,"",IF(Kalk!$B$5=4,'KrBe Tab'!B19,""))</f>
        <v/>
      </c>
      <c r="M47" s="432" t="str">
        <f>IF(Umse!$C$24=0,"",IF(Kalk!$B$5=4,'KrBe Tab'!C19,""))</f>
        <v/>
      </c>
      <c r="N47" s="439" t="str">
        <f>IF(Umse!$C$24=0,"",IF(Kalk!$B$5=4,'KrBe Tab'!D19,""))</f>
        <v/>
      </c>
      <c r="O47" s="437"/>
      <c r="P47" s="432"/>
      <c r="Q47" s="432"/>
      <c r="R47" s="432"/>
    </row>
    <row r="48" spans="1:18">
      <c r="B48" s="332"/>
      <c r="C48" s="332"/>
      <c r="D48" s="343"/>
      <c r="E48" s="343"/>
      <c r="F48" s="343"/>
      <c r="G48" s="343"/>
      <c r="H48" s="343"/>
      <c r="I48" s="343"/>
      <c r="K48" s="356"/>
      <c r="L48" s="356"/>
      <c r="M48" s="360"/>
      <c r="N48" s="343"/>
      <c r="O48" s="360"/>
      <c r="P48" s="343"/>
      <c r="Q48" s="343"/>
      <c r="R48" s="343"/>
    </row>
    <row r="49" spans="2:18">
      <c r="B49" s="332"/>
      <c r="C49" s="332"/>
      <c r="D49" s="343"/>
      <c r="E49" s="343"/>
      <c r="F49" s="343"/>
      <c r="G49" s="343"/>
      <c r="H49" s="343"/>
      <c r="I49" s="343"/>
      <c r="K49" s="356"/>
      <c r="L49" s="356"/>
      <c r="M49" s="360"/>
      <c r="N49" s="343"/>
      <c r="O49" s="360"/>
      <c r="P49" s="343"/>
      <c r="Q49" s="343"/>
      <c r="R49" s="343"/>
    </row>
    <row r="50" spans="2:18">
      <c r="B50" s="332"/>
      <c r="C50" s="332"/>
      <c r="D50" s="343"/>
      <c r="E50" s="343"/>
      <c r="F50" s="343"/>
      <c r="G50" s="343"/>
      <c r="H50" s="343"/>
      <c r="I50" s="343"/>
      <c r="K50" s="356"/>
      <c r="L50" s="356"/>
      <c r="M50" s="360"/>
      <c r="N50" s="343"/>
      <c r="O50" s="360"/>
      <c r="P50" s="343"/>
      <c r="Q50" s="343"/>
      <c r="R50" s="343"/>
    </row>
    <row r="51" spans="2:18">
      <c r="K51" s="356"/>
      <c r="L51" s="356"/>
      <c r="N51" s="343"/>
      <c r="P51" s="343"/>
      <c r="Q51" s="343"/>
      <c r="R51" s="343"/>
    </row>
    <row r="53" spans="2:18">
      <c r="B53" s="364"/>
      <c r="C53" s="364"/>
    </row>
  </sheetData>
  <mergeCells count="7">
    <mergeCell ref="I23:I32"/>
    <mergeCell ref="G23:G32"/>
    <mergeCell ref="B23:C32"/>
    <mergeCell ref="H23:H32"/>
    <mergeCell ref="D23:D32"/>
    <mergeCell ref="E23:E32"/>
    <mergeCell ref="F23:F32"/>
  </mergeCells>
  <printOptions horizontalCentered="1" verticalCentered="1"/>
  <pageMargins left="0.19685039370078741" right="0.19685039370078741" top="0.19685039370078741" bottom="0.19685039370078741" header="0.51181102362204722" footer="0.51181102362204722"/>
  <pageSetup paperSize="9" scale="8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theme="9" tint="-0.249977111117893"/>
    <pageSetUpPr autoPageBreaks="0"/>
  </sheetPr>
  <dimension ref="A1:AC93"/>
  <sheetViews>
    <sheetView showZeros="0" showOutlineSymbols="0" topLeftCell="A19" zoomScaleNormal="50" zoomScaleSheetLayoutView="50" workbookViewId="0">
      <selection activeCell="J55" sqref="J55"/>
    </sheetView>
  </sheetViews>
  <sheetFormatPr baseColWidth="10" defaultColWidth="10.7109375" defaultRowHeight="11.25" customHeight="1"/>
  <cols>
    <col min="1" max="1" width="10.7109375" style="287" customWidth="1"/>
    <col min="2" max="3" width="6.42578125" style="287" customWidth="1"/>
    <col min="4" max="9" width="10.7109375" style="287" customWidth="1"/>
    <col min="10" max="10" width="17.85546875" style="287" customWidth="1"/>
    <col min="11" max="12" width="6.42578125" style="287" customWidth="1"/>
    <col min="13" max="16384" width="10.7109375" style="287"/>
  </cols>
  <sheetData>
    <row r="1" spans="1:26" ht="11.25" customHeight="1">
      <c r="A1" s="287" t="str">
        <f>Umse!B11</f>
        <v>1.2.</v>
      </c>
    </row>
    <row r="2" spans="1:26" ht="15" customHeight="1">
      <c r="B2" s="663"/>
      <c r="C2" s="664"/>
      <c r="D2" s="664"/>
      <c r="E2" s="664"/>
      <c r="F2" s="664"/>
      <c r="G2" s="664"/>
      <c r="H2" s="664"/>
      <c r="I2" s="664"/>
      <c r="J2" s="664"/>
      <c r="K2" s="664"/>
      <c r="L2" s="664"/>
      <c r="M2" s="664"/>
      <c r="N2" s="664"/>
      <c r="O2" s="665"/>
      <c r="P2" s="665"/>
      <c r="Q2" s="288"/>
      <c r="R2" s="289"/>
    </row>
    <row r="3" spans="1:26" ht="3.75" customHeight="1"/>
    <row r="4" spans="1:26" ht="13.5" customHeight="1">
      <c r="D4" s="290"/>
      <c r="E4" s="291"/>
      <c r="H4" s="291"/>
      <c r="K4" s="666"/>
      <c r="L4" s="666"/>
      <c r="M4" s="666"/>
      <c r="N4" s="666"/>
      <c r="O4" s="666"/>
      <c r="P4" s="666"/>
    </row>
    <row r="5" spans="1:26" ht="13.5" customHeight="1">
      <c r="B5" s="292"/>
      <c r="C5" s="292"/>
      <c r="D5" s="293"/>
      <c r="E5" s="292"/>
      <c r="F5" s="667"/>
      <c r="G5" s="667"/>
      <c r="H5" s="293"/>
      <c r="I5" s="295"/>
      <c r="J5" s="296"/>
      <c r="K5" s="666"/>
      <c r="L5" s="666"/>
      <c r="M5" s="666"/>
      <c r="N5" s="666"/>
      <c r="O5" s="666"/>
      <c r="P5" s="666"/>
    </row>
    <row r="6" spans="1:26" ht="13.5" customHeight="1">
      <c r="I6" s="297"/>
      <c r="J6" s="298"/>
      <c r="K6" s="666"/>
      <c r="L6" s="666"/>
      <c r="M6" s="666"/>
      <c r="N6" s="666"/>
      <c r="O6" s="666"/>
      <c r="P6" s="666"/>
    </row>
    <row r="7" spans="1:26" s="299" customFormat="1" ht="3.75" customHeight="1">
      <c r="B7" s="300"/>
      <c r="C7" s="300"/>
      <c r="D7" s="301"/>
      <c r="E7" s="301"/>
      <c r="F7" s="301"/>
      <c r="G7" s="301"/>
      <c r="H7" s="301"/>
      <c r="I7" s="301"/>
      <c r="K7" s="302"/>
      <c r="L7" s="302"/>
      <c r="M7" s="303"/>
      <c r="N7" s="303"/>
      <c r="O7" s="303"/>
      <c r="P7" s="303"/>
      <c r="Q7" s="303"/>
      <c r="R7" s="303"/>
      <c r="U7" s="304"/>
      <c r="V7" s="304"/>
      <c r="W7" s="304"/>
      <c r="X7" s="304"/>
      <c r="Y7" s="304"/>
      <c r="Z7" s="304"/>
    </row>
    <row r="8" spans="1:26" s="299" customFormat="1" ht="3.75" customHeight="1">
      <c r="B8" s="301"/>
      <c r="C8" s="301"/>
      <c r="D8" s="301"/>
      <c r="E8" s="301"/>
      <c r="F8" s="301"/>
      <c r="G8" s="301"/>
      <c r="H8" s="301"/>
      <c r="I8" s="301"/>
      <c r="J8" s="305"/>
      <c r="K8" s="303"/>
      <c r="L8" s="303"/>
      <c r="M8" s="303"/>
      <c r="N8" s="303"/>
      <c r="O8" s="303"/>
      <c r="P8" s="303"/>
      <c r="Q8" s="303"/>
      <c r="R8" s="303"/>
      <c r="U8" s="304"/>
      <c r="V8" s="304"/>
      <c r="W8" s="304"/>
      <c r="X8" s="304"/>
      <c r="Y8" s="304"/>
      <c r="Z8" s="304"/>
    </row>
    <row r="9" spans="1:26" s="299" customFormat="1" ht="3.75" customHeight="1">
      <c r="B9" s="301"/>
      <c r="C9" s="301"/>
      <c r="D9" s="301"/>
      <c r="E9" s="301"/>
      <c r="F9" s="301"/>
      <c r="G9" s="301"/>
      <c r="H9" s="301"/>
      <c r="I9" s="301"/>
      <c r="J9" s="305"/>
      <c r="K9" s="303"/>
      <c r="L9" s="303"/>
      <c r="M9" s="303"/>
      <c r="N9" s="303"/>
      <c r="O9" s="303"/>
      <c r="P9" s="303"/>
      <c r="Q9" s="303"/>
      <c r="R9" s="303"/>
      <c r="U9" s="304"/>
      <c r="V9" s="304"/>
      <c r="W9" s="304"/>
      <c r="X9" s="304"/>
      <c r="Y9" s="304"/>
      <c r="Z9" s="304"/>
    </row>
    <row r="10" spans="1:26" ht="12.75" customHeight="1">
      <c r="B10" s="669" t="str">
        <f>K10</f>
        <v/>
      </c>
      <c r="C10" s="670"/>
      <c r="D10" s="670"/>
      <c r="E10" s="673" t="str">
        <f>IF(OR($A$1="6.1.",$A$1="6.2.",$A$1="6.3.",$A$1="6.4.",$A$1="6.5.",$A$1="6.6."),'LKr Ist'!D1,"")</f>
        <v/>
      </c>
      <c r="F10" s="673"/>
      <c r="G10" s="673"/>
      <c r="H10" s="661" t="str">
        <f>IF(OR($A$1="6.1.",$A$1="6.2.",$A$1="6.3.",$A$1="6.4.",$A$1="6.5.",$A$1="6.6."),Umse!B62,"")</f>
        <v/>
      </c>
      <c r="I10" s="662"/>
      <c r="J10" s="294"/>
      <c r="K10" s="669" t="str">
        <f>IF(OR($A$1="6.1.",$A$1="6.2.",$A$1="6.3.",$A$1="6.4.",$A$1="6.5.",$A$1="6.6."),'LKr Ist'!A2,"")</f>
        <v/>
      </c>
      <c r="L10" s="670"/>
      <c r="M10" s="670"/>
      <c r="N10" s="673" t="str">
        <f>IF(OR($A$1="6.1.",$A$1="6.2.",$A$1="6.3.",$A$1="6.4.",$A$1="6.5.",$A$1="6.6."),'LKr Ist'!M1&amp;" "&amp;'LKr Ist'!Q1,"")</f>
        <v/>
      </c>
      <c r="O10" s="673"/>
      <c r="P10" s="673"/>
      <c r="Q10" s="661" t="str">
        <f>IF(OR($A$1="6.1.",$A$1="6.2.",$A$1="6.3.",$A$1="6.4.",$A$1="6.5.",$A$1="6.6."),Umse!B36,"")</f>
        <v/>
      </c>
      <c r="R10" s="662"/>
    </row>
    <row r="11" spans="1:26" ht="22.5" customHeight="1">
      <c r="B11" s="302" t="str">
        <f>K11</f>
        <v/>
      </c>
      <c r="C11" s="306"/>
      <c r="D11" s="306" t="str">
        <f t="shared" ref="D11:I11" si="0">M11</f>
        <v/>
      </c>
      <c r="E11" s="306" t="str">
        <f t="shared" si="0"/>
        <v/>
      </c>
      <c r="F11" s="306" t="str">
        <f t="shared" si="0"/>
        <v/>
      </c>
      <c r="G11" s="306" t="str">
        <f t="shared" si="0"/>
        <v/>
      </c>
      <c r="H11" s="306" t="str">
        <f t="shared" si="0"/>
        <v/>
      </c>
      <c r="I11" s="306" t="str">
        <f t="shared" si="0"/>
        <v/>
      </c>
      <c r="J11" s="307" t="str">
        <f>""</f>
        <v/>
      </c>
      <c r="K11" s="302" t="str">
        <f>IF(OR(Umse!$C$24=0,$A$1=0),"",IF(OR($A$1="6.1.",$A$1="6.2.",$A$1="6.3.",$A$1="6.4.",$A$1="6.5.",$A$1="6.6."),'LKr Ist'!K2,""))</f>
        <v/>
      </c>
      <c r="L11" s="306"/>
      <c r="M11" s="306" t="str">
        <f>IF(OR(Umse!$C$24=0,$A$1=0),"",IF(OR($A$1="6.1.",$A$1="6.2.",$A$1="6.3.",$A$1="6.4.",$A$1="6.5.",$A$1="6.6."),'LKr Ist'!M2,""))</f>
        <v/>
      </c>
      <c r="N11" s="306" t="str">
        <f>IF(OR(Umse!$C$24=0,$A$1=0),"",IF(OR($A$1="6.1.",$A$1="6.2.",$A$1="6.3.",$A$1="6.4.",$A$1="6.5.",$A$1="6.6."),'LKr Ist'!N2,""))</f>
        <v/>
      </c>
      <c r="O11" s="306" t="str">
        <f>IF(OR(Umse!$C$24=0,$A$1=0),"",IF(OR($A$1="6.1.",$A$1="6.2.",$A$1="6.3.",$A$1="6.4.",$A$1="6.5.",$A$1="6.6."),'LKr Ist'!O2,""))</f>
        <v/>
      </c>
      <c r="P11" s="306" t="str">
        <f>IF(OR(Umse!$C$24=0,$A$1=0),"",IF(OR($A$1="6.1.",$A$1="6.2.",$A$1="6.3.",$A$1="6.4.",$A$1="6.5.",$A$1="6.6."),'LKr Ist'!P2,""))</f>
        <v/>
      </c>
      <c r="Q11" s="306" t="str">
        <f>IF(OR(Umse!$C$24=0,$A$1=0),"",IF(OR($A$1="6.1.",$A$1="6.2.",$A$1="6.3.",$A$1="6.4.",$A$1="6.5.",$A$1="6.6."),'LKr Ist'!Q2,""))</f>
        <v/>
      </c>
      <c r="R11" s="306" t="str">
        <f>IF(OR(Umse!$C$24=0,$A$1=0),"",IF(OR($A$1="6.1.",$A$1="6.2.",$A$1="6.3.",$A$1="6.4.",$A$1="6.5.",$A$1="6.6."),'LKr Ist'!R2,""))</f>
        <v/>
      </c>
    </row>
    <row r="12" spans="1:26" ht="11.25" customHeight="1">
      <c r="B12" s="306" t="str">
        <f t="shared" ref="B12:C23" si="1">K12</f>
        <v/>
      </c>
      <c r="C12" s="322" t="str">
        <f t="shared" si="1"/>
        <v/>
      </c>
      <c r="D12" s="308">
        <f>IF(OR(Umse!$C$24=0,$A$1=0),0,IF(OR($A$1="6.1.",$A$1="6.2.",$A$1="6.3.",$A$1="6.4.",$A$1="6.5.",$A$1="6.6."),'LKr Ist'!D3,0))</f>
        <v>0</v>
      </c>
      <c r="E12" s="308">
        <f>IF(OR(Umse!$C$24=0,$A$1=0),0,IF(OR($A$1="6.1.",$A$1="6.2.",$A$1="6.3.",$A$1="6.4.",$A$1="6.5.",$A$1="6.6."),'LKr Ist'!E3,0))</f>
        <v>0</v>
      </c>
      <c r="F12" s="308">
        <f>IF(OR(Umse!$C$24=0,$A$1=0),0,IF(OR($A$1="6.1.",$A$1="6.2.",$A$1="6.3.",$A$1="6.4.",$A$1="6.5.",$A$1="6.6."),'LKr Ist'!F3,0))</f>
        <v>0</v>
      </c>
      <c r="G12" s="308">
        <f>IF(OR(Umse!$C$24=0,$A$1=0),0,IF(OR($A$1="6.1.",$A$1="6.2.",$A$1="6.3.",$A$1="6.4.",$A$1="6.5.",$A$1="6.6."),'LKr Ist'!G3,0))</f>
        <v>0</v>
      </c>
      <c r="H12" s="308">
        <f>IF(OR(Umse!$C$24=0,$A$1=0),0,IF(OR($A$1="6.1.",$A$1="6.2.",$A$1="6.3.",$A$1="6.4.",$A$1="6.5.",$A$1="6.6."),'LKr Ist'!H3,0))</f>
        <v>0</v>
      </c>
      <c r="I12" s="308">
        <f>IF(OR(Umse!$C$24=0,$A$1=0),0,IF(OR($A$1="6.1.",$A$1="6.2.",$A$1="6.3.",$A$1="6.4.",$A$1="6.5.",$A$1="6.6."),'LKr Ist'!I3,0))</f>
        <v>0</v>
      </c>
      <c r="J12" s="307" t="str">
        <f>""</f>
        <v/>
      </c>
      <c r="K12" s="306" t="str">
        <f>IF(OR(Umse!$C$24=0,$A$1=0),"",IF(OR($A$1="6.1.",$A$1="6.2.",$A$1="6.3.",$A$1="6.4.",$A$1="6.5.",$A$1="6.6."),'LKr Ist'!K3,""))</f>
        <v/>
      </c>
      <c r="L12" s="322" t="str">
        <f>IF(OR(Umse!$C$24=0,$A$1=0),"",IF(OR($A$1="6.1.",$A$1="6.2.",$A$1="6.3.",$A$1="6.4.",$A$1="6.5.",$A$1="6.6."),'LKr Ist'!L3,""))</f>
        <v/>
      </c>
      <c r="M12" s="308">
        <f>IF(OR(Umse!$C$24=0,$A$1=0),0,IF(OR($A$1="6.1.",$A$1="6.2.",$A$1="6.3.",$A$1="6.4.",$A$1="6.5.",$A$1="6.6."),'LKr Ist'!M3,0))</f>
        <v>0</v>
      </c>
      <c r="N12" s="308">
        <f>IF(OR(Umse!$C$24=0,$A$1=0),0,IF(OR($A$1="6.1.",$A$1="6.2.",$A$1="6.3.",$A$1="6.4.",$A$1="6.5.",$A$1="6.6."),'LKr Ist'!N3,0))</f>
        <v>0</v>
      </c>
      <c r="O12" s="308">
        <f>IF(OR(Umse!$C$24=0,$A$1=0),0,IF(OR($A$1="6.1.",$A$1="6.2.",$A$1="6.3.",$A$1="6.4.",$A$1="6.5.",$A$1="6.6."),'LKr Ist'!O3,0))</f>
        <v>0</v>
      </c>
      <c r="P12" s="308">
        <f>IF(OR(Umse!$C$24=0,$A$1=0),0,IF(OR($A$1="6.1.",$A$1="6.2.",$A$1="6.3.",$A$1="6.4.",$A$1="6.5.",$A$1="6.6."),'LKr Ist'!P3,0))</f>
        <v>0</v>
      </c>
      <c r="Q12" s="308">
        <f>IF(OR(Umse!$C$24=0,$A$1=0),0,IF(OR($A$1="6.1.",$A$1="6.2.",$A$1="6.3.",$A$1="6.4.",$A$1="6.5.",$A$1="6.6."),'LKr Ist'!Q3,0))</f>
        <v>0</v>
      </c>
      <c r="R12" s="308">
        <f>IF(OR(Umse!$C$24=0,$A$1=0),0,IF(OR($A$1="6.1.",$A$1="6.2.",$A$1="6.3.",$A$1="6.4.",$A$1="6.5.",$A$1="6.6."),'LKr Ist'!R3,0))</f>
        <v>0</v>
      </c>
    </row>
    <row r="13" spans="1:26" ht="11.25" customHeight="1">
      <c r="B13" s="306" t="str">
        <f t="shared" si="1"/>
        <v/>
      </c>
      <c r="C13" s="322" t="str">
        <f t="shared" si="1"/>
        <v/>
      </c>
      <c r="D13" s="308">
        <f>IF(OR(Umse!$C$24=0,$A$1=0),0,IF(OR($A$1="6.1.",$A$1="6.2.",$A$1="6.3.",$A$1="6.4.",$A$1="6.5.",$A$1="6.6."),'LKr Ist'!D4,0))</f>
        <v>0</v>
      </c>
      <c r="E13" s="308">
        <f>IF(OR(Umse!$C$24=0,$A$1=0),0,IF(OR($A$1="6.1.",$A$1="6.2.",$A$1="6.3.",$A$1="6.4.",$A$1="6.5.",$A$1="6.6."),'LKr Ist'!E4,0))</f>
        <v>0</v>
      </c>
      <c r="F13" s="308">
        <f>IF(OR(Umse!$C$24=0,$A$1=0),0,IF(OR($A$1="6.1.",$A$1="6.2.",$A$1="6.3.",$A$1="6.4.",$A$1="6.5.",$A$1="6.6."),'LKr Ist'!F4,0))</f>
        <v>0</v>
      </c>
      <c r="G13" s="308">
        <f>IF(OR(Umse!$C$24=0,$A$1=0),0,IF(OR($A$1="6.1.",$A$1="6.2.",$A$1="6.3.",$A$1="6.4.",$A$1="6.5.",$A$1="6.6."),'LKr Ist'!G4,0))</f>
        <v>0</v>
      </c>
      <c r="H13" s="308">
        <f>IF(OR(Umse!$C$24=0,$A$1=0),0,IF(OR($A$1="6.1.",$A$1="6.2.",$A$1="6.3.",$A$1="6.4.",$A$1="6.5.",$A$1="6.6."),'LKr Ist'!H4,0))</f>
        <v>0</v>
      </c>
      <c r="I13" s="308">
        <f>IF(OR(Umse!$C$24=0,$A$1=0),0,IF(OR($A$1="6.1.",$A$1="6.2.",$A$1="6.3.",$A$1="6.4.",$A$1="6.5.",$A$1="6.6."),'LKr Ist'!I4,0))</f>
        <v>0</v>
      </c>
      <c r="J13" s="307" t="str">
        <f>""</f>
        <v/>
      </c>
      <c r="K13" s="306" t="str">
        <f>IF(OR(Umse!$C$24=0,$A$1=0),"",IF(OR($A$1="6.1.",$A$1="6.2.",$A$1="6.3.",$A$1="6.4.",$A$1="6.5.",$A$1="6.6."),'LKr Ist'!K4,""))</f>
        <v/>
      </c>
      <c r="L13" s="322" t="str">
        <f>IF(OR(Umse!$C$24=0,$A$1=0),"",IF(OR($A$1="6.1.",$A$1="6.2.",$A$1="6.3.",$A$1="6.4.",$A$1="6.5.",$A$1="6.6."),'LKr Ist'!L4,""))</f>
        <v/>
      </c>
      <c r="M13" s="308">
        <f>IF(OR(Umse!$C$24=0,$A$1=0),0,IF(OR($A$1="6.1.",$A$1="6.2.",$A$1="6.3.",$A$1="6.4.",$A$1="6.5.",$A$1="6.6."),'LKr Ist'!M4,0))</f>
        <v>0</v>
      </c>
      <c r="N13" s="308">
        <f>IF(OR(Umse!$C$24=0,$A$1=0),0,IF(OR($A$1="6.1.",$A$1="6.2.",$A$1="6.3.",$A$1="6.4.",$A$1="6.5.",$A$1="6.6."),'LKr Ist'!N4,0))</f>
        <v>0</v>
      </c>
      <c r="O13" s="308">
        <f>IF(OR(Umse!$C$24=0,$A$1=0),0,IF(OR($A$1="6.1.",$A$1="6.2.",$A$1="6.3.",$A$1="6.4.",$A$1="6.5.",$A$1="6.6."),'LKr Ist'!O4,0))</f>
        <v>0</v>
      </c>
      <c r="P13" s="308">
        <f>IF(OR(Umse!$C$24=0,$A$1=0),0,IF(OR($A$1="6.1.",$A$1="6.2.",$A$1="6.3.",$A$1="6.4.",$A$1="6.5.",$A$1="6.6."),'LKr Ist'!P4,0))</f>
        <v>0</v>
      </c>
      <c r="Q13" s="308">
        <f>IF(OR(Umse!$C$24=0,$A$1=0),0,IF(OR($A$1="6.1.",$A$1="6.2.",$A$1="6.3.",$A$1="6.4.",$A$1="6.5.",$A$1="6.6."),'LKr Ist'!Q4,0))</f>
        <v>0</v>
      </c>
      <c r="R13" s="308">
        <f>IF(OR(Umse!$C$24=0,$A$1=0),0,IF(OR($A$1="6.1.",$A$1="6.2.",$A$1="6.3.",$A$1="6.4.",$A$1="6.5.",$A$1="6.6."),'LKr Ist'!R4,0))</f>
        <v>0</v>
      </c>
    </row>
    <row r="14" spans="1:26" ht="11.25" customHeight="1">
      <c r="B14" s="306" t="str">
        <f t="shared" si="1"/>
        <v/>
      </c>
      <c r="C14" s="322" t="str">
        <f t="shared" si="1"/>
        <v/>
      </c>
      <c r="D14" s="308">
        <f>IF(OR(Umse!$C$24=0,$A$1=0),0,IF(OR($A$1="6.1.",$A$1="6.2.",$A$1="6.3.",$A$1="6.4.",$A$1="6.5.",$A$1="6.6."),'LKr Ist'!D5,0))</f>
        <v>0</v>
      </c>
      <c r="E14" s="308">
        <f>IF(OR(Umse!$C$24=0,$A$1=0),0,IF(OR($A$1="6.1.",$A$1="6.2.",$A$1="6.3.",$A$1="6.4.",$A$1="6.5.",$A$1="6.6."),'LKr Ist'!E5,0))</f>
        <v>0</v>
      </c>
      <c r="F14" s="308">
        <f>IF(OR(Umse!$C$24=0,$A$1=0),0,IF(OR($A$1="6.1.",$A$1="6.2.",$A$1="6.3.",$A$1="6.4.",$A$1="6.5.",$A$1="6.6."),'LKr Ist'!F5,0))</f>
        <v>0</v>
      </c>
      <c r="G14" s="308">
        <f>IF(OR(Umse!$C$24=0,$A$1=0),0,IF(OR($A$1="6.1.",$A$1="6.2.",$A$1="6.3.",$A$1="6.4.",$A$1="6.5.",$A$1="6.6."),'LKr Ist'!G5,0))</f>
        <v>0</v>
      </c>
      <c r="H14" s="308">
        <f>IF(OR(Umse!$C$24=0,$A$1=0),0,IF(OR($A$1="6.1.",$A$1="6.2.",$A$1="6.3.",$A$1="6.4.",$A$1="6.5.",$A$1="6.6."),'LKr Ist'!H5,0))</f>
        <v>0</v>
      </c>
      <c r="I14" s="308">
        <f>IF(OR(Umse!$C$24=0,$A$1=0),0,IF(OR($A$1="6.1.",$A$1="6.2.",$A$1="6.3.",$A$1="6.4.",$A$1="6.5.",$A$1="6.6."),'LKr Ist'!I5,0))</f>
        <v>0</v>
      </c>
      <c r="J14" s="307" t="str">
        <f>""</f>
        <v/>
      </c>
      <c r="K14" s="306" t="str">
        <f>IF(OR(Umse!$C$24=0,$A$1=0),"",IF(OR($A$1="6.1.",$A$1="6.2.",$A$1="6.3.",$A$1="6.4.",$A$1="6.5.",$A$1="6.6."),'LKr Ist'!K5,""))</f>
        <v/>
      </c>
      <c r="L14" s="322" t="str">
        <f>IF(OR(Umse!$C$24=0,$A$1=0),"",IF(OR($A$1="6.1.",$A$1="6.2.",$A$1="6.3.",$A$1="6.4.",$A$1="6.5.",$A$1="6.6."),'LKr Ist'!L5,""))</f>
        <v/>
      </c>
      <c r="M14" s="308">
        <f>IF(OR(Umse!$C$24=0,$A$1=0),0,IF(OR($A$1="6.1.",$A$1="6.2.",$A$1="6.3.",$A$1="6.4.",$A$1="6.5.",$A$1="6.6."),'LKr Ist'!M5,0))</f>
        <v>0</v>
      </c>
      <c r="N14" s="308">
        <f>IF(OR(Umse!$C$24=0,$A$1=0),0,IF(OR($A$1="6.1.",$A$1="6.2.",$A$1="6.3.",$A$1="6.4.",$A$1="6.5.",$A$1="6.6."),'LKr Ist'!N5,0))</f>
        <v>0</v>
      </c>
      <c r="O14" s="308">
        <f>IF(OR(Umse!$C$24=0,$A$1=0),0,IF(OR($A$1="6.1.",$A$1="6.2.",$A$1="6.3.",$A$1="6.4.",$A$1="6.5.",$A$1="6.6."),'LKr Ist'!O5,0))</f>
        <v>0</v>
      </c>
      <c r="P14" s="308">
        <f>IF(OR(Umse!$C$24=0,$A$1=0),0,IF(OR($A$1="6.1.",$A$1="6.2.",$A$1="6.3.",$A$1="6.4.",$A$1="6.5.",$A$1="6.6."),'LKr Ist'!P5,0))</f>
        <v>0</v>
      </c>
      <c r="Q14" s="308">
        <f>IF(OR(Umse!$C$24=0,$A$1=0),0,IF(OR($A$1="6.1.",$A$1="6.2.",$A$1="6.3.",$A$1="6.4.",$A$1="6.5.",$A$1="6.6."),'LKr Ist'!Q5,0))</f>
        <v>0</v>
      </c>
      <c r="R14" s="308">
        <f>IF(OR(Umse!$C$24=0,$A$1=0),0,IF(OR($A$1="6.1.",$A$1="6.2.",$A$1="6.3.",$A$1="6.4.",$A$1="6.5.",$A$1="6.6."),'LKr Ist'!R5,0))</f>
        <v>0</v>
      </c>
    </row>
    <row r="15" spans="1:26" ht="11.25" customHeight="1">
      <c r="B15" s="306" t="str">
        <f t="shared" si="1"/>
        <v/>
      </c>
      <c r="C15" s="322" t="str">
        <f t="shared" si="1"/>
        <v/>
      </c>
      <c r="D15" s="308">
        <f>IF(OR(Umse!$C$24=0,$A$1=0),0,IF(OR($A$1="6.1.",$A$1="6.2.",$A$1="6.3.",$A$1="6.4.",$A$1="6.5.",$A$1="6.6."),'LKr Ist'!D6,0))</f>
        <v>0</v>
      </c>
      <c r="E15" s="308">
        <f>IF(OR(Umse!$C$24=0,$A$1=0),0,IF(OR($A$1="6.1.",$A$1="6.2.",$A$1="6.3.",$A$1="6.4.",$A$1="6.5.",$A$1="6.6."),'LKr Ist'!E6,0))</f>
        <v>0</v>
      </c>
      <c r="F15" s="308">
        <f>IF(OR(Umse!$C$24=0,$A$1=0),0,IF(OR($A$1="6.1.",$A$1="6.2.",$A$1="6.3.",$A$1="6.4.",$A$1="6.5.",$A$1="6.6."),'LKr Ist'!F6,0))</f>
        <v>0</v>
      </c>
      <c r="G15" s="308">
        <f>IF(OR(Umse!$C$24=0,$A$1=0),0,IF(OR($A$1="6.1.",$A$1="6.2.",$A$1="6.3.",$A$1="6.4.",$A$1="6.5.",$A$1="6.6."),'LKr Ist'!G6,0))</f>
        <v>0</v>
      </c>
      <c r="H15" s="308">
        <f>IF(OR(Umse!$C$24=0,$A$1=0),0,IF(OR($A$1="6.1.",$A$1="6.2.",$A$1="6.3.",$A$1="6.4.",$A$1="6.5.",$A$1="6.6."),'LKr Ist'!H6,0))</f>
        <v>0</v>
      </c>
      <c r="I15" s="308">
        <f>IF(OR(Umse!$C$24=0,$A$1=0),0,IF(OR($A$1="6.1.",$A$1="6.2.",$A$1="6.3.",$A$1="6.4.",$A$1="6.5.",$A$1="6.6."),'LKr Ist'!I6,0))</f>
        <v>0</v>
      </c>
      <c r="J15" s="307" t="str">
        <f>""</f>
        <v/>
      </c>
      <c r="K15" s="306" t="str">
        <f>IF(OR(Umse!$C$24=0,$A$1=0),"",IF(OR($A$1="6.1.",$A$1="6.2.",$A$1="6.3.",$A$1="6.4.",$A$1="6.5.",$A$1="6.6."),'LKr Ist'!K6,""))</f>
        <v/>
      </c>
      <c r="L15" s="322" t="str">
        <f>IF(OR(Umse!$C$24=0,$A$1=0),"",IF(OR($A$1="6.1.",$A$1="6.2.",$A$1="6.3.",$A$1="6.4.",$A$1="6.5.",$A$1="6.6."),'LKr Ist'!L6,""))</f>
        <v/>
      </c>
      <c r="M15" s="308">
        <f>IF(OR(Umse!$C$24=0,$A$1=0),0,IF(OR($A$1="6.1.",$A$1="6.2.",$A$1="6.3.",$A$1="6.4.",$A$1="6.5.",$A$1="6.6."),'LKr Ist'!M6,0))</f>
        <v>0</v>
      </c>
      <c r="N15" s="308">
        <f>IF(OR(Umse!$C$24=0,$A$1=0),0,IF(OR($A$1="6.1.",$A$1="6.2.",$A$1="6.3.",$A$1="6.4.",$A$1="6.5.",$A$1="6.6."),'LKr Ist'!N6,0))</f>
        <v>0</v>
      </c>
      <c r="O15" s="308">
        <f>IF(OR(Umse!$C$24=0,$A$1=0),0,IF(OR($A$1="6.1.",$A$1="6.2.",$A$1="6.3.",$A$1="6.4.",$A$1="6.5.",$A$1="6.6."),'LKr Ist'!O6,0))</f>
        <v>0</v>
      </c>
      <c r="P15" s="308">
        <f>IF(OR(Umse!$C$24=0,$A$1=0),0,IF(OR($A$1="6.1.",$A$1="6.2.",$A$1="6.3.",$A$1="6.4.",$A$1="6.5.",$A$1="6.6."),'LKr Ist'!P6,0))</f>
        <v>0</v>
      </c>
      <c r="Q15" s="308">
        <f>IF(OR(Umse!$C$24=0,$A$1=0),0,IF(OR($A$1="6.1.",$A$1="6.2.",$A$1="6.3.",$A$1="6.4.",$A$1="6.5.",$A$1="6.6."),'LKr Ist'!Q6,0))</f>
        <v>0</v>
      </c>
      <c r="R15" s="308">
        <f>IF(OR(Umse!$C$24=0,$A$1=0),0,IF(OR($A$1="6.1.",$A$1="6.2.",$A$1="6.3.",$A$1="6.4.",$A$1="6.5.",$A$1="6.6."),'LKr Ist'!R6,0))</f>
        <v>0</v>
      </c>
    </row>
    <row r="16" spans="1:26" ht="11.25" customHeight="1">
      <c r="B16" s="306" t="str">
        <f t="shared" si="1"/>
        <v/>
      </c>
      <c r="C16" s="322" t="str">
        <f t="shared" si="1"/>
        <v/>
      </c>
      <c r="D16" s="308">
        <f>IF(OR(Umse!$C$24=0,$A$1=0),0,IF(OR($A$1="6.1.",$A$1="6.2.",$A$1="6.3.",$A$1="6.4.",$A$1="6.5.",$A$1="6.6."),'LKr Ist'!D7,0))</f>
        <v>0</v>
      </c>
      <c r="E16" s="308">
        <f>IF(OR(Umse!$C$24=0,$A$1=0),0,IF(OR($A$1="6.1.",$A$1="6.2.",$A$1="6.3.",$A$1="6.4.",$A$1="6.5.",$A$1="6.6."),'LKr Ist'!E7,0))</f>
        <v>0</v>
      </c>
      <c r="F16" s="308">
        <f>IF(OR(Umse!$C$24=0,$A$1=0),0,IF(OR($A$1="6.1.",$A$1="6.2.",$A$1="6.3.",$A$1="6.4.",$A$1="6.5.",$A$1="6.6."),'LKr Ist'!F7,0))</f>
        <v>0</v>
      </c>
      <c r="G16" s="308">
        <f>IF(OR(Umse!$C$24=0,$A$1=0),0,IF(OR($A$1="6.1.",$A$1="6.2.",$A$1="6.3.",$A$1="6.4.",$A$1="6.5.",$A$1="6.6."),'LKr Ist'!G7,0))</f>
        <v>0</v>
      </c>
      <c r="H16" s="308">
        <f>IF(OR(Umse!$C$24=0,$A$1=0),0,IF(OR($A$1="6.1.",$A$1="6.2.",$A$1="6.3.",$A$1="6.4.",$A$1="6.5.",$A$1="6.6."),'LKr Ist'!H7,0))</f>
        <v>0</v>
      </c>
      <c r="I16" s="308">
        <f>IF(OR(Umse!$C$24=0,$A$1=0),0,IF(OR($A$1="6.1.",$A$1="6.2.",$A$1="6.3.",$A$1="6.4.",$A$1="6.5.",$A$1="6.6."),'LKr Ist'!I7,0))</f>
        <v>0</v>
      </c>
      <c r="J16" s="307" t="str">
        <f>""</f>
        <v/>
      </c>
      <c r="K16" s="306" t="str">
        <f>IF(OR(Umse!$C$24=0,$A$1=0),"",IF(OR($A$1="6.1.",$A$1="6.2.",$A$1="6.3.",$A$1="6.4.",$A$1="6.5.",$A$1="6.6."),'LKr Ist'!K7,""))</f>
        <v/>
      </c>
      <c r="L16" s="322" t="str">
        <f>IF(OR(Umse!$C$24=0,$A$1=0),"",IF(OR($A$1="6.1.",$A$1="6.2.",$A$1="6.3.",$A$1="6.4.",$A$1="6.5.",$A$1="6.6."),'LKr Ist'!L7,""))</f>
        <v/>
      </c>
      <c r="M16" s="308">
        <f>IF(OR(Umse!$C$24=0,$A$1=0),0,IF(OR($A$1="6.1.",$A$1="6.2.",$A$1="6.3.",$A$1="6.4.",$A$1="6.5.",$A$1="6.6."),'LKr Ist'!M7,0))</f>
        <v>0</v>
      </c>
      <c r="N16" s="308">
        <f>IF(OR(Umse!$C$24=0,$A$1=0),0,IF(OR($A$1="6.1.",$A$1="6.2.",$A$1="6.3.",$A$1="6.4.",$A$1="6.5.",$A$1="6.6."),'LKr Ist'!N7,0))</f>
        <v>0</v>
      </c>
      <c r="O16" s="308">
        <f>IF(OR(Umse!$C$24=0,$A$1=0),0,IF(OR($A$1="6.1.",$A$1="6.2.",$A$1="6.3.",$A$1="6.4.",$A$1="6.5.",$A$1="6.6."),'LKr Ist'!O7,0))</f>
        <v>0</v>
      </c>
      <c r="P16" s="308">
        <f>IF(OR(Umse!$C$24=0,$A$1=0),0,IF(OR($A$1="6.1.",$A$1="6.2.",$A$1="6.3.",$A$1="6.4.",$A$1="6.5.",$A$1="6.6."),'LKr Ist'!P7,0))</f>
        <v>0</v>
      </c>
      <c r="Q16" s="308">
        <f>IF(OR(Umse!$C$24=0,$A$1=0),0,IF(OR($A$1="6.1.",$A$1="6.2.",$A$1="6.3.",$A$1="6.4.",$A$1="6.5.",$A$1="6.6."),'LKr Ist'!Q7,0))</f>
        <v>0</v>
      </c>
      <c r="R16" s="308">
        <f>IF(OR(Umse!$C$24=0,$A$1=0),0,IF(OR($A$1="6.1.",$A$1="6.2.",$A$1="6.3.",$A$1="6.4.",$A$1="6.5.",$A$1="6.6."),'LKr Ist'!R7,0))</f>
        <v>0</v>
      </c>
    </row>
    <row r="17" spans="2:29" ht="11.25" customHeight="1">
      <c r="B17" s="306" t="str">
        <f t="shared" si="1"/>
        <v/>
      </c>
      <c r="C17" s="322" t="str">
        <f t="shared" si="1"/>
        <v/>
      </c>
      <c r="D17" s="308">
        <f>IF(OR(Umse!$C$24=0,$A$1=0),0,IF(OR($A$1="6.1.",$A$1="6.2.",$A$1="6.3.",$A$1="6.4.",$A$1="6.5.",$A$1="6.6."),'LKr Ist'!D8,0))</f>
        <v>0</v>
      </c>
      <c r="E17" s="308">
        <f>IF(OR(Umse!$C$24=0,$A$1=0),0,IF(OR($A$1="6.1.",$A$1="6.2.",$A$1="6.3.",$A$1="6.4.",$A$1="6.5.",$A$1="6.6."),'LKr Ist'!E8,0))</f>
        <v>0</v>
      </c>
      <c r="F17" s="308">
        <f>IF(OR(Umse!$C$24=0,$A$1=0),0,IF(OR($A$1="6.1.",$A$1="6.2.",$A$1="6.3.",$A$1="6.4.",$A$1="6.5.",$A$1="6.6."),'LKr Ist'!F8,0))</f>
        <v>0</v>
      </c>
      <c r="G17" s="308">
        <f>IF(OR(Umse!$C$24=0,$A$1=0),0,IF(OR($A$1="6.1.",$A$1="6.2.",$A$1="6.3.",$A$1="6.4.",$A$1="6.5.",$A$1="6.6."),'LKr Ist'!G8,0))</f>
        <v>0</v>
      </c>
      <c r="H17" s="308">
        <f>IF(OR(Umse!$C$24=0,$A$1=0),0,IF(OR($A$1="6.1.",$A$1="6.2.",$A$1="6.3.",$A$1="6.4.",$A$1="6.5.",$A$1="6.6."),'LKr Ist'!H8,0))</f>
        <v>0</v>
      </c>
      <c r="I17" s="308">
        <f>IF(OR(Umse!$C$24=0,$A$1=0),0,IF(OR($A$1="6.1.",$A$1="6.2.",$A$1="6.3.",$A$1="6.4.",$A$1="6.5.",$A$1="6.6."),'LKr Ist'!I8,0))</f>
        <v>0</v>
      </c>
      <c r="J17" s="307" t="str">
        <f>""</f>
        <v/>
      </c>
      <c r="K17" s="306" t="str">
        <f>IF(OR(Umse!$C$24=0,$A$1=0),"",IF(OR($A$1="6.1.",$A$1="6.2.",$A$1="6.3.",$A$1="6.4.",$A$1="6.5.",$A$1="6.6."),'LKr Ist'!K8,""))</f>
        <v/>
      </c>
      <c r="L17" s="322" t="str">
        <f>IF(OR(Umse!$C$24=0,$A$1=0),"",IF(OR($A$1="6.1.",$A$1="6.2.",$A$1="6.3.",$A$1="6.4.",$A$1="6.5.",$A$1="6.6."),'LKr Ist'!L8,""))</f>
        <v/>
      </c>
      <c r="M17" s="308">
        <f>IF(OR(Umse!$C$24=0,$A$1=0),0,IF(OR($A$1="6.1.",$A$1="6.2.",$A$1="6.3.",$A$1="6.4.",$A$1="6.5.",$A$1="6.6."),'LKr Ist'!M8,0))</f>
        <v>0</v>
      </c>
      <c r="N17" s="308">
        <f>IF(OR(Umse!$C$24=0,$A$1=0),0,IF(OR($A$1="6.1.",$A$1="6.2.",$A$1="6.3.",$A$1="6.4.",$A$1="6.5.",$A$1="6.6."),'LKr Ist'!N8,0))</f>
        <v>0</v>
      </c>
      <c r="O17" s="308">
        <f>IF(OR(Umse!$C$24=0,$A$1=0),0,IF(OR($A$1="6.1.",$A$1="6.2.",$A$1="6.3.",$A$1="6.4.",$A$1="6.5.",$A$1="6.6."),'LKr Ist'!O8,0))</f>
        <v>0</v>
      </c>
      <c r="P17" s="308">
        <f>IF(OR(Umse!$C$24=0,$A$1=0),0,IF(OR($A$1="6.1.",$A$1="6.2.",$A$1="6.3.",$A$1="6.4.",$A$1="6.5.",$A$1="6.6."),'LKr Ist'!P8,0))</f>
        <v>0</v>
      </c>
      <c r="Q17" s="308">
        <f>IF(OR(Umse!$C$24=0,$A$1=0),0,IF(OR($A$1="6.1.",$A$1="6.2.",$A$1="6.3.",$A$1="6.4.",$A$1="6.5.",$A$1="6.6."),'LKr Ist'!Q8,0))</f>
        <v>0</v>
      </c>
      <c r="R17" s="308">
        <f>IF(OR(Umse!$C$24=0,$A$1=0),0,IF(OR($A$1="6.1.",$A$1="6.2.",$A$1="6.3.",$A$1="6.4.",$A$1="6.5.",$A$1="6.6."),'LKr Ist'!R8,0))</f>
        <v>0</v>
      </c>
    </row>
    <row r="18" spans="2:29" ht="11.25" customHeight="1">
      <c r="B18" s="306" t="str">
        <f t="shared" si="1"/>
        <v/>
      </c>
      <c r="C18" s="322" t="str">
        <f t="shared" si="1"/>
        <v/>
      </c>
      <c r="D18" s="308">
        <f>IF(OR(Umse!$C$24=0,$A$1=0),0,IF(OR($A$1="6.1.",$A$1="6.2.",$A$1="6.3.",$A$1="6.4.",$A$1="6.5.",$A$1="6.6."),'LKr Ist'!D9,0))</f>
        <v>0</v>
      </c>
      <c r="E18" s="308">
        <f>IF(OR(Umse!$C$24=0,$A$1=0),0,IF(OR($A$1="6.1.",$A$1="6.2.",$A$1="6.3.",$A$1="6.4.",$A$1="6.5.",$A$1="6.6."),'LKr Ist'!E9,0))</f>
        <v>0</v>
      </c>
      <c r="F18" s="308">
        <f>IF(OR(Umse!$C$24=0,$A$1=0),0,IF(OR($A$1="6.1.",$A$1="6.2.",$A$1="6.3.",$A$1="6.4.",$A$1="6.5.",$A$1="6.6."),'LKr Ist'!F9,0))</f>
        <v>0</v>
      </c>
      <c r="G18" s="308">
        <f>IF(OR(Umse!$C$24=0,$A$1=0),0,IF(OR($A$1="6.1.",$A$1="6.2.",$A$1="6.3.",$A$1="6.4.",$A$1="6.5.",$A$1="6.6."),'LKr Ist'!G9,0))</f>
        <v>0</v>
      </c>
      <c r="H18" s="308">
        <f>IF(OR(Umse!$C$24=0,$A$1=0),0,IF(OR($A$1="6.1.",$A$1="6.2.",$A$1="6.3.",$A$1="6.4.",$A$1="6.5.",$A$1="6.6."),'LKr Ist'!H9,0))</f>
        <v>0</v>
      </c>
      <c r="I18" s="308">
        <f>IF(OR(Umse!$C$24=0,$A$1=0),0,IF(OR($A$1="6.1.",$A$1="6.2.",$A$1="6.3.",$A$1="6.4.",$A$1="6.5.",$A$1="6.6."),'LKr Ist'!I9,0))</f>
        <v>0</v>
      </c>
      <c r="J18" s="307" t="str">
        <f>""</f>
        <v/>
      </c>
      <c r="K18" s="306" t="str">
        <f>IF(OR(Umse!$C$24=0,$A$1=0),"",IF(OR($A$1="6.1.",$A$1="6.2.",$A$1="6.3.",$A$1="6.4.",$A$1="6.5.",$A$1="6.6."),'LKr Ist'!K9,""))</f>
        <v/>
      </c>
      <c r="L18" s="322" t="str">
        <f>IF(OR(Umse!$C$24=0,$A$1=0),"",IF(OR($A$1="6.1.",$A$1="6.2.",$A$1="6.3.",$A$1="6.4.",$A$1="6.5.",$A$1="6.6."),'LKr Ist'!L9,""))</f>
        <v/>
      </c>
      <c r="M18" s="308">
        <f>IF(OR(Umse!$C$24=0,$A$1=0),0,IF(OR($A$1="6.1.",$A$1="6.2.",$A$1="6.3.",$A$1="6.4.",$A$1="6.5.",$A$1="6.6."),'LKr Ist'!M9,0))</f>
        <v>0</v>
      </c>
      <c r="N18" s="308">
        <f>IF(OR(Umse!$C$24=0,$A$1=0),0,IF(OR($A$1="6.1.",$A$1="6.2.",$A$1="6.3.",$A$1="6.4.",$A$1="6.5.",$A$1="6.6."),'LKr Ist'!N9,0))</f>
        <v>0</v>
      </c>
      <c r="O18" s="308">
        <f>IF(OR(Umse!$C$24=0,$A$1=0),0,IF(OR($A$1="6.1.",$A$1="6.2.",$A$1="6.3.",$A$1="6.4.",$A$1="6.5.",$A$1="6.6."),'LKr Ist'!O9,0))</f>
        <v>0</v>
      </c>
      <c r="P18" s="308">
        <f>IF(OR(Umse!$C$24=0,$A$1=0),0,IF(OR($A$1="6.1.",$A$1="6.2.",$A$1="6.3.",$A$1="6.4.",$A$1="6.5.",$A$1="6.6."),'LKr Ist'!P9,0))</f>
        <v>0</v>
      </c>
      <c r="Q18" s="308">
        <f>IF(OR(Umse!$C$24=0,$A$1=0),0,IF(OR($A$1="6.1.",$A$1="6.2.",$A$1="6.3.",$A$1="6.4.",$A$1="6.5.",$A$1="6.6."),'LKr Ist'!Q9,0))</f>
        <v>0</v>
      </c>
      <c r="R18" s="308">
        <f>IF(OR(Umse!$C$24=0,$A$1=0),0,IF(OR($A$1="6.1.",$A$1="6.2.",$A$1="6.3.",$A$1="6.4.",$A$1="6.5.",$A$1="6.6."),'LKr Ist'!R9,0))</f>
        <v>0</v>
      </c>
    </row>
    <row r="19" spans="2:29" ht="11.25" customHeight="1">
      <c r="B19" s="306" t="str">
        <f t="shared" si="1"/>
        <v/>
      </c>
      <c r="C19" s="322" t="str">
        <f t="shared" si="1"/>
        <v/>
      </c>
      <c r="D19" s="308">
        <f>IF(OR(Umse!$C$24=0,$A$1=0),0,IF(OR($A$1="6.1.",$A$1="6.2.",$A$1="6.3.",$A$1="6.4.",$A$1="6.5.",$A$1="6.6."),'LKr Ist'!D10,0))</f>
        <v>0</v>
      </c>
      <c r="E19" s="308">
        <f>IF(OR(Umse!$C$24=0,$A$1=0),0,IF(OR($A$1="6.1.",$A$1="6.2.",$A$1="6.3.",$A$1="6.4.",$A$1="6.5.",$A$1="6.6."),'LKr Ist'!E10,0))</f>
        <v>0</v>
      </c>
      <c r="F19" s="308">
        <f>IF(OR(Umse!$C$24=0,$A$1=0),0,IF(OR($A$1="6.1.",$A$1="6.2.",$A$1="6.3.",$A$1="6.4.",$A$1="6.5.",$A$1="6.6."),'LKr Ist'!F10,0))</f>
        <v>0</v>
      </c>
      <c r="G19" s="308">
        <f>IF(OR(Umse!$C$24=0,$A$1=0),0,IF(OR($A$1="6.1.",$A$1="6.2.",$A$1="6.3.",$A$1="6.4.",$A$1="6.5.",$A$1="6.6."),'LKr Ist'!G10,0))</f>
        <v>0</v>
      </c>
      <c r="H19" s="308">
        <f>IF(OR(Umse!$C$24=0,$A$1=0),0,IF(OR($A$1="6.1.",$A$1="6.2.",$A$1="6.3.",$A$1="6.4.",$A$1="6.5.",$A$1="6.6."),'LKr Ist'!H10,0))</f>
        <v>0</v>
      </c>
      <c r="I19" s="308">
        <f>IF(OR(Umse!$C$24=0,$A$1=0),0,IF(OR($A$1="6.1.",$A$1="6.2.",$A$1="6.3.",$A$1="6.4.",$A$1="6.5.",$A$1="6.6."),'LKr Ist'!I10,0))</f>
        <v>0</v>
      </c>
      <c r="J19" s="307" t="str">
        <f>""</f>
        <v/>
      </c>
      <c r="K19" s="306" t="str">
        <f>IF(OR(Umse!$C$24=0,$A$1=0),"",IF(OR($A$1="6.1.",$A$1="6.2.",$A$1="6.3.",$A$1="6.4.",$A$1="6.5.",$A$1="6.6."),'LKr Ist'!K10,""))</f>
        <v/>
      </c>
      <c r="L19" s="322" t="str">
        <f>IF(OR(Umse!$C$24=0,$A$1=0),"",IF(OR($A$1="6.1.",$A$1="6.2.",$A$1="6.3.",$A$1="6.4.",$A$1="6.5.",$A$1="6.6."),'LKr Ist'!L10,""))</f>
        <v/>
      </c>
      <c r="M19" s="308">
        <f>IF(OR(Umse!$C$24=0,$A$1=0),0,IF(OR($A$1="6.1.",$A$1="6.2.",$A$1="6.3.",$A$1="6.4.",$A$1="6.5.",$A$1="6.6."),'LKr Ist'!M10,0))</f>
        <v>0</v>
      </c>
      <c r="N19" s="308">
        <f>IF(OR(Umse!$C$24=0,$A$1=0),0,IF(OR($A$1="6.1.",$A$1="6.2.",$A$1="6.3.",$A$1="6.4.",$A$1="6.5.",$A$1="6.6."),'LKr Ist'!N10,0))</f>
        <v>0</v>
      </c>
      <c r="O19" s="308">
        <f>IF(OR(Umse!$C$24=0,$A$1=0),0,IF(OR($A$1="6.1.",$A$1="6.2.",$A$1="6.3.",$A$1="6.4.",$A$1="6.5.",$A$1="6.6."),'LKr Ist'!O10,0))</f>
        <v>0</v>
      </c>
      <c r="P19" s="308">
        <f>IF(OR(Umse!$C$24=0,$A$1=0),0,IF(OR($A$1="6.1.",$A$1="6.2.",$A$1="6.3.",$A$1="6.4.",$A$1="6.5.",$A$1="6.6."),'LKr Ist'!P10,0))</f>
        <v>0</v>
      </c>
      <c r="Q19" s="308">
        <f>IF(OR(Umse!$C$24=0,$A$1=0),0,IF(OR($A$1="6.1.",$A$1="6.2.",$A$1="6.3.",$A$1="6.4.",$A$1="6.5.",$A$1="6.6."),'LKr Ist'!Q10,0))</f>
        <v>0</v>
      </c>
      <c r="R19" s="308">
        <f>IF(OR(Umse!$C$24=0,$A$1=0),0,IF(OR($A$1="6.1.",$A$1="6.2.",$A$1="6.3.",$A$1="6.4.",$A$1="6.5.",$A$1="6.6."),'LKr Ist'!R10,0))</f>
        <v>0</v>
      </c>
    </row>
    <row r="20" spans="2:29" ht="11.25" customHeight="1">
      <c r="B20" s="306" t="str">
        <f t="shared" si="1"/>
        <v/>
      </c>
      <c r="C20" s="322" t="str">
        <f t="shared" si="1"/>
        <v/>
      </c>
      <c r="D20" s="308">
        <f>IF(OR(Umse!$C$24=0,$A$1=0),0,IF(OR($A$1="6.1.",$A$1="6.2.",$A$1="6.3.",$A$1="6.4.",$A$1="6.5.",$A$1="6.6."),'LKr Ist'!D11,0))</f>
        <v>0</v>
      </c>
      <c r="E20" s="308">
        <f>IF(OR(Umse!$C$24=0,$A$1=0),0,IF(OR($A$1="6.1.",$A$1="6.2.",$A$1="6.3.",$A$1="6.4.",$A$1="6.5.",$A$1="6.6."),'LKr Ist'!E11,0))</f>
        <v>0</v>
      </c>
      <c r="F20" s="308">
        <f>IF(OR(Umse!$C$24=0,$A$1=0),0,IF(OR($A$1="6.1.",$A$1="6.2.",$A$1="6.3.",$A$1="6.4.",$A$1="6.5.",$A$1="6.6."),'LKr Ist'!F11,0))</f>
        <v>0</v>
      </c>
      <c r="G20" s="308">
        <f>IF(OR(Umse!$C$24=0,$A$1=0),0,IF(OR($A$1="6.1.",$A$1="6.2.",$A$1="6.3.",$A$1="6.4.",$A$1="6.5.",$A$1="6.6."),'LKr Ist'!G11,0))</f>
        <v>0</v>
      </c>
      <c r="H20" s="308">
        <f>IF(OR(Umse!$C$24=0,$A$1=0),0,IF(OR($A$1="6.1.",$A$1="6.2.",$A$1="6.3.",$A$1="6.4.",$A$1="6.5.",$A$1="6.6."),'LKr Ist'!H11,0))</f>
        <v>0</v>
      </c>
      <c r="I20" s="308">
        <f>IF(OR(Umse!$C$24=0,$A$1=0),0,IF(OR($A$1="6.1.",$A$1="6.2.",$A$1="6.3.",$A$1="6.4.",$A$1="6.5.",$A$1="6.6."),'LKr Ist'!I11,0))</f>
        <v>0</v>
      </c>
      <c r="J20" s="307" t="str">
        <f>""</f>
        <v/>
      </c>
      <c r="K20" s="306" t="str">
        <f>IF(OR(Umse!$C$24=0,$A$1=0),"",IF(OR($A$1="6.1.",$A$1="6.2.",$A$1="6.3.",$A$1="6.4.",$A$1="6.5.",$A$1="6.6."),'LKr Ist'!K11,""))</f>
        <v/>
      </c>
      <c r="L20" s="322" t="str">
        <f>IF(OR(Umse!$C$24=0,$A$1=0),"",IF(OR($A$1="6.1.",$A$1="6.2.",$A$1="6.3.",$A$1="6.4.",$A$1="6.5.",$A$1="6.6."),'LKr Ist'!L11,""))</f>
        <v/>
      </c>
      <c r="M20" s="308">
        <f>IF(OR(Umse!$C$24=0,$A$1=0),0,IF(OR($A$1="6.1.",$A$1="6.2.",$A$1="6.3.",$A$1="6.4.",$A$1="6.5.",$A$1="6.6."),'LKr Ist'!M11,0))</f>
        <v>0</v>
      </c>
      <c r="N20" s="308">
        <f>IF(OR(Umse!$C$24=0,$A$1=0),0,IF(OR($A$1="6.1.",$A$1="6.2.",$A$1="6.3.",$A$1="6.4.",$A$1="6.5.",$A$1="6.6."),'LKr Ist'!N11,0))</f>
        <v>0</v>
      </c>
      <c r="O20" s="308">
        <f>IF(OR(Umse!$C$24=0,$A$1=0),0,IF(OR($A$1="6.1.",$A$1="6.2.",$A$1="6.3.",$A$1="6.4.",$A$1="6.5.",$A$1="6.6."),'LKr Ist'!O11,0))</f>
        <v>0</v>
      </c>
      <c r="P20" s="308">
        <f>IF(OR(Umse!$C$24=0,$A$1=0),0,IF(OR($A$1="6.1.",$A$1="6.2.",$A$1="6.3.",$A$1="6.4.",$A$1="6.5.",$A$1="6.6."),'LKr Ist'!P11,0))</f>
        <v>0</v>
      </c>
      <c r="Q20" s="308">
        <f>IF(OR(Umse!$C$24=0,$A$1=0),0,IF(OR($A$1="6.1.",$A$1="6.2.",$A$1="6.3.",$A$1="6.4.",$A$1="6.5.",$A$1="6.6."),'LKr Ist'!Q11,0))</f>
        <v>0</v>
      </c>
      <c r="R20" s="308">
        <f>IF(OR(Umse!$C$24=0,$A$1=0),0,IF(OR($A$1="6.1.",$A$1="6.2.",$A$1="6.3.",$A$1="6.4.",$A$1="6.5.",$A$1="6.6."),'LKr Ist'!R11,0))</f>
        <v>0</v>
      </c>
    </row>
    <row r="21" spans="2:29" ht="11.25" customHeight="1">
      <c r="B21" s="306" t="str">
        <f t="shared" si="1"/>
        <v/>
      </c>
      <c r="C21" s="322" t="str">
        <f t="shared" si="1"/>
        <v/>
      </c>
      <c r="D21" s="308">
        <f>IF(OR(Umse!$C$24=0,$A$1=0),0,IF(OR($A$1="6.1.",$A$1="6.2.",$A$1="6.3.",$A$1="6.4.",$A$1="6.5.",$A$1="6.6."),'LKr Ist'!D12,0))</f>
        <v>0</v>
      </c>
      <c r="E21" s="308">
        <f>IF(OR(Umse!$C$24=0,$A$1=0),0,IF(OR($A$1="6.1.",$A$1="6.2.",$A$1="6.3.",$A$1="6.4.",$A$1="6.5.",$A$1="6.6."),'LKr Ist'!E12,0))</f>
        <v>0</v>
      </c>
      <c r="F21" s="308">
        <f>IF(OR(Umse!$C$24=0,$A$1=0),0,IF(OR($A$1="6.1.",$A$1="6.2.",$A$1="6.3.",$A$1="6.4.",$A$1="6.5.",$A$1="6.6."),'LKr Ist'!F12,0))</f>
        <v>0</v>
      </c>
      <c r="G21" s="308">
        <f>IF(OR(Umse!$C$24=0,$A$1=0),0,IF(OR($A$1="6.1.",$A$1="6.2.",$A$1="6.3.",$A$1="6.4.",$A$1="6.5.",$A$1="6.6."),'LKr Ist'!G12,0))</f>
        <v>0</v>
      </c>
      <c r="H21" s="308">
        <f>IF(OR(Umse!$C$24=0,$A$1=0),0,IF(OR($A$1="6.1.",$A$1="6.2.",$A$1="6.3.",$A$1="6.4.",$A$1="6.5.",$A$1="6.6."),'LKr Ist'!H12,0))</f>
        <v>0</v>
      </c>
      <c r="I21" s="308">
        <f>IF(OR(Umse!$C$24=0,$A$1=0),0,IF(OR($A$1="6.1.",$A$1="6.2.",$A$1="6.3.",$A$1="6.4.",$A$1="6.5.",$A$1="6.6."),'LKr Ist'!I12,0))</f>
        <v>0</v>
      </c>
      <c r="J21" s="307" t="str">
        <f>""</f>
        <v/>
      </c>
      <c r="K21" s="306" t="str">
        <f>IF(OR(Umse!$C$24=0,$A$1=0),"",IF(OR($A$1="6.1.",$A$1="6.2.",$A$1="6.3.",$A$1="6.4.",$A$1="6.5.",$A$1="6.6."),'LKr Ist'!K12,""))</f>
        <v/>
      </c>
      <c r="L21" s="322" t="str">
        <f>IF(OR(Umse!$C$24=0,$A$1=0),"",IF(OR($A$1="6.1.",$A$1="6.2.",$A$1="6.3.",$A$1="6.4.",$A$1="6.5.",$A$1="6.6."),'LKr Ist'!L12,""))</f>
        <v/>
      </c>
      <c r="M21" s="308">
        <f>IF(OR(Umse!$C$24=0,$A$1=0),0,IF(OR($A$1="6.1.",$A$1="6.2.",$A$1="6.3.",$A$1="6.4.",$A$1="6.5.",$A$1="6.6."),'LKr Ist'!M12,0))</f>
        <v>0</v>
      </c>
      <c r="N21" s="308">
        <f>IF(OR(Umse!$C$24=0,$A$1=0),0,IF(OR($A$1="6.1.",$A$1="6.2.",$A$1="6.3.",$A$1="6.4.",$A$1="6.5.",$A$1="6.6."),'LKr Ist'!N12,0))</f>
        <v>0</v>
      </c>
      <c r="O21" s="308">
        <f>IF(OR(Umse!$C$24=0,$A$1=0),0,IF(OR($A$1="6.1.",$A$1="6.2.",$A$1="6.3.",$A$1="6.4.",$A$1="6.5.",$A$1="6.6."),'LKr Ist'!O12,0))</f>
        <v>0</v>
      </c>
      <c r="P21" s="308">
        <f>IF(OR(Umse!$C$24=0,$A$1=0),0,IF(OR($A$1="6.1.",$A$1="6.2.",$A$1="6.3.",$A$1="6.4.",$A$1="6.5.",$A$1="6.6."),'LKr Ist'!P12,0))</f>
        <v>0</v>
      </c>
      <c r="Q21" s="308">
        <f>IF(OR(Umse!$C$24=0,$A$1=0),0,IF(OR($A$1="6.1.",$A$1="6.2.",$A$1="6.3.",$A$1="6.4.",$A$1="6.5.",$A$1="6.6."),'LKr Ist'!Q12,0))</f>
        <v>0</v>
      </c>
      <c r="R21" s="308">
        <f>IF(OR(Umse!$C$24=0,$A$1=0),0,IF(OR($A$1="6.1.",$A$1="6.2.",$A$1="6.3.",$A$1="6.4.",$A$1="6.5.",$A$1="6.6."),'LKr Ist'!R12,0))</f>
        <v>0</v>
      </c>
    </row>
    <row r="22" spans="2:29" ht="11.25" customHeight="1">
      <c r="B22" s="306" t="str">
        <f t="shared" si="1"/>
        <v/>
      </c>
      <c r="C22" s="322" t="str">
        <f t="shared" si="1"/>
        <v/>
      </c>
      <c r="D22" s="308">
        <f>IF(OR(Umse!$C$24=0,$A$1=0),0,IF(OR($A$1="6.1.",$A$1="6.2.",$A$1="6.3.",$A$1="6.4.",$A$1="6.5.",$A$1="6.6."),'LKr Ist'!D13,0))</f>
        <v>0</v>
      </c>
      <c r="E22" s="308">
        <f>IF(OR(Umse!$C$24=0,$A$1=0),0,IF(OR($A$1="6.1.",$A$1="6.2.",$A$1="6.3.",$A$1="6.4.",$A$1="6.5.",$A$1="6.6."),'LKr Ist'!E13,0))</f>
        <v>0</v>
      </c>
      <c r="F22" s="308">
        <f>IF(OR(Umse!$C$24=0,$A$1=0),0,IF(OR($A$1="6.1.",$A$1="6.2.",$A$1="6.3.",$A$1="6.4.",$A$1="6.5.",$A$1="6.6."),'LKr Ist'!F13,0))</f>
        <v>0</v>
      </c>
      <c r="G22" s="308">
        <f>IF(OR(Umse!$C$24=0,$A$1=0),0,IF(OR($A$1="6.1.",$A$1="6.2.",$A$1="6.3.",$A$1="6.4.",$A$1="6.5.",$A$1="6.6."),'LKr Ist'!G13,0))</f>
        <v>0</v>
      </c>
      <c r="H22" s="308">
        <f>IF(OR(Umse!$C$24=0,$A$1=0),0,IF(OR($A$1="6.1.",$A$1="6.2.",$A$1="6.3.",$A$1="6.4.",$A$1="6.5.",$A$1="6.6."),'LKr Ist'!H13,0))</f>
        <v>0</v>
      </c>
      <c r="I22" s="308">
        <f>IF(OR(Umse!$C$24=0,$A$1=0),0,IF(OR($A$1="6.1.",$A$1="6.2.",$A$1="6.3.",$A$1="6.4.",$A$1="6.5.",$A$1="6.6."),'LKr Ist'!I13,0))</f>
        <v>0</v>
      </c>
      <c r="J22" s="307" t="str">
        <f>""</f>
        <v/>
      </c>
      <c r="K22" s="306" t="str">
        <f>IF(OR(Umse!$C$24=0,$A$1=0),"",IF(OR($A$1="6.1.",$A$1="6.2.",$A$1="6.3.",$A$1="6.4.",$A$1="6.5.",$A$1="6.6."),'LKr Ist'!K13,""))</f>
        <v/>
      </c>
      <c r="L22" s="322" t="str">
        <f>IF(OR(Umse!$C$24=0,$A$1=0),"",IF(OR($A$1="6.1.",$A$1="6.2.",$A$1="6.3.",$A$1="6.4.",$A$1="6.5.",$A$1="6.6."),'LKr Ist'!L13,""))</f>
        <v/>
      </c>
      <c r="M22" s="308">
        <f>IF(OR(Umse!$C$24=0,$A$1=0),0,IF(OR($A$1="6.1.",$A$1="6.2.",$A$1="6.3.",$A$1="6.4.",$A$1="6.5.",$A$1="6.6."),'LKr Ist'!M13,0))</f>
        <v>0</v>
      </c>
      <c r="N22" s="308">
        <f>IF(OR(Umse!$C$24=0,$A$1=0),0,IF(OR($A$1="6.1.",$A$1="6.2.",$A$1="6.3.",$A$1="6.4.",$A$1="6.5.",$A$1="6.6."),'LKr Ist'!N13,0))</f>
        <v>0</v>
      </c>
      <c r="O22" s="308">
        <f>IF(OR(Umse!$C$24=0,$A$1=0),0,IF(OR($A$1="6.1.",$A$1="6.2.",$A$1="6.3.",$A$1="6.4.",$A$1="6.5.",$A$1="6.6."),'LKr Ist'!O13,0))</f>
        <v>0</v>
      </c>
      <c r="P22" s="308">
        <f>IF(OR(Umse!$C$24=0,$A$1=0),0,IF(OR($A$1="6.1.",$A$1="6.2.",$A$1="6.3.",$A$1="6.4.",$A$1="6.5.",$A$1="6.6."),'LKr Ist'!P13,0))</f>
        <v>0</v>
      </c>
      <c r="Q22" s="308">
        <f>IF(OR(Umse!$C$24=0,$A$1=0),0,IF(OR($A$1="6.1.",$A$1="6.2.",$A$1="6.3.",$A$1="6.4.",$A$1="6.5.",$A$1="6.6."),'LKr Ist'!Q13,0))</f>
        <v>0</v>
      </c>
      <c r="R22" s="308">
        <f>IF(OR(Umse!$C$24=0,$A$1=0),0,IF(OR($A$1="6.1.",$A$1="6.2.",$A$1="6.3.",$A$1="6.4.",$A$1="6.5.",$A$1="6.6."),'LKr Ist'!R13,0))</f>
        <v>0</v>
      </c>
    </row>
    <row r="23" spans="2:29" ht="11.25" customHeight="1">
      <c r="B23" s="306" t="str">
        <f t="shared" si="1"/>
        <v/>
      </c>
      <c r="C23" s="322" t="str">
        <f t="shared" si="1"/>
        <v/>
      </c>
      <c r="D23" s="308">
        <f>IF(OR(Umse!$C$24=0,$A$1=0),0,IF(OR($A$1="6.1.",$A$1="6.2.",$A$1="6.3.",$A$1="6.4.",$A$1="6.5.",$A$1="6.6."),'LKr Ist'!D14,0))</f>
        <v>0</v>
      </c>
      <c r="E23" s="308">
        <f>IF(OR(Umse!$C$24=0,$A$1=0),0,IF(OR($A$1="6.1.",$A$1="6.2.",$A$1="6.3.",$A$1="6.4.",$A$1="6.5.",$A$1="6.6."),'LKr Ist'!E14,0))</f>
        <v>0</v>
      </c>
      <c r="F23" s="308">
        <f>IF(OR(Umse!$C$24=0,$A$1=0),0,IF(OR($A$1="6.1.",$A$1="6.2.",$A$1="6.3.",$A$1="6.4.",$A$1="6.5.",$A$1="6.6."),'LKr Ist'!F14,0))</f>
        <v>0</v>
      </c>
      <c r="G23" s="308">
        <f>IF(OR(Umse!$C$24=0,$A$1=0),0,IF(OR($A$1="6.1.",$A$1="6.2.",$A$1="6.3.",$A$1="6.4.",$A$1="6.5.",$A$1="6.6."),'LKr Ist'!G14,0))</f>
        <v>0</v>
      </c>
      <c r="H23" s="308">
        <f>IF(OR(Umse!$C$24=0,$A$1=0),0,IF(OR($A$1="6.1.",$A$1="6.2.",$A$1="6.3.",$A$1="6.4.",$A$1="6.5.",$A$1="6.6."),'LKr Ist'!H14,0))</f>
        <v>0</v>
      </c>
      <c r="I23" s="308">
        <f>IF(OR(Umse!$C$24=0,$A$1=0),0,IF(OR($A$1="6.1.",$A$1="6.2.",$A$1="6.3.",$A$1="6.4.",$A$1="6.5.",$A$1="6.6."),'LKr Ist'!I14,0))</f>
        <v>0</v>
      </c>
      <c r="J23" s="307" t="str">
        <f>""</f>
        <v/>
      </c>
      <c r="K23" s="306" t="str">
        <f>IF(OR(Umse!$C$24=0,$A$1=0),"",IF(OR($A$1="6.1.",$A$1="6.2.",$A$1="6.3.",$A$1="6.4.",$A$1="6.5.",$A$1="6.6."),'LKr Ist'!K14,""))</f>
        <v/>
      </c>
      <c r="L23" s="322" t="str">
        <f>IF(OR(Umse!$C$24=0,$A$1=0),"",IF(OR($A$1="6.1.",$A$1="6.2.",$A$1="6.3.",$A$1="6.4.",$A$1="6.5.",$A$1="6.6."),'LKr Ist'!L14,""))</f>
        <v/>
      </c>
      <c r="M23" s="308">
        <f>IF(OR(Umse!$C$24=0,$A$1=0),0,IF(OR($A$1="6.1.",$A$1="6.2.",$A$1="6.3.",$A$1="6.4.",$A$1="6.5.",$A$1="6.6."),'LKr Ist'!M14,0))</f>
        <v>0</v>
      </c>
      <c r="N23" s="308">
        <f>IF(OR(Umse!$C$24=0,$A$1=0),0,IF(OR($A$1="6.1.",$A$1="6.2.",$A$1="6.3.",$A$1="6.4.",$A$1="6.5.",$A$1="6.6."),'LKr Ist'!N14,0))</f>
        <v>0</v>
      </c>
      <c r="O23" s="308">
        <f>IF(OR(Umse!$C$24=0,$A$1=0),0,IF(OR($A$1="6.1.",$A$1="6.2.",$A$1="6.3.",$A$1="6.4.",$A$1="6.5.",$A$1="6.6."),'LKr Ist'!O14,0))</f>
        <v>0</v>
      </c>
      <c r="P23" s="308">
        <f>IF(OR(Umse!$C$24=0,$A$1=0),0,IF(OR($A$1="6.1.",$A$1="6.2.",$A$1="6.3.",$A$1="6.4.",$A$1="6.5.",$A$1="6.6."),'LKr Ist'!P14,0))</f>
        <v>0</v>
      </c>
      <c r="Q23" s="308">
        <f>IF(OR(Umse!$C$24=0,$A$1=0),0,IF(OR($A$1="6.1.",$A$1="6.2.",$A$1="6.3.",$A$1="6.4.",$A$1="6.5.",$A$1="6.6."),'LKr Ist'!Q14,0))</f>
        <v>0</v>
      </c>
      <c r="R23" s="308">
        <f>IF(OR(Umse!$C$24=0,$A$1=0),0,IF(OR($A$1="6.1.",$A$1="6.2.",$A$1="6.3.",$A$1="6.4.",$A$1="6.5.",$A$1="6.6."),'LKr Ist'!R14,0))</f>
        <v>0</v>
      </c>
    </row>
    <row r="24" spans="2:29" ht="11.25" customHeight="1">
      <c r="B24" s="306" t="str">
        <f>K24</f>
        <v/>
      </c>
      <c r="C24" s="322" t="str">
        <f>L24</f>
        <v/>
      </c>
      <c r="D24" s="308">
        <f>IF(OR(Umse!$C$24=0,$A$1=0),0,IF(OR($A$1="6.1.",$A$1="6.2.",$A$1="6.3.",$A$1="6.4.",$A$1="6.5.",$A$1="6.6."),'LKr Ist'!D15,0))</f>
        <v>0</v>
      </c>
      <c r="E24" s="308">
        <f>IF(OR(Umse!$C$24=0,$A$1=0),0,IF(OR($A$1="6.1.",$A$1="6.2.",$A$1="6.3.",$A$1="6.4.",$A$1="6.5.",$A$1="6.6."),'LKr Ist'!E15,0))</f>
        <v>0</v>
      </c>
      <c r="F24" s="308">
        <f>IF(OR(Umse!$C$24=0,$A$1=0),0,IF(OR($A$1="6.1.",$A$1="6.2.",$A$1="6.3.",$A$1="6.4.",$A$1="6.5.",$A$1="6.6."),'LKr Ist'!F15,0))</f>
        <v>0</v>
      </c>
      <c r="G24" s="308">
        <f>IF(OR(Umse!$C$24=0,$A$1=0),0,IF(OR($A$1="6.1.",$A$1="6.2.",$A$1="6.3.",$A$1="6.4.",$A$1="6.5.",$A$1="6.6."),'LKr Ist'!G15,0))</f>
        <v>0</v>
      </c>
      <c r="H24" s="308">
        <f>IF(OR(Umse!$C$24=0,$A$1=0),0,IF(OR($A$1="6.1.",$A$1="6.2.",$A$1="6.3.",$A$1="6.4.",$A$1="6.5.",$A$1="6.6."),'LKr Ist'!H15,0))</f>
        <v>0</v>
      </c>
      <c r="I24" s="308">
        <f>IF(OR(Umse!$C$24=0,$A$1=0),0,IF(OR($A$1="6.1.",$A$1="6.2.",$A$1="6.3.",$A$1="6.4.",$A$1="6.5.",$A$1="6.6."),'LKr Ist'!I15,0))</f>
        <v>0</v>
      </c>
      <c r="J24" s="307" t="str">
        <f>""</f>
        <v/>
      </c>
      <c r="K24" s="306" t="str">
        <f>IF(OR(Umse!$C$24=0,$A$1=0),"",IF(OR($A$1="6.1.",$A$1="6.2.",$A$1="6.3.",$A$1="6.4.",$A$1="6.5.",$A$1="6.6."),'LKr Ist'!K15,""))</f>
        <v/>
      </c>
      <c r="L24" s="322" t="str">
        <f>IF(OR(Umse!$C$24=0,$A$1=0),"",IF(OR($A$1="6.1.",$A$1="6.2.",$A$1="6.3.",$A$1="6.4.",$A$1="6.5.",$A$1="6.6."),'LKr Ist'!L15,""))</f>
        <v/>
      </c>
      <c r="M24" s="308">
        <f>IF(OR(Umse!$C$24=0,$A$1=0),0,IF(OR($A$1="6.1.",$A$1="6.2.",$A$1="6.3.",$A$1="6.4.",$A$1="6.5.",$A$1="6.6."),'LKr Ist'!M15,0))</f>
        <v>0</v>
      </c>
      <c r="N24" s="308">
        <f>IF(OR(Umse!$C$24=0,$A$1=0),0,IF(OR($A$1="6.1.",$A$1="6.2.",$A$1="6.3.",$A$1="6.4.",$A$1="6.5.",$A$1="6.6."),'LKr Ist'!N15,0))</f>
        <v>0</v>
      </c>
      <c r="O24" s="308">
        <f>IF(OR(Umse!$C$24=0,$A$1=0),0,IF(OR($A$1="6.1.",$A$1="6.2.",$A$1="6.3.",$A$1="6.4.",$A$1="6.5.",$A$1="6.6."),'LKr Ist'!O15,0))</f>
        <v>0</v>
      </c>
      <c r="P24" s="308">
        <f>IF(OR(Umse!$C$24=0,$A$1=0),0,IF(OR($A$1="6.1.",$A$1="6.2.",$A$1="6.3.",$A$1="6.4.",$A$1="6.5.",$A$1="6.6."),'LKr Ist'!P15,0))</f>
        <v>0</v>
      </c>
      <c r="Q24" s="308">
        <f>IF(OR(Umse!$C$24=0,$A$1=0),0,IF(OR($A$1="6.1.",$A$1="6.2.",$A$1="6.3.",$A$1="6.4.",$A$1="6.5.",$A$1="6.6."),'LKr Ist'!Q15,0))</f>
        <v>0</v>
      </c>
      <c r="R24" s="308">
        <f>IF(OR(Umse!$C$24=0,$A$1=0),0,IF(OR($A$1="6.1.",$A$1="6.2.",$A$1="6.3.",$A$1="6.4.",$A$1="6.5.",$A$1="6.6."),'LKr Ist'!R15,0))</f>
        <v>0</v>
      </c>
    </row>
    <row r="25" spans="2:29" ht="11.25" customHeight="1">
      <c r="B25" s="306"/>
      <c r="C25" s="306"/>
      <c r="D25" s="308"/>
      <c r="E25" s="308"/>
      <c r="F25" s="308"/>
      <c r="G25" s="308"/>
      <c r="H25" s="308"/>
      <c r="I25" s="308"/>
      <c r="J25" s="307" t="str">
        <f>""</f>
        <v/>
      </c>
      <c r="K25" s="306"/>
      <c r="L25" s="306"/>
      <c r="M25" s="308"/>
      <c r="N25" s="308"/>
      <c r="O25" s="308"/>
      <c r="P25" s="308"/>
      <c r="Q25" s="308"/>
      <c r="R25" s="308"/>
    </row>
    <row r="26" spans="2:29" ht="11.25" customHeight="1">
      <c r="B26" s="306"/>
      <c r="C26" s="306"/>
      <c r="D26" s="308"/>
      <c r="E26" s="308"/>
      <c r="F26" s="308"/>
      <c r="G26" s="308"/>
      <c r="H26" s="308"/>
      <c r="I26" s="308"/>
      <c r="J26" s="307" t="str">
        <f>""</f>
        <v/>
      </c>
      <c r="K26" s="306"/>
      <c r="L26" s="306"/>
      <c r="M26" s="308"/>
      <c r="N26" s="308"/>
      <c r="O26" s="308"/>
      <c r="P26" s="308"/>
      <c r="Q26" s="308"/>
      <c r="R26" s="308"/>
      <c r="T26" s="299"/>
      <c r="U26" s="299"/>
      <c r="V26" s="299"/>
    </row>
    <row r="27" spans="2:29" ht="11.25" customHeight="1">
      <c r="B27" s="306"/>
      <c r="C27" s="306"/>
      <c r="D27" s="308"/>
      <c r="E27" s="308"/>
      <c r="F27" s="308"/>
      <c r="G27" s="308"/>
      <c r="H27" s="308"/>
      <c r="I27" s="308"/>
      <c r="J27" s="307" t="str">
        <f>""</f>
        <v/>
      </c>
      <c r="K27" s="306"/>
      <c r="L27" s="306"/>
      <c r="M27" s="308"/>
      <c r="N27" s="308"/>
      <c r="O27" s="308"/>
      <c r="P27" s="308"/>
      <c r="Q27" s="308"/>
      <c r="R27" s="308"/>
      <c r="T27" s="299"/>
      <c r="U27" s="299"/>
      <c r="V27" s="299"/>
    </row>
    <row r="28" spans="2:29" ht="11.25" customHeight="1">
      <c r="B28" s="306"/>
      <c r="C28" s="306"/>
      <c r="D28" s="308"/>
      <c r="E28" s="308"/>
      <c r="F28" s="308"/>
      <c r="G28" s="308"/>
      <c r="H28" s="308"/>
      <c r="I28" s="308"/>
      <c r="J28" s="307" t="str">
        <f>""</f>
        <v/>
      </c>
      <c r="K28" s="306"/>
      <c r="L28" s="306"/>
      <c r="M28" s="308"/>
      <c r="N28" s="308"/>
      <c r="O28" s="308"/>
      <c r="P28" s="308"/>
      <c r="Q28" s="308"/>
      <c r="R28" s="308"/>
      <c r="T28" s="299"/>
      <c r="U28" s="299"/>
      <c r="V28" s="299"/>
    </row>
    <row r="29" spans="2:29" ht="11.25" customHeight="1">
      <c r="B29" s="306"/>
      <c r="C29" s="306"/>
      <c r="D29" s="308"/>
      <c r="E29" s="308"/>
      <c r="F29" s="308"/>
      <c r="G29" s="308"/>
      <c r="H29" s="308"/>
      <c r="I29" s="308"/>
      <c r="J29" s="307" t="str">
        <f>""</f>
        <v/>
      </c>
      <c r="K29" s="306"/>
      <c r="L29" s="306"/>
      <c r="M29" s="308"/>
      <c r="N29" s="308"/>
      <c r="O29" s="308"/>
      <c r="P29" s="308"/>
      <c r="Q29" s="308"/>
      <c r="R29" s="308"/>
      <c r="S29" s="299"/>
      <c r="T29" s="299"/>
      <c r="U29" s="299"/>
      <c r="V29" s="299"/>
      <c r="W29" s="309"/>
      <c r="X29" s="299"/>
      <c r="Y29" s="299"/>
      <c r="Z29" s="299"/>
      <c r="AA29" s="299"/>
      <c r="AB29" s="299"/>
      <c r="AC29" s="299"/>
    </row>
    <row r="30" spans="2:29" ht="11.25" customHeight="1">
      <c r="B30" s="306"/>
      <c r="C30" s="306"/>
      <c r="D30" s="308"/>
      <c r="E30" s="308"/>
      <c r="F30" s="308"/>
      <c r="G30" s="308"/>
      <c r="H30" s="308"/>
      <c r="I30" s="308"/>
      <c r="J30" s="307" t="str">
        <f>""</f>
        <v/>
      </c>
      <c r="K30" s="306"/>
      <c r="L30" s="306"/>
      <c r="M30" s="308"/>
      <c r="N30" s="308"/>
      <c r="O30" s="308"/>
      <c r="P30" s="308"/>
      <c r="Q30" s="308"/>
      <c r="R30" s="308"/>
      <c r="S30" s="299"/>
      <c r="T30" s="299"/>
      <c r="U30" s="299"/>
      <c r="V30" s="299"/>
      <c r="W30" s="309"/>
      <c r="X30" s="299"/>
      <c r="Y30" s="299"/>
      <c r="Z30" s="299"/>
      <c r="AA30" s="299"/>
      <c r="AB30" s="299"/>
      <c r="AC30" s="299"/>
    </row>
    <row r="31" spans="2:29" ht="11.25" customHeight="1">
      <c r="B31" s="306"/>
      <c r="C31" s="306"/>
      <c r="D31" s="308"/>
      <c r="E31" s="308"/>
      <c r="F31" s="308"/>
      <c r="G31" s="308"/>
      <c r="H31" s="308"/>
      <c r="I31" s="308"/>
      <c r="J31" s="307" t="str">
        <f>""</f>
        <v/>
      </c>
      <c r="K31" s="306"/>
      <c r="L31" s="306"/>
      <c r="M31" s="308"/>
      <c r="N31" s="308"/>
      <c r="O31" s="308"/>
      <c r="P31" s="308"/>
      <c r="Q31" s="308"/>
      <c r="R31" s="308"/>
      <c r="S31" s="299"/>
      <c r="T31" s="299"/>
      <c r="U31" s="299"/>
      <c r="V31" s="299"/>
      <c r="W31" s="309"/>
      <c r="X31" s="299"/>
      <c r="Y31" s="299"/>
      <c r="Z31" s="299"/>
      <c r="AA31" s="299"/>
      <c r="AB31" s="299"/>
      <c r="AC31" s="299"/>
    </row>
    <row r="32" spans="2:29" ht="11.25" customHeight="1">
      <c r="B32" s="306"/>
      <c r="C32" s="306"/>
      <c r="D32" s="308"/>
      <c r="E32" s="308"/>
      <c r="F32" s="308"/>
      <c r="G32" s="308"/>
      <c r="H32" s="308"/>
      <c r="I32" s="308"/>
      <c r="J32" s="307" t="str">
        <f>""</f>
        <v/>
      </c>
      <c r="K32" s="306"/>
      <c r="L32" s="306"/>
      <c r="M32" s="308"/>
      <c r="N32" s="308"/>
      <c r="O32" s="308"/>
      <c r="P32" s="308"/>
      <c r="Q32" s="308"/>
      <c r="R32" s="308"/>
      <c r="S32" s="299"/>
      <c r="T32" s="299"/>
      <c r="U32" s="299"/>
      <c r="V32" s="299"/>
      <c r="W32" s="309"/>
      <c r="X32" s="299"/>
      <c r="Y32" s="299"/>
      <c r="Z32" s="299"/>
      <c r="AA32" s="299"/>
      <c r="AB32" s="299"/>
      <c r="AC32" s="299"/>
    </row>
    <row r="33" spans="2:29" ht="11.25" customHeight="1">
      <c r="B33" s="306"/>
      <c r="C33" s="306"/>
      <c r="D33" s="308"/>
      <c r="E33" s="308"/>
      <c r="F33" s="308"/>
      <c r="G33" s="308"/>
      <c r="H33" s="308"/>
      <c r="I33" s="308"/>
      <c r="J33" s="307" t="str">
        <f>""</f>
        <v/>
      </c>
      <c r="K33" s="306"/>
      <c r="L33" s="306"/>
      <c r="M33" s="308"/>
      <c r="N33" s="308"/>
      <c r="O33" s="308"/>
      <c r="P33" s="308"/>
      <c r="Q33" s="308"/>
      <c r="R33" s="308"/>
      <c r="S33" s="299"/>
      <c r="T33" s="299"/>
      <c r="U33" s="299"/>
      <c r="V33" s="299"/>
      <c r="W33" s="309"/>
      <c r="X33" s="299"/>
      <c r="Y33" s="299"/>
      <c r="Z33" s="299"/>
      <c r="AA33" s="299"/>
      <c r="AB33" s="299"/>
      <c r="AC33" s="299"/>
    </row>
    <row r="34" spans="2:29" ht="3.75" customHeight="1">
      <c r="J34" s="307" t="str">
        <f>""</f>
        <v/>
      </c>
      <c r="S34" s="299"/>
      <c r="T34" s="299"/>
      <c r="U34" s="299"/>
      <c r="V34" s="299"/>
      <c r="W34" s="309"/>
      <c r="X34" s="299"/>
      <c r="Y34" s="299"/>
      <c r="Z34" s="299"/>
      <c r="AA34" s="299"/>
      <c r="AB34" s="299"/>
      <c r="AC34" s="299"/>
    </row>
    <row r="35" spans="2:29" ht="12.75" customHeight="1">
      <c r="B35" s="669" t="str">
        <f>K10</f>
        <v/>
      </c>
      <c r="C35" s="670"/>
      <c r="D35" s="670"/>
      <c r="E35" s="673" t="str">
        <f>IF(OR($A$1="6.1.",$A$1="6.2.",$A$1="6.3.",$A$1="6.4.",$A$1="6.5.",$A$1="6.6."),"Zeitzuschläge","")</f>
        <v/>
      </c>
      <c r="F35" s="673"/>
      <c r="G35" s="673"/>
      <c r="H35" s="661" t="str">
        <f>H10</f>
        <v/>
      </c>
      <c r="I35" s="662"/>
      <c r="J35" s="307" t="str">
        <f>""</f>
        <v/>
      </c>
      <c r="K35" s="310"/>
      <c r="L35" s="311"/>
      <c r="M35" s="312"/>
      <c r="N35" s="312"/>
      <c r="O35" s="312"/>
      <c r="P35" s="312"/>
      <c r="Q35" s="312"/>
      <c r="R35" s="313"/>
      <c r="S35" s="299"/>
      <c r="T35" s="299"/>
      <c r="U35" s="299"/>
      <c r="V35" s="299"/>
      <c r="W35" s="309"/>
      <c r="X35" s="299"/>
      <c r="Y35" s="299"/>
      <c r="Z35" s="299"/>
      <c r="AA35" s="299"/>
      <c r="AB35" s="299"/>
      <c r="AC35" s="299"/>
    </row>
    <row r="36" spans="2:29" ht="12.75" customHeight="1">
      <c r="B36" s="674" t="str">
        <f>IF(OR(Umse!$C$24=0,$A$1=0),"",IF(OR($A$1="6.1.",$A$1="6.2.",$A$1="6.3.",$A$1="6.4.",$A$1="6.5.",$A$1="6.6."),'LKr Ist'!B23,""))</f>
        <v/>
      </c>
      <c r="C36" s="675"/>
      <c r="D36" s="671" t="str">
        <f>IF(OR(Umse!$C$24=0,$A$1=0),"",IF(OR($A$1="6.1.",$A$1="6.2.",$A$1="6.3.",$A$1="6.4.",$A$1="6.5.",$A$1="6.6."),'LKr Ist'!D23,""))</f>
        <v/>
      </c>
      <c r="E36" s="671" t="str">
        <f>IF(OR(Umse!$C$24=0,$A$1=0),"",IF(OR($A$1="6.1.",$A$1="6.2.",$A$1="6.3.",$A$1="6.4.",$A$1="6.5.",$A$1="6.6."),'LKr Ist'!E23,""))</f>
        <v/>
      </c>
      <c r="F36" s="671" t="str">
        <f>IF(OR(Umse!$C$24=0,$A$1=0),"",IF(OR($A$1="6.1.",$A$1="6.2.",$A$1="6.3.",$A$1="6.4.",$A$1="6.5.",$A$1="6.6."),'LKr Ist'!F23,""))</f>
        <v/>
      </c>
      <c r="G36" s="671" t="str">
        <f>IF(OR(Umse!$C$24=0,$A$1=0),"",IF(OR($A$1="6.1.",$A$1="6.2.",$A$1="6.3.",$A$1="6.4.",$A$1="6.5.",$A$1="6.6."),'LKr Ist'!G23,""))</f>
        <v/>
      </c>
      <c r="H36" s="671" t="str">
        <f>IF(OR(Umse!$C$24=0,$A$1=0),"",IF(OR($A$1="6.1.",$A$1="6.2.",$A$1="6.3.",$A$1="6.4.",$A$1="6.5.",$A$1="6.6."),'LKr Ist'!H23,""))</f>
        <v/>
      </c>
      <c r="I36" s="671" t="str">
        <f>IF(OR(Umse!$C$24=0,$A$1=0),"",IF(OR($A$1="6.1.",$A$1="6.2.",$A$1="6.3.",$A$1="6.4.",$A$1="6.5.",$A$1="6.6."),'LKr Ist'!I23,""))</f>
        <v/>
      </c>
      <c r="J36" s="307" t="str">
        <f>""</f>
        <v/>
      </c>
      <c r="K36" s="668"/>
      <c r="L36" s="668"/>
      <c r="M36" s="668"/>
      <c r="N36" s="668"/>
      <c r="O36" s="668"/>
      <c r="P36" s="668"/>
      <c r="Q36" s="668"/>
      <c r="R36" s="668"/>
      <c r="S36" s="299"/>
      <c r="T36" s="299"/>
      <c r="U36" s="299"/>
      <c r="V36" s="299"/>
      <c r="W36" s="309"/>
      <c r="X36" s="299"/>
      <c r="Y36" s="299"/>
      <c r="Z36" s="299"/>
      <c r="AA36" s="299"/>
      <c r="AB36" s="299"/>
      <c r="AC36" s="299"/>
    </row>
    <row r="37" spans="2:29" ht="12.75" customHeight="1">
      <c r="B37" s="672"/>
      <c r="C37" s="676"/>
      <c r="D37" s="672"/>
      <c r="E37" s="672"/>
      <c r="F37" s="672"/>
      <c r="G37" s="672"/>
      <c r="H37" s="672"/>
      <c r="I37" s="672"/>
      <c r="J37" s="307" t="str">
        <f>""</f>
        <v/>
      </c>
      <c r="K37" s="668"/>
      <c r="L37" s="668"/>
      <c r="M37" s="668"/>
      <c r="N37" s="668"/>
      <c r="O37" s="668"/>
      <c r="P37" s="668"/>
      <c r="Q37" s="668"/>
      <c r="R37" s="668"/>
      <c r="S37" s="299"/>
      <c r="T37" s="299"/>
      <c r="U37" s="299"/>
      <c r="V37" s="299"/>
      <c r="W37" s="309"/>
      <c r="X37" s="299"/>
      <c r="Y37" s="299"/>
      <c r="Z37" s="299"/>
      <c r="AA37" s="299"/>
      <c r="AB37" s="299"/>
      <c r="AC37" s="299"/>
    </row>
    <row r="38" spans="2:29" ht="12.75" customHeight="1">
      <c r="B38" s="672"/>
      <c r="C38" s="676"/>
      <c r="D38" s="672"/>
      <c r="E38" s="672"/>
      <c r="F38" s="672"/>
      <c r="G38" s="672"/>
      <c r="H38" s="672"/>
      <c r="I38" s="672"/>
      <c r="J38" s="307" t="str">
        <f>""</f>
        <v/>
      </c>
      <c r="K38" s="668"/>
      <c r="L38" s="668"/>
      <c r="M38" s="668"/>
      <c r="N38" s="668"/>
      <c r="O38" s="668"/>
      <c r="P38" s="668"/>
      <c r="Q38" s="668"/>
      <c r="R38" s="668"/>
      <c r="S38" s="299"/>
      <c r="T38" s="299"/>
      <c r="U38" s="299"/>
      <c r="V38" s="299"/>
      <c r="W38" s="309"/>
      <c r="X38" s="299"/>
      <c r="Y38" s="299"/>
      <c r="Z38" s="299"/>
      <c r="AA38" s="299"/>
      <c r="AB38" s="299"/>
      <c r="AC38" s="299"/>
    </row>
    <row r="39" spans="2:29" ht="12.75" customHeight="1">
      <c r="B39" s="672"/>
      <c r="C39" s="676"/>
      <c r="D39" s="672"/>
      <c r="E39" s="672"/>
      <c r="F39" s="672"/>
      <c r="G39" s="672"/>
      <c r="H39" s="672"/>
      <c r="I39" s="672"/>
      <c r="J39" s="307" t="str">
        <f>""</f>
        <v/>
      </c>
      <c r="K39" s="668"/>
      <c r="L39" s="668"/>
      <c r="M39" s="668"/>
      <c r="N39" s="668"/>
      <c r="O39" s="668"/>
      <c r="P39" s="668"/>
      <c r="Q39" s="668"/>
      <c r="R39" s="668"/>
      <c r="S39" s="299"/>
      <c r="T39" s="299"/>
      <c r="U39" s="299"/>
      <c r="V39" s="299"/>
      <c r="W39" s="299"/>
      <c r="X39" s="299"/>
      <c r="Y39" s="299"/>
      <c r="Z39" s="299"/>
      <c r="AA39" s="299"/>
      <c r="AB39" s="299"/>
      <c r="AC39" s="299"/>
    </row>
    <row r="40" spans="2:29" ht="12.75" customHeight="1">
      <c r="B40" s="672"/>
      <c r="C40" s="676"/>
      <c r="D40" s="672"/>
      <c r="E40" s="672"/>
      <c r="F40" s="672"/>
      <c r="G40" s="672"/>
      <c r="H40" s="672"/>
      <c r="I40" s="672"/>
      <c r="J40" s="307" t="str">
        <f>""</f>
        <v/>
      </c>
      <c r="K40" s="668"/>
      <c r="L40" s="668"/>
      <c r="M40" s="668"/>
      <c r="N40" s="668"/>
      <c r="O40" s="668"/>
      <c r="P40" s="668"/>
      <c r="Q40" s="668"/>
      <c r="R40" s="668"/>
      <c r="S40" s="299"/>
      <c r="T40" s="299"/>
      <c r="U40" s="299"/>
      <c r="V40" s="299"/>
      <c r="W40" s="299"/>
      <c r="X40" s="299"/>
      <c r="Y40" s="299"/>
      <c r="Z40" s="299"/>
      <c r="AA40" s="299"/>
      <c r="AB40" s="299"/>
      <c r="AC40" s="299"/>
    </row>
    <row r="41" spans="2:29" ht="12.75" customHeight="1">
      <c r="B41" s="672"/>
      <c r="C41" s="676"/>
      <c r="D41" s="672"/>
      <c r="E41" s="672"/>
      <c r="F41" s="672"/>
      <c r="G41" s="672"/>
      <c r="H41" s="672"/>
      <c r="I41" s="672"/>
      <c r="J41" s="307" t="str">
        <f>""</f>
        <v/>
      </c>
      <c r="K41" s="668"/>
      <c r="L41" s="668"/>
      <c r="M41" s="668"/>
      <c r="N41" s="668"/>
      <c r="O41" s="668"/>
      <c r="P41" s="668"/>
      <c r="Q41" s="668"/>
      <c r="R41" s="668"/>
      <c r="S41" s="299"/>
      <c r="W41" s="299"/>
      <c r="X41" s="299"/>
      <c r="Y41" s="299"/>
      <c r="Z41" s="299"/>
      <c r="AA41" s="299"/>
      <c r="AB41" s="299"/>
      <c r="AC41" s="299"/>
    </row>
    <row r="42" spans="2:29" ht="12.75" customHeight="1">
      <c r="B42" s="672"/>
      <c r="C42" s="676"/>
      <c r="D42" s="672"/>
      <c r="E42" s="672"/>
      <c r="F42" s="672"/>
      <c r="G42" s="672"/>
      <c r="H42" s="672"/>
      <c r="I42" s="672"/>
      <c r="J42" s="307" t="str">
        <f>""</f>
        <v/>
      </c>
      <c r="K42" s="668"/>
      <c r="L42" s="668"/>
      <c r="M42" s="668"/>
      <c r="N42" s="668"/>
      <c r="O42" s="668"/>
      <c r="P42" s="668"/>
      <c r="Q42" s="668"/>
      <c r="R42" s="668"/>
      <c r="S42" s="299"/>
      <c r="W42" s="299"/>
      <c r="X42" s="299"/>
      <c r="Y42" s="299"/>
      <c r="Z42" s="299"/>
      <c r="AA42" s="299"/>
      <c r="AB42" s="299"/>
      <c r="AC42" s="299"/>
    </row>
    <row r="43" spans="2:29" ht="12.75" customHeight="1">
      <c r="B43" s="672"/>
      <c r="C43" s="676"/>
      <c r="D43" s="672"/>
      <c r="E43" s="672"/>
      <c r="F43" s="672"/>
      <c r="G43" s="672"/>
      <c r="H43" s="672"/>
      <c r="I43" s="672"/>
      <c r="J43" s="307" t="str">
        <f>""</f>
        <v/>
      </c>
      <c r="K43" s="299"/>
      <c r="L43" s="299"/>
      <c r="M43" s="299"/>
      <c r="N43" s="299"/>
      <c r="O43" s="299"/>
      <c r="P43" s="299"/>
      <c r="Q43" s="299"/>
      <c r="R43" s="299"/>
      <c r="S43" s="299"/>
      <c r="W43" s="299"/>
      <c r="X43" s="299"/>
      <c r="Y43" s="299"/>
      <c r="Z43" s="299"/>
      <c r="AA43" s="299"/>
      <c r="AB43" s="299"/>
      <c r="AC43" s="299"/>
    </row>
    <row r="44" spans="2:29" ht="11.25" customHeight="1">
      <c r="B44" s="672"/>
      <c r="C44" s="676"/>
      <c r="D44" s="672"/>
      <c r="E44" s="672"/>
      <c r="F44" s="672"/>
      <c r="G44" s="672"/>
      <c r="H44" s="672"/>
      <c r="I44" s="672"/>
      <c r="J44" s="307" t="str">
        <f>""</f>
        <v/>
      </c>
    </row>
    <row r="45" spans="2:29" ht="12.75" customHeight="1">
      <c r="B45" s="672"/>
      <c r="C45" s="676"/>
      <c r="D45" s="672"/>
      <c r="E45" s="672"/>
      <c r="F45" s="672"/>
      <c r="G45" s="672"/>
      <c r="H45" s="672"/>
      <c r="I45" s="672"/>
      <c r="J45" s="307" t="str">
        <f>""</f>
        <v/>
      </c>
      <c r="K45" s="669" t="str">
        <f>K10</f>
        <v/>
      </c>
      <c r="L45" s="670"/>
      <c r="M45" s="670"/>
      <c r="N45" s="673" t="str">
        <f>IF(OR($A$1="6.1.",$A$1="6.2.",$A$1="6.3.",$A$1="6.4.",$A$1="6.5.",$A$1="6.6."),"Bereitschaftsdienst ( Stunde = 100 % )","")</f>
        <v/>
      </c>
      <c r="O45" s="673"/>
      <c r="P45" s="673"/>
      <c r="Q45" s="661" t="str">
        <f>IF(OR($A$1="6.1.",$A$1="6.2.",$A$1="6.3.",$A$1="6.4.",$A$1="6.5.",$A$1="6.6."),'KrBe Tab'!K22,"")</f>
        <v/>
      </c>
      <c r="R45" s="662"/>
    </row>
    <row r="46" spans="2:29" ht="22.5" customHeight="1">
      <c r="B46" s="302" t="str">
        <f>IF(OR(Umse!$C$24=0,$A$1=0),"",IF(OR($A$1="6.1.",$A$1="6.2.",$A$1="6.3.",$A$1="6.4.",$A$1="6.5.",$A$1="6.6."),'LKr Ist'!B33,""))</f>
        <v/>
      </c>
      <c r="C46" s="306"/>
      <c r="D46" s="314" t="str">
        <f>IF(OR(Umse!$C$24=0,$A$1=0),"",IF(OR($A$1="6.1.",$A$1="6.2.",$A$1="6.3.",$A$1="6.4.",$A$1="6.5.",$A$1="6.6."),'LKr Ist'!D33,""))</f>
        <v/>
      </c>
      <c r="E46" s="314" t="str">
        <f>IF(OR(Umse!$C$24=0,$A$1=0),"",IF(OR($A$1="6.1.",$A$1="6.2.",$A$1="6.3.",$A$1="6.4.",$A$1="6.5.",$A$1="6.6."),'LKr Ist'!E33,""))</f>
        <v/>
      </c>
      <c r="F46" s="315" t="str">
        <f>IF(OR(Umse!$C$24=0,$A$1=0),"",IF(OR($A$1="6.1.",$A$1="6.2.",$A$1="6.3.",$A$1="6.4.",$A$1="6.5.",$A$1="6.6."),'LKr Ist'!F33,""))</f>
        <v/>
      </c>
      <c r="G46" s="315" t="str">
        <f>IF(OR(Umse!$C$24=0,$A$1=0),"",IF(OR($A$1="6.1.",$A$1="6.2.",$A$1="6.3.",$A$1="6.4.",$A$1="6.5.",$A$1="6.6."),'LKr Ist'!G33,""))</f>
        <v/>
      </c>
      <c r="H46" s="315" t="str">
        <f>IF(OR(Umse!$C$24=0,$A$1=0),"",IF(OR($A$1="6.1.",$A$1="6.2.",$A$1="6.3.",$A$1="6.4.",$A$1="6.5.",$A$1="6.6."),'LKr Ist'!H33,""))</f>
        <v/>
      </c>
      <c r="I46" s="315" t="str">
        <f>IF(OR(Umse!$C$24=0,$A$1=0),"",IF(OR($A$1="6.1.",$A$1="6.2.",$A$1="6.3.",$A$1="6.4.",$A$1="6.5.",$A$1="6.6."),'LKr Ist'!I33,""))</f>
        <v/>
      </c>
      <c r="J46" s="307" t="str">
        <f>""</f>
        <v/>
      </c>
      <c r="K46" s="302" t="str">
        <f>IF(OR(Umse!$C$24=0,$A$1=0),"",IF(OR($A$1="6.1.",$A$1="6.2.",$A$1="6.3.",$A$1="6.4.",$A$1="6.5.",$A$1="6.6."),'LKr Ist'!K33,""))</f>
        <v/>
      </c>
      <c r="L46" s="306"/>
      <c r="M46" s="306" t="str">
        <f>IF(OR(Umse!$C$24=0,$A$1=0),"",IF(OR($A$1="6.1.",$A$1="6.2.",$A$1="6.3.",$A$1="6.4.",$A$1="6.5.",$A$1="6.6."),'LKr Ist'!M33,""))</f>
        <v/>
      </c>
      <c r="N46" s="306" t="str">
        <f>IF(OR(Umse!$C$24=0,$A$1=0),"",IF(OR($A$1="6.1.",$A$1="6.2.",$A$1="6.3.",$A$1="6.4.",$A$1="6.5.",$A$1="6.6."),'LKr Ist'!N33,""))</f>
        <v/>
      </c>
      <c r="O46" s="306" t="str">
        <f>IF(OR(Umse!$C$24=0,$A$1=0),"",IF(OR($A$1="6.1.",$A$1="6.2.",$A$1="6.3.",$A$1="6.4.",$A$1="6.5.",$A$1="6.6."),'LKr Ist'!O33,""))</f>
        <v/>
      </c>
      <c r="P46" s="306" t="str">
        <f>IF(OR(Umse!$C$24=0,$A$1=0),"",IF(OR($A$1="6.1.",$A$1="6.2.",$A$1="6.3.",$A$1="6.4.",$A$1="6.5.",$A$1="6.6."),'LKr Ist'!P33,""))</f>
        <v/>
      </c>
      <c r="Q46" s="306" t="str">
        <f>IF(OR(Umse!$C$24=0,$A$1=0),"",IF(OR($A$1="6.1.",$A$1="6.2.",$A$1="6.3.",$A$1="6.4.",$A$1="6.5.",$A$1="6.6."),'LKr Ist'!Q33,""))</f>
        <v/>
      </c>
      <c r="R46" s="306" t="str">
        <f>IF(OR(Umse!$C$24=0,$A$1=0),"",IF(OR($A$1="6.1.",$A$1="6.2.",$A$1="6.3.",$A$1="6.4.",$A$1="6.5.",$A$1="6.6."),'LKr Ist'!R33,""))</f>
        <v/>
      </c>
      <c r="S46" s="307"/>
    </row>
    <row r="47" spans="2:29" ht="11.25" customHeight="1">
      <c r="B47" s="306" t="str">
        <f>IF(OR(Umse!$C$24=0,$A$1=0),"",IF(OR($A$1="6.1.",$A$1="6.2.",$A$1="6.3.",$A$1="6.4.",$A$1="6.5.",$A$1="6.6."),'LKr Ist'!B34,""))</f>
        <v/>
      </c>
      <c r="C47" s="322" t="str">
        <f>IF(OR(Umse!$C$24=0,$A$1=0),"",IF(OR($A$1="6.1.",$A$1="6.2.",$A$1="6.3.",$A$1="6.4.",$A$1="6.5.",$A$1="6.6."),'LKr Ist'!C34,""))</f>
        <v/>
      </c>
      <c r="D47" s="308">
        <f>IF(OR(Umse!$C$24=0,$A$1=0),0,IF(OR($A$1="6.1.",$A$1="6.2.",$A$1="6.3.",$A$1="6.4.",$A$1="6.5.",$A$1="6.6."),'LKr Ist'!D34,0))</f>
        <v>0</v>
      </c>
      <c r="E47" s="308">
        <f>IF(OR(Umse!$C$24=0,$A$1=0),0,IF(OR($A$1="6.1.",$A$1="6.2.",$A$1="6.3.",$A$1="6.4.",$A$1="6.5.",$A$1="6.6."),'LKr Ist'!E34,0))</f>
        <v>0</v>
      </c>
      <c r="F47" s="308">
        <f>IF(OR(Umse!$C$24=0,$A$1=0),0,IF(OR($A$1="6.1.",$A$1="6.2.",$A$1="6.3.",$A$1="6.4.",$A$1="6.5.",$A$1="6.6."),'LKr Ist'!F34,0))</f>
        <v>0</v>
      </c>
      <c r="G47" s="308">
        <f>IF(OR(Umse!$C$24=0,$A$1=0),0,IF(OR($A$1="6.1.",$A$1="6.2.",$A$1="6.3.",$A$1="6.4.",$A$1="6.5.",$A$1="6.6."),'LKr Ist'!G34,0))</f>
        <v>0</v>
      </c>
      <c r="H47" s="308">
        <f>IF(OR(Umse!$C$24=0,$A$1=0),0,IF(OR($A$1="6.1.",$A$1="6.2.",$A$1="6.3.",$A$1="6.4.",$A$1="6.5.",$A$1="6.6."),'LKr Ist'!H34,0))</f>
        <v>0</v>
      </c>
      <c r="I47" s="308">
        <f>IF(OR(Umse!$C$24=0,$A$1=0),0,IF(OR($A$1="6.1.",$A$1="6.2.",$A$1="6.3.",$A$1="6.4.",$A$1="6.5.",$A$1="6.6."),'LKr Ist'!I34,0))</f>
        <v>0</v>
      </c>
      <c r="J47" s="307" t="str">
        <f>""</f>
        <v/>
      </c>
      <c r="K47" s="306" t="str">
        <f>IF(OR(Umse!$C$24=0,$A$1=0),"",IF(OR($A$1="6.1.",$A$1="6.2.",$A$1="6.3.",$A$1="6.4.",$A$1="6.5.",$A$1="6.6."),'LKr Ist'!K34,""))</f>
        <v/>
      </c>
      <c r="L47" s="322" t="str">
        <f>IF(OR(Umse!$C$24=0,$A$1=0),"",IF(OR($A$1="6.1.",$A$1="6.2.",$A$1="6.3.",$A$1="6.4.",$A$1="6.5.",$A$1="6.6."),'LKr Ist'!L34,""))</f>
        <v/>
      </c>
      <c r="M47" s="308" t="str">
        <f>IF(OR(Umse!$C$24=0,$A$1=0),"",IF(OR($A$1="6.1.",$A$1="6.2.",$A$1="6.3.",$A$1="6.4.",$A$1="6.5.",$A$1="6.6."),'LKr Ist'!M34,""))</f>
        <v/>
      </c>
      <c r="N47" s="308" t="str">
        <f>IF(OR(Umse!$C$24=0,$A$1=0),"",IF(OR($A$1="6.1.",$A$1="6.2.",$A$1="6.3.",$A$1="6.4.",$A$1="6.5.",$A$1="6.6."),'LKr Ist'!N34,""))</f>
        <v/>
      </c>
      <c r="O47" s="308" t="str">
        <f>IF(OR(Umse!$C$24=0,$A$1=0),"",IF(OR($A$1="6.1.",$A$1="6.2.",$A$1="6.3.",$A$1="6.4.",$A$1="6.5.",$A$1="6.6."),'LKr Ist'!O34,""))</f>
        <v/>
      </c>
      <c r="P47" s="308" t="str">
        <f>IF(OR(Umse!$C$24=0,$A$1=0),"",IF(OR($A$1="6.1.",$A$1="6.2.",$A$1="6.3.",$A$1="6.4.",$A$1="6.5.",$A$1="6.6."),'LKr Ist'!P34,""))</f>
        <v/>
      </c>
      <c r="Q47" s="308" t="str">
        <f>IF(OR(Umse!$C$24=0,$A$1=0),"",IF(OR($A$1="6.1.",$A$1="6.2.",$A$1="6.3.",$A$1="6.4.",$A$1="6.5.",$A$1="6.6."),'LKr Ist'!Q34,""))</f>
        <v/>
      </c>
      <c r="R47" s="308" t="str">
        <f>IF(OR(Umse!$C$24=0,$A$1=0),"",IF(OR($A$1="6.1.",$A$1="6.2.",$A$1="6.3.",$A$1="6.4.",$A$1="6.5.",$A$1="6.6."),'LKr Ist'!R34,""))</f>
        <v/>
      </c>
    </row>
    <row r="48" spans="2:29" ht="11.25" customHeight="1">
      <c r="B48" s="306" t="str">
        <f>IF(OR(Umse!$C$24=0,$A$1=0),"",IF(OR($A$1="6.1.",$A$1="6.2.",$A$1="6.3.",$A$1="6.4.",$A$1="6.5.",$A$1="6.6."),'LKr Ist'!B35,""))</f>
        <v/>
      </c>
      <c r="C48" s="322" t="str">
        <f>IF(OR(Umse!$C$24=0,$A$1=0),"",IF(OR($A$1="6.1.",$A$1="6.2.",$A$1="6.3.",$A$1="6.4.",$A$1="6.5.",$A$1="6.6."),'LKr Ist'!C35,""))</f>
        <v/>
      </c>
      <c r="D48" s="308">
        <f>IF(OR(Umse!$C$24=0,$A$1=0),0,IF(OR($A$1="6.1.",$A$1="6.2.",$A$1="6.3.",$A$1="6.4.",$A$1="6.5.",$A$1="6.6."),'LKr Ist'!D35,0))</f>
        <v>0</v>
      </c>
      <c r="E48" s="308">
        <f>IF(OR(Umse!$C$24=0,$A$1=0),0,IF(OR($A$1="6.1.",$A$1="6.2.",$A$1="6.3.",$A$1="6.4.",$A$1="6.5.",$A$1="6.6."),'LKr Ist'!E35,0))</f>
        <v>0</v>
      </c>
      <c r="F48" s="308">
        <f>IF(OR(Umse!$C$24=0,$A$1=0),0,IF(OR($A$1="6.1.",$A$1="6.2.",$A$1="6.3.",$A$1="6.4.",$A$1="6.5.",$A$1="6.6."),'LKr Ist'!F35,0))</f>
        <v>0</v>
      </c>
      <c r="G48" s="308">
        <f>IF(OR(Umse!$C$24=0,$A$1=0),0,IF(OR($A$1="6.1.",$A$1="6.2.",$A$1="6.3.",$A$1="6.4.",$A$1="6.5.",$A$1="6.6."),'LKr Ist'!G35,0))</f>
        <v>0</v>
      </c>
      <c r="H48" s="308">
        <f>IF(OR(Umse!$C$24=0,$A$1=0),0,IF(OR($A$1="6.1.",$A$1="6.2.",$A$1="6.3.",$A$1="6.4.",$A$1="6.5.",$A$1="6.6."),'LKr Ist'!H35,0))</f>
        <v>0</v>
      </c>
      <c r="I48" s="308">
        <f>IF(OR(Umse!$C$24=0,$A$1=0),0,IF(OR($A$1="6.1.",$A$1="6.2.",$A$1="6.3.",$A$1="6.4.",$A$1="6.5.",$A$1="6.6."),'LKr Ist'!I35,0))</f>
        <v>0</v>
      </c>
      <c r="J48" s="307" t="str">
        <f>""</f>
        <v/>
      </c>
      <c r="K48" s="306" t="str">
        <f>IF(OR(Umse!$C$24=0,$A$1=0),"",IF(OR($A$1="6.1.",$A$1="6.2.",$A$1="6.3.",$A$1="6.4.",$A$1="6.5.",$A$1="6.6."),'LKr Ist'!K35,""))</f>
        <v/>
      </c>
      <c r="L48" s="322" t="str">
        <f>IF(OR(Umse!$C$24=0,$A$1=0),"",IF(OR($A$1="6.1.",$A$1="6.2.",$A$1="6.3.",$A$1="6.4.",$A$1="6.5.",$A$1="6.6."),'LKr Ist'!L35,""))</f>
        <v/>
      </c>
      <c r="M48" s="308" t="str">
        <f>IF(OR(Umse!$C$24=0,$A$1=0),"",IF(OR($A$1="6.1.",$A$1="6.2.",$A$1="6.3.",$A$1="6.4.",$A$1="6.5.",$A$1="6.6."),'LKr Ist'!M35,""))</f>
        <v/>
      </c>
      <c r="N48" s="308" t="str">
        <f>IF(OR(Umse!$C$24=0,$A$1=0),"",IF(OR($A$1="6.1.",$A$1="6.2.",$A$1="6.3.",$A$1="6.4.",$A$1="6.5.",$A$1="6.6."),'LKr Ist'!N35,""))</f>
        <v/>
      </c>
      <c r="O48" s="308" t="str">
        <f>IF(OR(Umse!$C$24=0,$A$1=0),"",IF(OR($A$1="6.1.",$A$1="6.2.",$A$1="6.3.",$A$1="6.4.",$A$1="6.5.",$A$1="6.6."),'LKr Ist'!O35,""))</f>
        <v/>
      </c>
      <c r="P48" s="308" t="str">
        <f>IF(OR(Umse!$C$24=0,$A$1=0),"",IF(OR($A$1="6.1.",$A$1="6.2.",$A$1="6.3.",$A$1="6.4.",$A$1="6.5.",$A$1="6.6."),'LKr Ist'!P35,""))</f>
        <v/>
      </c>
      <c r="Q48" s="308" t="str">
        <f>IF(OR(Umse!$C$24=0,$A$1=0),"",IF(OR($A$1="6.1.",$A$1="6.2.",$A$1="6.3.",$A$1="6.4.",$A$1="6.5.",$A$1="6.6."),'LKr Ist'!Q35,""))</f>
        <v/>
      </c>
      <c r="R48" s="308" t="str">
        <f>IF(OR(Umse!$C$24=0,$A$1=0),"",IF(OR($A$1="6.1.",$A$1="6.2.",$A$1="6.3.",$A$1="6.4.",$A$1="6.5.",$A$1="6.6."),'LKr Ist'!R35,""))</f>
        <v/>
      </c>
    </row>
    <row r="49" spans="2:18" ht="11.25" customHeight="1">
      <c r="B49" s="306" t="str">
        <f>IF(OR(Umse!$C$24=0,$A$1=0),"",IF(OR($A$1="6.1.",$A$1="6.2.",$A$1="6.3.",$A$1="6.4.",$A$1="6.5.",$A$1="6.6."),'LKr Ist'!B36,""))</f>
        <v/>
      </c>
      <c r="C49" s="322" t="str">
        <f>IF(OR(Umse!$C$24=0,$A$1=0),"",IF(OR($A$1="6.1.",$A$1="6.2.",$A$1="6.3.",$A$1="6.4.",$A$1="6.5.",$A$1="6.6."),'LKr Ist'!C36,""))</f>
        <v/>
      </c>
      <c r="D49" s="308">
        <f>IF(OR(Umse!$C$24=0,$A$1=0),0,IF(OR($A$1="6.1.",$A$1="6.2.",$A$1="6.3.",$A$1="6.4.",$A$1="6.5.",$A$1="6.6."),'LKr Ist'!D36,0))</f>
        <v>0</v>
      </c>
      <c r="E49" s="308">
        <f>IF(OR(Umse!$C$24=0,$A$1=0),0,IF(OR($A$1="6.1.",$A$1="6.2.",$A$1="6.3.",$A$1="6.4.",$A$1="6.5.",$A$1="6.6."),'LKr Ist'!E36,0))</f>
        <v>0</v>
      </c>
      <c r="F49" s="308">
        <f>IF(OR(Umse!$C$24=0,$A$1=0),0,IF(OR($A$1="6.1.",$A$1="6.2.",$A$1="6.3.",$A$1="6.4.",$A$1="6.5.",$A$1="6.6."),'LKr Ist'!F36,0))</f>
        <v>0</v>
      </c>
      <c r="G49" s="308">
        <f>IF(OR(Umse!$C$24=0,$A$1=0),0,IF(OR($A$1="6.1.",$A$1="6.2.",$A$1="6.3.",$A$1="6.4.",$A$1="6.5.",$A$1="6.6."),'LKr Ist'!G36,0))</f>
        <v>0</v>
      </c>
      <c r="H49" s="308">
        <f>IF(OR(Umse!$C$24=0,$A$1=0),0,IF(OR($A$1="6.1.",$A$1="6.2.",$A$1="6.3.",$A$1="6.4.",$A$1="6.5.",$A$1="6.6."),'LKr Ist'!H36,0))</f>
        <v>0</v>
      </c>
      <c r="I49" s="308">
        <f>IF(OR(Umse!$C$24=0,$A$1=0),0,IF(OR($A$1="6.1.",$A$1="6.2.",$A$1="6.3.",$A$1="6.4.",$A$1="6.5.",$A$1="6.6."),'LKr Ist'!I36,0))</f>
        <v>0</v>
      </c>
      <c r="J49" s="307" t="str">
        <f>""</f>
        <v/>
      </c>
      <c r="K49" s="306" t="str">
        <f>IF(OR(Umse!$C$24=0,$A$1=0),"",IF(OR($A$1="6.1.",$A$1="6.2.",$A$1="6.3.",$A$1="6.4.",$A$1="6.5.",$A$1="6.6."),'LKr Ist'!K36,""))</f>
        <v/>
      </c>
      <c r="L49" s="322" t="str">
        <f>IF(OR(Umse!$C$24=0,$A$1=0),"",IF(OR($A$1="6.1.",$A$1="6.2.",$A$1="6.3.",$A$1="6.4.",$A$1="6.5.",$A$1="6.6."),'LKr Ist'!L36,""))</f>
        <v/>
      </c>
      <c r="M49" s="308" t="str">
        <f>IF(OR(Umse!$C$24=0,$A$1=0),"",IF(OR($A$1="6.1.",$A$1="6.2.",$A$1="6.3.",$A$1="6.4.",$A$1="6.5.",$A$1="6.6."),'LKr Ist'!M36,""))</f>
        <v/>
      </c>
      <c r="N49" s="308" t="str">
        <f>IF(OR(Umse!$C$24=0,$A$1=0),"",IF(OR($A$1="6.1.",$A$1="6.2.",$A$1="6.3.",$A$1="6.4.",$A$1="6.5.",$A$1="6.6."),'LKr Ist'!N36,""))</f>
        <v/>
      </c>
      <c r="O49" s="308" t="str">
        <f>IF(OR(Umse!$C$24=0,$A$1=0),"",IF(OR($A$1="6.1.",$A$1="6.2.",$A$1="6.3.",$A$1="6.4.",$A$1="6.5.",$A$1="6.6."),'LKr Ist'!O36,""))</f>
        <v/>
      </c>
      <c r="P49" s="308" t="str">
        <f>IF(OR(Umse!$C$24=0,$A$1=0),"",IF(OR($A$1="6.1.",$A$1="6.2.",$A$1="6.3.",$A$1="6.4.",$A$1="6.5.",$A$1="6.6."),'LKr Ist'!P36,""))</f>
        <v/>
      </c>
      <c r="Q49" s="308" t="str">
        <f>IF(OR(Umse!$C$24=0,$A$1=0),"",IF(OR($A$1="6.1.",$A$1="6.2.",$A$1="6.3.",$A$1="6.4.",$A$1="6.5.",$A$1="6.6."),'LKr Ist'!Q36,""))</f>
        <v/>
      </c>
      <c r="R49" s="308" t="str">
        <f>IF(OR(Umse!$C$24=0,$A$1=0),"",IF(OR($A$1="6.1.",$A$1="6.2.",$A$1="6.3.",$A$1="6.4.",$A$1="6.5.",$A$1="6.6."),'LKr Ist'!R36,""))</f>
        <v/>
      </c>
    </row>
    <row r="50" spans="2:18" ht="11.25" customHeight="1">
      <c r="B50" s="306" t="str">
        <f>IF(OR(Umse!$C$24=0,$A$1=0),"",IF(OR($A$1="6.1.",$A$1="6.2.",$A$1="6.3.",$A$1="6.4.",$A$1="6.5.",$A$1="6.6."),'LKr Ist'!B37,""))</f>
        <v/>
      </c>
      <c r="C50" s="322" t="str">
        <f>IF(OR(Umse!$C$24=0,$A$1=0),"",IF(OR($A$1="6.1.",$A$1="6.2.",$A$1="6.3.",$A$1="6.4.",$A$1="6.5.",$A$1="6.6."),'LKr Ist'!C37,""))</f>
        <v/>
      </c>
      <c r="D50" s="308">
        <f>IF(OR(Umse!$C$24=0,$A$1=0),0,IF(OR($A$1="6.1.",$A$1="6.2.",$A$1="6.3.",$A$1="6.4.",$A$1="6.5.",$A$1="6.6."),'LKr Ist'!D37,0))</f>
        <v>0</v>
      </c>
      <c r="E50" s="308">
        <f>IF(OR(Umse!$C$24=0,$A$1=0),0,IF(OR($A$1="6.1.",$A$1="6.2.",$A$1="6.3.",$A$1="6.4.",$A$1="6.5.",$A$1="6.6."),'LKr Ist'!E37,0))</f>
        <v>0</v>
      </c>
      <c r="F50" s="308">
        <f>IF(OR(Umse!$C$24=0,$A$1=0),0,IF(OR($A$1="6.1.",$A$1="6.2.",$A$1="6.3.",$A$1="6.4.",$A$1="6.5.",$A$1="6.6."),'LKr Ist'!F37,0))</f>
        <v>0</v>
      </c>
      <c r="G50" s="308">
        <f>IF(OR(Umse!$C$24=0,$A$1=0),0,IF(OR($A$1="6.1.",$A$1="6.2.",$A$1="6.3.",$A$1="6.4.",$A$1="6.5.",$A$1="6.6."),'LKr Ist'!G37,0))</f>
        <v>0</v>
      </c>
      <c r="H50" s="308">
        <f>IF(OR(Umse!$C$24=0,$A$1=0),0,IF(OR($A$1="6.1.",$A$1="6.2.",$A$1="6.3.",$A$1="6.4.",$A$1="6.5.",$A$1="6.6."),'LKr Ist'!H37,0))</f>
        <v>0</v>
      </c>
      <c r="I50" s="308">
        <f>IF(OR(Umse!$C$24=0,$A$1=0),0,IF(OR($A$1="6.1.",$A$1="6.2.",$A$1="6.3.",$A$1="6.4.",$A$1="6.5.",$A$1="6.6."),'LKr Ist'!I37,0))</f>
        <v>0</v>
      </c>
      <c r="J50" s="307" t="str">
        <f>""</f>
        <v/>
      </c>
      <c r="K50" s="306" t="str">
        <f>IF(OR(Umse!$C$24=0,$A$1=0),"",IF(OR($A$1="6.1.",$A$1="6.2.",$A$1="6.3.",$A$1="6.4.",$A$1="6.5.",$A$1="6.6."),'LKr Ist'!K37,""))</f>
        <v/>
      </c>
      <c r="L50" s="322" t="str">
        <f>IF(OR(Umse!$C$24=0,$A$1=0),"",IF(OR($A$1="6.1.",$A$1="6.2.",$A$1="6.3.",$A$1="6.4.",$A$1="6.5.",$A$1="6.6."),'LKr Ist'!L37,""))</f>
        <v/>
      </c>
      <c r="M50" s="308" t="str">
        <f>IF(OR(Umse!$C$24=0,$A$1=0),"",IF(OR($A$1="6.1.",$A$1="6.2.",$A$1="6.3.",$A$1="6.4.",$A$1="6.5.",$A$1="6.6."),'LKr Ist'!M37,""))</f>
        <v/>
      </c>
      <c r="N50" s="308" t="str">
        <f>IF(OR(Umse!$C$24=0,$A$1=0),"",IF(OR($A$1="6.1.",$A$1="6.2.",$A$1="6.3.",$A$1="6.4.",$A$1="6.5.",$A$1="6.6."),'LKr Ist'!N37,""))</f>
        <v/>
      </c>
      <c r="O50" s="308" t="str">
        <f>IF(OR(Umse!$C$24=0,$A$1=0),"",IF(OR($A$1="6.1.",$A$1="6.2.",$A$1="6.3.",$A$1="6.4.",$A$1="6.5.",$A$1="6.6."),'LKr Ist'!O37,""))</f>
        <v/>
      </c>
      <c r="P50" s="308" t="str">
        <f>IF(OR(Umse!$C$24=0,$A$1=0),"",IF(OR($A$1="6.1.",$A$1="6.2.",$A$1="6.3.",$A$1="6.4.",$A$1="6.5.",$A$1="6.6."),'LKr Ist'!P37,""))</f>
        <v/>
      </c>
      <c r="Q50" s="308" t="str">
        <f>IF(OR(Umse!$C$24=0,$A$1=0),"",IF(OR($A$1="6.1.",$A$1="6.2.",$A$1="6.3.",$A$1="6.4.",$A$1="6.5.",$A$1="6.6."),'LKr Ist'!Q37,""))</f>
        <v/>
      </c>
      <c r="R50" s="308" t="str">
        <f>IF(OR(Umse!$C$24=0,$A$1=0),"",IF(OR($A$1="6.1.",$A$1="6.2.",$A$1="6.3.",$A$1="6.4.",$A$1="6.5.",$A$1="6.6."),'LKr Ist'!R37,""))</f>
        <v/>
      </c>
    </row>
    <row r="51" spans="2:18" ht="11.25" customHeight="1">
      <c r="B51" s="306" t="str">
        <f>IF(OR(Umse!$C$24=0,$A$1=0),"",IF(OR($A$1="6.1.",$A$1="6.2.",$A$1="6.3.",$A$1="6.4.",$A$1="6.5.",$A$1="6.6."),'LKr Ist'!B38,""))</f>
        <v/>
      </c>
      <c r="C51" s="322" t="str">
        <f>IF(OR(Umse!$C$24=0,$A$1=0),"",IF(OR($A$1="6.1.",$A$1="6.2.",$A$1="6.3.",$A$1="6.4.",$A$1="6.5.",$A$1="6.6."),'LKr Ist'!C38,""))</f>
        <v/>
      </c>
      <c r="D51" s="308">
        <f>IF(OR(Umse!$C$24=0,$A$1=0),0,IF(OR($A$1="6.1.",$A$1="6.2.",$A$1="6.3.",$A$1="6.4.",$A$1="6.5.",$A$1="6.6."),'LKr Ist'!D38,0))</f>
        <v>0</v>
      </c>
      <c r="E51" s="308">
        <f>IF(OR(Umse!$C$24=0,$A$1=0),0,IF(OR($A$1="6.1.",$A$1="6.2.",$A$1="6.3.",$A$1="6.4.",$A$1="6.5.",$A$1="6.6."),'LKr Ist'!E38,0))</f>
        <v>0</v>
      </c>
      <c r="F51" s="308">
        <f>IF(OR(Umse!$C$24=0,$A$1=0),0,IF(OR($A$1="6.1.",$A$1="6.2.",$A$1="6.3.",$A$1="6.4.",$A$1="6.5.",$A$1="6.6."),'LKr Ist'!F38,0))</f>
        <v>0</v>
      </c>
      <c r="G51" s="308">
        <f>IF(OR(Umse!$C$24=0,$A$1=0),0,IF(OR($A$1="6.1.",$A$1="6.2.",$A$1="6.3.",$A$1="6.4.",$A$1="6.5.",$A$1="6.6."),'LKr Ist'!G38,0))</f>
        <v>0</v>
      </c>
      <c r="H51" s="308">
        <f>IF(OR(Umse!$C$24=0,$A$1=0),0,IF(OR($A$1="6.1.",$A$1="6.2.",$A$1="6.3.",$A$1="6.4.",$A$1="6.5.",$A$1="6.6."),'LKr Ist'!H38,0))</f>
        <v>0</v>
      </c>
      <c r="I51" s="308">
        <f>IF(OR(Umse!$C$24=0,$A$1=0),0,IF(OR($A$1="6.1.",$A$1="6.2.",$A$1="6.3.",$A$1="6.4.",$A$1="6.5.",$A$1="6.6."),'LKr Ist'!I38,0))</f>
        <v>0</v>
      </c>
      <c r="J51" s="307" t="str">
        <f>""</f>
        <v/>
      </c>
      <c r="K51" s="306" t="str">
        <f>IF(OR(Umse!$C$24=0,$A$1=0),"",IF(OR($A$1="6.1.",$A$1="6.2.",$A$1="6.3.",$A$1="6.4.",$A$1="6.5.",$A$1="6.6."),'LKr Ist'!K38,""))</f>
        <v/>
      </c>
      <c r="L51" s="322" t="str">
        <f>IF(OR(Umse!$C$24=0,$A$1=0),"",IF(OR($A$1="6.1.",$A$1="6.2.",$A$1="6.3.",$A$1="6.4.",$A$1="6.5.",$A$1="6.6."),'LKr Ist'!L38,""))</f>
        <v/>
      </c>
      <c r="M51" s="308" t="str">
        <f>IF(OR(Umse!$C$24=0,$A$1=0),"",IF(OR($A$1="6.1.",$A$1="6.2.",$A$1="6.3.",$A$1="6.4.",$A$1="6.5.",$A$1="6.6."),'LKr Ist'!M38,""))</f>
        <v/>
      </c>
      <c r="N51" s="308" t="str">
        <f>IF(OR(Umse!$C$24=0,$A$1=0),"",IF(OR($A$1="6.1.",$A$1="6.2.",$A$1="6.3.",$A$1="6.4.",$A$1="6.5.",$A$1="6.6."),'LKr Ist'!N38,""))</f>
        <v/>
      </c>
      <c r="O51" s="308" t="str">
        <f>IF(OR(Umse!$C$24=0,$A$1=0),"",IF(OR($A$1="6.1.",$A$1="6.2.",$A$1="6.3.",$A$1="6.4.",$A$1="6.5.",$A$1="6.6."),'LKr Ist'!O38,""))</f>
        <v/>
      </c>
      <c r="P51" s="308" t="str">
        <f>IF(OR(Umse!$C$24=0,$A$1=0),"",IF(OR($A$1="6.1.",$A$1="6.2.",$A$1="6.3.",$A$1="6.4.",$A$1="6.5.",$A$1="6.6."),'LKr Ist'!P38,""))</f>
        <v/>
      </c>
      <c r="Q51" s="308" t="str">
        <f>IF(OR(Umse!$C$24=0,$A$1=0),"",IF(OR($A$1="6.1.",$A$1="6.2.",$A$1="6.3.",$A$1="6.4.",$A$1="6.5.",$A$1="6.6."),'LKr Ist'!Q38,""))</f>
        <v/>
      </c>
      <c r="R51" s="308" t="str">
        <f>IF(OR(Umse!$C$24=0,$A$1=0),"",IF(OR($A$1="6.1.",$A$1="6.2.",$A$1="6.3.",$A$1="6.4.",$A$1="6.5.",$A$1="6.6."),'LKr Ist'!R38,""))</f>
        <v/>
      </c>
    </row>
    <row r="52" spans="2:18" ht="11.25" customHeight="1">
      <c r="B52" s="306" t="str">
        <f>IF(OR(Umse!$C$24=0,$A$1=0),"",IF(OR($A$1="6.1.",$A$1="6.2.",$A$1="6.3.",$A$1="6.4.",$A$1="6.5.",$A$1="6.6."),'LKr Ist'!B39,""))</f>
        <v/>
      </c>
      <c r="C52" s="322" t="str">
        <f>IF(OR(Umse!$C$24=0,$A$1=0),"",IF(OR($A$1="6.1.",$A$1="6.2.",$A$1="6.3.",$A$1="6.4.",$A$1="6.5.",$A$1="6.6."),'LKr Ist'!C39,""))</f>
        <v/>
      </c>
      <c r="D52" s="308">
        <f>IF(OR(Umse!$C$24=0,$A$1=0),0,IF(OR($A$1="6.1.",$A$1="6.2.",$A$1="6.3.",$A$1="6.4.",$A$1="6.5.",$A$1="6.6."),'LKr Ist'!D39,0))</f>
        <v>0</v>
      </c>
      <c r="E52" s="308">
        <f>IF(OR(Umse!$C$24=0,$A$1=0),0,IF(OR($A$1="6.1.",$A$1="6.2.",$A$1="6.3.",$A$1="6.4.",$A$1="6.5.",$A$1="6.6."),'LKr Ist'!E39,0))</f>
        <v>0</v>
      </c>
      <c r="F52" s="308">
        <f>IF(OR(Umse!$C$24=0,$A$1=0),0,IF(OR($A$1="6.1.",$A$1="6.2.",$A$1="6.3.",$A$1="6.4.",$A$1="6.5.",$A$1="6.6."),'LKr Ist'!F39,0))</f>
        <v>0</v>
      </c>
      <c r="G52" s="308">
        <f>IF(OR(Umse!$C$24=0,$A$1=0),0,IF(OR($A$1="6.1.",$A$1="6.2.",$A$1="6.3.",$A$1="6.4.",$A$1="6.5.",$A$1="6.6."),'LKr Ist'!G39,0))</f>
        <v>0</v>
      </c>
      <c r="H52" s="308">
        <f>IF(OR(Umse!$C$24=0,$A$1=0),0,IF(OR($A$1="6.1.",$A$1="6.2.",$A$1="6.3.",$A$1="6.4.",$A$1="6.5.",$A$1="6.6."),'LKr Ist'!H39,0))</f>
        <v>0</v>
      </c>
      <c r="I52" s="308">
        <f>IF(OR(Umse!$C$24=0,$A$1=0),0,IF(OR($A$1="6.1.",$A$1="6.2.",$A$1="6.3.",$A$1="6.4.",$A$1="6.5.",$A$1="6.6."),'LKr Ist'!I39,0))</f>
        <v>0</v>
      </c>
      <c r="J52" s="307" t="str">
        <f>""</f>
        <v/>
      </c>
      <c r="K52" s="306" t="str">
        <f>IF(OR(Umse!$C$24=0,$A$1=0),"",IF(OR($A$1="6.1.",$A$1="6.2.",$A$1="6.3.",$A$1="6.4.",$A$1="6.5.",$A$1="6.6."),'LKr Ist'!K39,""))</f>
        <v/>
      </c>
      <c r="L52" s="322" t="str">
        <f>IF(OR(Umse!$C$24=0,$A$1=0),"",IF(OR($A$1="6.1.",$A$1="6.2.",$A$1="6.3.",$A$1="6.4.",$A$1="6.5.",$A$1="6.6."),'LKr Ist'!L39,""))</f>
        <v/>
      </c>
      <c r="M52" s="308" t="str">
        <f>IF(OR(Umse!$C$24=0,$A$1=0),"",IF(OR($A$1="6.1.",$A$1="6.2.",$A$1="6.3.",$A$1="6.4.",$A$1="6.5.",$A$1="6.6."),'LKr Ist'!M39,""))</f>
        <v/>
      </c>
      <c r="N52" s="308" t="str">
        <f>IF(OR(Umse!$C$24=0,$A$1=0),"",IF(OR($A$1="6.1.",$A$1="6.2.",$A$1="6.3.",$A$1="6.4.",$A$1="6.5.",$A$1="6.6."),'LKr Ist'!N39,""))</f>
        <v/>
      </c>
      <c r="O52" s="308" t="str">
        <f>IF(OR(Umse!$C$24=0,$A$1=0),"",IF(OR($A$1="6.1.",$A$1="6.2.",$A$1="6.3.",$A$1="6.4.",$A$1="6.5.",$A$1="6.6."),'LKr Ist'!O39,""))</f>
        <v/>
      </c>
      <c r="P52" s="308" t="str">
        <f>IF(OR(Umse!$C$24=0,$A$1=0),"",IF(OR($A$1="6.1.",$A$1="6.2.",$A$1="6.3.",$A$1="6.4.",$A$1="6.5.",$A$1="6.6."),'LKr Ist'!P39,""))</f>
        <v/>
      </c>
      <c r="Q52" s="308" t="str">
        <f>IF(OR(Umse!$C$24=0,$A$1=0),"",IF(OR($A$1="6.1.",$A$1="6.2.",$A$1="6.3.",$A$1="6.4.",$A$1="6.5.",$A$1="6.6."),'LKr Ist'!Q39,""))</f>
        <v/>
      </c>
      <c r="R52" s="308" t="str">
        <f>IF(OR(Umse!$C$24=0,$A$1=0),"",IF(OR($A$1="6.1.",$A$1="6.2.",$A$1="6.3.",$A$1="6.4.",$A$1="6.5.",$A$1="6.6."),'LKr Ist'!R39,""))</f>
        <v/>
      </c>
    </row>
    <row r="53" spans="2:18" ht="11.25" customHeight="1">
      <c r="B53" s="306" t="str">
        <f>IF(OR(Umse!$C$24=0,$A$1=0),"",IF(OR($A$1="6.1.",$A$1="6.2.",$A$1="6.3.",$A$1="6.4.",$A$1="6.5.",$A$1="6.6."),'LKr Ist'!B40,""))</f>
        <v/>
      </c>
      <c r="C53" s="322" t="str">
        <f>IF(OR(Umse!$C$24=0,$A$1=0),"",IF(OR($A$1="6.1.",$A$1="6.2.",$A$1="6.3.",$A$1="6.4.",$A$1="6.5.",$A$1="6.6."),'LKr Ist'!C40,""))</f>
        <v/>
      </c>
      <c r="D53" s="308">
        <f>IF(OR(Umse!$C$24=0,$A$1=0),0,IF(OR($A$1="6.1.",$A$1="6.2.",$A$1="6.3.",$A$1="6.4.",$A$1="6.5.",$A$1="6.6."),'LKr Ist'!D40,0))</f>
        <v>0</v>
      </c>
      <c r="E53" s="308">
        <f>IF(OR(Umse!$C$24=0,$A$1=0),0,IF(OR($A$1="6.1.",$A$1="6.2.",$A$1="6.3.",$A$1="6.4.",$A$1="6.5.",$A$1="6.6."),'LKr Ist'!E40,0))</f>
        <v>0</v>
      </c>
      <c r="F53" s="308">
        <f>IF(OR(Umse!$C$24=0,$A$1=0),0,IF(OR($A$1="6.1.",$A$1="6.2.",$A$1="6.3.",$A$1="6.4.",$A$1="6.5.",$A$1="6.6."),'LKr Ist'!F40,0))</f>
        <v>0</v>
      </c>
      <c r="G53" s="308">
        <f>IF(OR(Umse!$C$24=0,$A$1=0),0,IF(OR($A$1="6.1.",$A$1="6.2.",$A$1="6.3.",$A$1="6.4.",$A$1="6.5.",$A$1="6.6."),'LKr Ist'!G40,0))</f>
        <v>0</v>
      </c>
      <c r="H53" s="308">
        <f>IF(OR(Umse!$C$24=0,$A$1=0),0,IF(OR($A$1="6.1.",$A$1="6.2.",$A$1="6.3.",$A$1="6.4.",$A$1="6.5.",$A$1="6.6."),'LKr Ist'!H40,0))</f>
        <v>0</v>
      </c>
      <c r="I53" s="308">
        <f>IF(OR(Umse!$C$24=0,$A$1=0),0,IF(OR($A$1="6.1.",$A$1="6.2.",$A$1="6.3.",$A$1="6.4.",$A$1="6.5.",$A$1="6.6."),'LKr Ist'!I40,0))</f>
        <v>0</v>
      </c>
      <c r="J53" s="307" t="str">
        <f>""</f>
        <v/>
      </c>
      <c r="K53" s="306" t="str">
        <f>IF(OR(Umse!$C$24=0,$A$1=0),"",IF(OR($A$1="6.1.",$A$1="6.2.",$A$1="6.3.",$A$1="6.4.",$A$1="6.5.",$A$1="6.6."),'LKr Ist'!K40,""))</f>
        <v/>
      </c>
      <c r="L53" s="322" t="str">
        <f>IF(OR(Umse!$C$24=0,$A$1=0),"",IF(OR($A$1="6.1.",$A$1="6.2.",$A$1="6.3.",$A$1="6.4.",$A$1="6.5.",$A$1="6.6."),'LKr Ist'!L40,""))</f>
        <v/>
      </c>
      <c r="M53" s="308" t="str">
        <f>IF(OR(Umse!$C$24=0,$A$1=0),"",IF(OR($A$1="6.1.",$A$1="6.2.",$A$1="6.3.",$A$1="6.4.",$A$1="6.5.",$A$1="6.6."),'LKr Ist'!M40,""))</f>
        <v/>
      </c>
      <c r="N53" s="308" t="str">
        <f>IF(OR(Umse!$C$24=0,$A$1=0),"",IF(OR($A$1="6.1.",$A$1="6.2.",$A$1="6.3.",$A$1="6.4.",$A$1="6.5.",$A$1="6.6."),'LKr Ist'!N40,""))</f>
        <v/>
      </c>
      <c r="O53" s="308" t="str">
        <f>IF(OR(Umse!$C$24=0,$A$1=0),"",IF(OR($A$1="6.1.",$A$1="6.2.",$A$1="6.3.",$A$1="6.4.",$A$1="6.5.",$A$1="6.6."),'LKr Ist'!O40,""))</f>
        <v/>
      </c>
      <c r="P53" s="308" t="str">
        <f>IF(OR(Umse!$C$24=0,$A$1=0),"",IF(OR($A$1="6.1.",$A$1="6.2.",$A$1="6.3.",$A$1="6.4.",$A$1="6.5.",$A$1="6.6."),'LKr Ist'!P40,""))</f>
        <v/>
      </c>
      <c r="Q53" s="308" t="str">
        <f>IF(OR(Umse!$C$24=0,$A$1=0),"",IF(OR($A$1="6.1.",$A$1="6.2.",$A$1="6.3.",$A$1="6.4.",$A$1="6.5.",$A$1="6.6."),'LKr Ist'!Q40,""))</f>
        <v/>
      </c>
      <c r="R53" s="308" t="str">
        <f>IF(OR(Umse!$C$24=0,$A$1=0),"",IF(OR($A$1="6.1.",$A$1="6.2.",$A$1="6.3.",$A$1="6.4.",$A$1="6.5.",$A$1="6.6."),'LKr Ist'!R40,""))</f>
        <v/>
      </c>
    </row>
    <row r="54" spans="2:18" ht="11.25" customHeight="1">
      <c r="B54" s="306" t="str">
        <f>IF(OR(Umse!$C$24=0,$A$1=0),"",IF(OR($A$1="6.1.",$A$1="6.2.",$A$1="6.3.",$A$1="6.4.",$A$1="6.5.",$A$1="6.6."),'LKr Ist'!B41,""))</f>
        <v/>
      </c>
      <c r="C54" s="322" t="str">
        <f>IF(OR(Umse!$C$24=0,$A$1=0),"",IF(OR($A$1="6.1.",$A$1="6.2.",$A$1="6.3.",$A$1="6.4.",$A$1="6.5.",$A$1="6.6."),'LKr Ist'!C41,""))</f>
        <v/>
      </c>
      <c r="D54" s="308">
        <f>IF(OR(Umse!$C$24=0,$A$1=0),0,IF(OR($A$1="6.1.",$A$1="6.2.",$A$1="6.3.",$A$1="6.4.",$A$1="6.5.",$A$1="6.6."),'LKr Ist'!D41,0))</f>
        <v>0</v>
      </c>
      <c r="E54" s="308">
        <f>IF(OR(Umse!$C$24=0,$A$1=0),0,IF(OR($A$1="6.1.",$A$1="6.2.",$A$1="6.3.",$A$1="6.4.",$A$1="6.5.",$A$1="6.6."),'LKr Ist'!E41,0))</f>
        <v>0</v>
      </c>
      <c r="F54" s="308">
        <f>IF(OR(Umse!$C$24=0,$A$1=0),0,IF(OR($A$1="6.1.",$A$1="6.2.",$A$1="6.3.",$A$1="6.4.",$A$1="6.5.",$A$1="6.6."),'LKr Ist'!F41,0))</f>
        <v>0</v>
      </c>
      <c r="G54" s="308">
        <f>IF(OR(Umse!$C$24=0,$A$1=0),0,IF(OR($A$1="6.1.",$A$1="6.2.",$A$1="6.3.",$A$1="6.4.",$A$1="6.5.",$A$1="6.6."),'LKr Ist'!G41,0))</f>
        <v>0</v>
      </c>
      <c r="H54" s="308">
        <f>IF(OR(Umse!$C$24=0,$A$1=0),0,IF(OR($A$1="6.1.",$A$1="6.2.",$A$1="6.3.",$A$1="6.4.",$A$1="6.5.",$A$1="6.6."),'LKr Ist'!H41,0))</f>
        <v>0</v>
      </c>
      <c r="I54" s="308">
        <f>IF(OR(Umse!$C$24=0,$A$1=0),0,IF(OR($A$1="6.1.",$A$1="6.2.",$A$1="6.3.",$A$1="6.4.",$A$1="6.5.",$A$1="6.6."),'LKr Ist'!I41,0))</f>
        <v>0</v>
      </c>
      <c r="J54" s="307" t="str">
        <f>""</f>
        <v/>
      </c>
      <c r="K54" s="306" t="str">
        <f>IF(OR(Umse!$C$24=0,$A$1=0),"",IF(OR($A$1="6.1.",$A$1="6.2.",$A$1="6.3.",$A$1="6.4.",$A$1="6.5.",$A$1="6.6."),'LKr Ist'!K41,""))</f>
        <v/>
      </c>
      <c r="L54" s="322" t="str">
        <f>IF(OR(Umse!$C$24=0,$A$1=0),"",IF(OR($A$1="6.1.",$A$1="6.2.",$A$1="6.3.",$A$1="6.4.",$A$1="6.5.",$A$1="6.6."),'LKr Ist'!L41,""))</f>
        <v/>
      </c>
      <c r="M54" s="308" t="str">
        <f>IF(OR(Umse!$C$24=0,$A$1=0),"",IF(OR($A$1="6.1.",$A$1="6.2.",$A$1="6.3.",$A$1="6.4.",$A$1="6.5.",$A$1="6.6."),'LKr Ist'!M41,""))</f>
        <v/>
      </c>
      <c r="N54" s="308" t="str">
        <f>IF(OR(Umse!$C$24=0,$A$1=0),"",IF(OR($A$1="6.1.",$A$1="6.2.",$A$1="6.3.",$A$1="6.4.",$A$1="6.5.",$A$1="6.6."),'LKr Ist'!N41,""))</f>
        <v/>
      </c>
      <c r="O54" s="308" t="str">
        <f>IF(OR(Umse!$C$24=0,$A$1=0),"",IF(OR($A$1="6.1.",$A$1="6.2.",$A$1="6.3.",$A$1="6.4.",$A$1="6.5.",$A$1="6.6."),'LKr Ist'!O41,""))</f>
        <v/>
      </c>
      <c r="P54" s="308" t="str">
        <f>IF(OR(Umse!$C$24=0,$A$1=0),"",IF(OR($A$1="6.1.",$A$1="6.2.",$A$1="6.3.",$A$1="6.4.",$A$1="6.5.",$A$1="6.6."),'LKr Ist'!P41,""))</f>
        <v/>
      </c>
      <c r="Q54" s="308" t="str">
        <f>IF(OR(Umse!$C$24=0,$A$1=0),"",IF(OR($A$1="6.1.",$A$1="6.2.",$A$1="6.3.",$A$1="6.4.",$A$1="6.5.",$A$1="6.6."),'LKr Ist'!Q41,""))</f>
        <v/>
      </c>
      <c r="R54" s="308" t="str">
        <f>IF(OR(Umse!$C$24=0,$A$1=0),"",IF(OR($A$1="6.1.",$A$1="6.2.",$A$1="6.3.",$A$1="6.4.",$A$1="6.5.",$A$1="6.6."),'LKr Ist'!R41,""))</f>
        <v/>
      </c>
    </row>
    <row r="55" spans="2:18" ht="11.25" customHeight="1">
      <c r="B55" s="306" t="str">
        <f>IF(OR(Umse!$C$24=0,$A$1=0),"",IF(OR($A$1="6.1.",$A$1="6.2.",$A$1="6.3.",$A$1="6.4.",$A$1="6.5.",$A$1="6.6."),'LKr Ist'!B42,""))</f>
        <v/>
      </c>
      <c r="C55" s="322" t="str">
        <f>IF(OR(Umse!$C$24=0,$A$1=0),"",IF(OR($A$1="6.1.",$A$1="6.2.",$A$1="6.3.",$A$1="6.4.",$A$1="6.5.",$A$1="6.6."),'LKr Ist'!C42,""))</f>
        <v/>
      </c>
      <c r="D55" s="308">
        <f>IF(OR(Umse!$C$24=0,$A$1=0),0,IF(OR($A$1="6.1.",$A$1="6.2.",$A$1="6.3.",$A$1="6.4.",$A$1="6.5.",$A$1="6.6."),'LKr Ist'!D42,0))</f>
        <v>0</v>
      </c>
      <c r="E55" s="308">
        <f>IF(OR(Umse!$C$24=0,$A$1=0),0,IF(OR($A$1="6.1.",$A$1="6.2.",$A$1="6.3.",$A$1="6.4.",$A$1="6.5.",$A$1="6.6."),'LKr Ist'!E42,0))</f>
        <v>0</v>
      </c>
      <c r="F55" s="308">
        <f>IF(OR(Umse!$C$24=0,$A$1=0),0,IF(OR($A$1="6.1.",$A$1="6.2.",$A$1="6.3.",$A$1="6.4.",$A$1="6.5.",$A$1="6.6."),'LKr Ist'!F42,0))</f>
        <v>0</v>
      </c>
      <c r="G55" s="308">
        <f>IF(OR(Umse!$C$24=0,$A$1=0),0,IF(OR($A$1="6.1.",$A$1="6.2.",$A$1="6.3.",$A$1="6.4.",$A$1="6.5.",$A$1="6.6."),'LKr Ist'!G42,0))</f>
        <v>0</v>
      </c>
      <c r="H55" s="308">
        <f>IF(OR(Umse!$C$24=0,$A$1=0),0,IF(OR($A$1="6.1.",$A$1="6.2.",$A$1="6.3.",$A$1="6.4.",$A$1="6.5.",$A$1="6.6."),'LKr Ist'!H42,0))</f>
        <v>0</v>
      </c>
      <c r="I55" s="308">
        <f>IF(OR(Umse!$C$24=0,$A$1=0),0,IF(OR($A$1="6.1.",$A$1="6.2.",$A$1="6.3.",$A$1="6.4.",$A$1="6.5.",$A$1="6.6."),'LKr Ist'!I42,0))</f>
        <v>0</v>
      </c>
      <c r="J55" s="307" t="str">
        <f>""</f>
        <v/>
      </c>
      <c r="K55" s="306" t="str">
        <f>IF(OR(Umse!$C$24=0,$A$1=0),"",IF(OR($A$1="6.1.",$A$1="6.2.",$A$1="6.3.",$A$1="6.4.",$A$1="6.5.",$A$1="6.6."),'LKr Ist'!K42,""))</f>
        <v/>
      </c>
      <c r="L55" s="322" t="str">
        <f>IF(OR(Umse!$C$24=0,$A$1=0),"",IF(OR($A$1="6.1.",$A$1="6.2.",$A$1="6.3.",$A$1="6.4.",$A$1="6.5.",$A$1="6.6."),'LKr Ist'!L42,""))</f>
        <v/>
      </c>
      <c r="M55" s="308" t="str">
        <f>IF(OR(Umse!$C$24=0,$A$1=0),"",IF(OR($A$1="6.1.",$A$1="6.2.",$A$1="6.3.",$A$1="6.4.",$A$1="6.5.",$A$1="6.6."),'LKr Ist'!M42,""))</f>
        <v/>
      </c>
      <c r="N55" s="308" t="str">
        <f>IF(OR(Umse!$C$24=0,$A$1=0),"",IF(OR($A$1="6.1.",$A$1="6.2.",$A$1="6.3.",$A$1="6.4.",$A$1="6.5.",$A$1="6.6."),'LKr Ist'!N42,""))</f>
        <v/>
      </c>
      <c r="O55" s="308" t="str">
        <f>IF(OR(Umse!$C$24=0,$A$1=0),"",IF(OR($A$1="6.1.",$A$1="6.2.",$A$1="6.3.",$A$1="6.4.",$A$1="6.5.",$A$1="6.6."),'LKr Ist'!O42,""))</f>
        <v/>
      </c>
      <c r="P55" s="308" t="str">
        <f>IF(OR(Umse!$C$24=0,$A$1=0),"",IF(OR($A$1="6.1.",$A$1="6.2.",$A$1="6.3.",$A$1="6.4.",$A$1="6.5.",$A$1="6.6."),'LKr Ist'!P42,""))</f>
        <v/>
      </c>
      <c r="Q55" s="308" t="str">
        <f>IF(OR(Umse!$C$24=0,$A$1=0),"",IF(OR($A$1="6.1.",$A$1="6.2.",$A$1="6.3.",$A$1="6.4.",$A$1="6.5.",$A$1="6.6."),'LKr Ist'!Q42,""))</f>
        <v/>
      </c>
      <c r="R55" s="308" t="str">
        <f>IF(OR(Umse!$C$24=0,$A$1=0),"",IF(OR($A$1="6.1.",$A$1="6.2.",$A$1="6.3.",$A$1="6.4.",$A$1="6.5.",$A$1="6.6."),'LKr Ist'!R42,""))</f>
        <v/>
      </c>
    </row>
    <row r="56" spans="2:18" ht="11.25" customHeight="1">
      <c r="B56" s="306" t="str">
        <f>IF(OR(Umse!$C$24=0,$A$1=0),"",IF(OR($A$1="6.1.",$A$1="6.2.",$A$1="6.3.",$A$1="6.4.",$A$1="6.5.",$A$1="6.6."),'LKr Ist'!B43,""))</f>
        <v/>
      </c>
      <c r="C56" s="322" t="str">
        <f>IF(OR(Umse!$C$24=0,$A$1=0),"",IF(OR($A$1="6.1.",$A$1="6.2.",$A$1="6.3.",$A$1="6.4.",$A$1="6.5.",$A$1="6.6."),'LKr Ist'!C43,""))</f>
        <v/>
      </c>
      <c r="D56" s="308">
        <f>IF(OR(Umse!$C$24=0,$A$1=0),0,IF(OR($A$1="6.1.",$A$1="6.2.",$A$1="6.3.",$A$1="6.4.",$A$1="6.5.",$A$1="6.6."),'LKr Ist'!D43,0))</f>
        <v>0</v>
      </c>
      <c r="E56" s="308">
        <f>IF(OR(Umse!$C$24=0,$A$1=0),0,IF(OR($A$1="6.1.",$A$1="6.2.",$A$1="6.3.",$A$1="6.4.",$A$1="6.5.",$A$1="6.6."),'LKr Ist'!E43,0))</f>
        <v>0</v>
      </c>
      <c r="F56" s="308">
        <f>IF(OR(Umse!$C$24=0,$A$1=0),0,IF(OR($A$1="6.1.",$A$1="6.2.",$A$1="6.3.",$A$1="6.4.",$A$1="6.5.",$A$1="6.6."),'LKr Ist'!F43,0))</f>
        <v>0</v>
      </c>
      <c r="G56" s="308">
        <f>IF(OR(Umse!$C$24=0,$A$1=0),0,IF(OR($A$1="6.1.",$A$1="6.2.",$A$1="6.3.",$A$1="6.4.",$A$1="6.5.",$A$1="6.6."),'LKr Ist'!G43,0))</f>
        <v>0</v>
      </c>
      <c r="H56" s="308">
        <f>IF(OR(Umse!$C$24=0,$A$1=0),0,IF(OR($A$1="6.1.",$A$1="6.2.",$A$1="6.3.",$A$1="6.4.",$A$1="6.5.",$A$1="6.6."),'LKr Ist'!H43,0))</f>
        <v>0</v>
      </c>
      <c r="I56" s="308">
        <f>IF(OR(Umse!$C$24=0,$A$1=0),0,IF(OR($A$1="6.1.",$A$1="6.2.",$A$1="6.3.",$A$1="6.4.",$A$1="6.5.",$A$1="6.6."),'LKr Ist'!I43,0))</f>
        <v>0</v>
      </c>
      <c r="J56" s="307" t="str">
        <f>""</f>
        <v/>
      </c>
      <c r="K56" s="306" t="str">
        <f>IF(OR(Umse!$C$24=0,$A$1=0),"",IF(OR($A$1="6.1.",$A$1="6.2.",$A$1="6.3.",$A$1="6.4.",$A$1="6.5.",$A$1="6.6."),'LKr Ist'!K43,""))</f>
        <v/>
      </c>
      <c r="L56" s="322" t="str">
        <f>IF(OR(Umse!$C$24=0,$A$1=0),"",IF(OR($A$1="6.1.",$A$1="6.2.",$A$1="6.3.",$A$1="6.4.",$A$1="6.5.",$A$1="6.6."),'LKr Ist'!L43,""))</f>
        <v/>
      </c>
      <c r="M56" s="308" t="str">
        <f>IF(OR(Umse!$C$24=0,$A$1=0),"",IF(OR($A$1="6.1.",$A$1="6.2.",$A$1="6.3.",$A$1="6.4.",$A$1="6.5.",$A$1="6.6."),'LKr Ist'!M43,""))</f>
        <v/>
      </c>
      <c r="N56" s="308" t="str">
        <f>IF(OR(Umse!$C$24=0,$A$1=0),"",IF(OR($A$1="6.1.",$A$1="6.2.",$A$1="6.3.",$A$1="6.4.",$A$1="6.5.",$A$1="6.6."),'LKr Ist'!N43,""))</f>
        <v/>
      </c>
      <c r="O56" s="308" t="str">
        <f>IF(OR(Umse!$C$24=0,$A$1=0),"",IF(OR($A$1="6.1.",$A$1="6.2.",$A$1="6.3.",$A$1="6.4.",$A$1="6.5.",$A$1="6.6."),'LKr Ist'!O43,""))</f>
        <v/>
      </c>
      <c r="P56" s="308" t="str">
        <f>IF(OR(Umse!$C$24=0,$A$1=0),"",IF(OR($A$1="6.1.",$A$1="6.2.",$A$1="6.3.",$A$1="6.4.",$A$1="6.5.",$A$1="6.6."),'LKr Ist'!P43,""))</f>
        <v/>
      </c>
      <c r="Q56" s="308" t="str">
        <f>IF(OR(Umse!$C$24=0,$A$1=0),"",IF(OR($A$1="6.1.",$A$1="6.2.",$A$1="6.3.",$A$1="6.4.",$A$1="6.5.",$A$1="6.6."),'LKr Ist'!Q43,""))</f>
        <v/>
      </c>
      <c r="R56" s="308" t="str">
        <f>IF(OR(Umse!$C$24=0,$A$1=0),"",IF(OR($A$1="6.1.",$A$1="6.2.",$A$1="6.3.",$A$1="6.4.",$A$1="6.5.",$A$1="6.6."),'LKr Ist'!R43,""))</f>
        <v/>
      </c>
    </row>
    <row r="57" spans="2:18" ht="11.25" customHeight="1">
      <c r="B57" s="306" t="str">
        <f>IF(OR(Umse!$C$24=0,$A$1=0),"",IF(OR($A$1="6.1.",$A$1="6.2.",$A$1="6.3.",$A$1="6.4.",$A$1="6.5.",$A$1="6.6."),'LKr Ist'!B44,""))</f>
        <v/>
      </c>
      <c r="C57" s="322" t="str">
        <f>IF(OR(Umse!$C$24=0,$A$1=0),"",IF(OR($A$1="6.1.",$A$1="6.2.",$A$1="6.3.",$A$1="6.4.",$A$1="6.5.",$A$1="6.6."),'LKr Ist'!C44,""))</f>
        <v/>
      </c>
      <c r="D57" s="308">
        <f>IF(OR(Umse!$C$24=0,$A$1=0),0,IF(OR($A$1="6.1.",$A$1="6.2.",$A$1="6.3.",$A$1="6.4.",$A$1="6.5.",$A$1="6.6."),'LKr Ist'!D44,0))</f>
        <v>0</v>
      </c>
      <c r="E57" s="308">
        <f>IF(OR(Umse!$C$24=0,$A$1=0),0,IF(OR($A$1="6.1.",$A$1="6.2.",$A$1="6.3.",$A$1="6.4.",$A$1="6.5.",$A$1="6.6."),'LKr Ist'!E44,0))</f>
        <v>0</v>
      </c>
      <c r="F57" s="308">
        <f>IF(OR(Umse!$C$24=0,$A$1=0),0,IF(OR($A$1="6.1.",$A$1="6.2.",$A$1="6.3.",$A$1="6.4.",$A$1="6.5.",$A$1="6.6."),'LKr Ist'!F44,0))</f>
        <v>0</v>
      </c>
      <c r="G57" s="308">
        <f>IF(OR(Umse!$C$24=0,$A$1=0),0,IF(OR($A$1="6.1.",$A$1="6.2.",$A$1="6.3.",$A$1="6.4.",$A$1="6.5.",$A$1="6.6."),'LKr Ist'!G44,0))</f>
        <v>0</v>
      </c>
      <c r="H57" s="308">
        <f>IF(OR(Umse!$C$24=0,$A$1=0),0,IF(OR($A$1="6.1.",$A$1="6.2.",$A$1="6.3.",$A$1="6.4.",$A$1="6.5.",$A$1="6.6."),'LKr Ist'!H44,0))</f>
        <v>0</v>
      </c>
      <c r="I57" s="308">
        <f>IF(OR(Umse!$C$24=0,$A$1=0),0,IF(OR($A$1="6.1.",$A$1="6.2.",$A$1="6.3.",$A$1="6.4.",$A$1="6.5.",$A$1="6.6."),'LKr Ist'!I44,0))</f>
        <v>0</v>
      </c>
      <c r="J57" s="307" t="str">
        <f>""</f>
        <v/>
      </c>
      <c r="K57" s="306" t="str">
        <f>IF(OR(Umse!$C$24=0,$A$1=0),"",IF(OR($A$1="6.1.",$A$1="6.2.",$A$1="6.3.",$A$1="6.4.",$A$1="6.5.",$A$1="6.6."),'LKr Ist'!K44,""))</f>
        <v/>
      </c>
      <c r="L57" s="322" t="str">
        <f>IF(OR(Umse!$C$24=0,$A$1=0),"",IF(OR($A$1="6.1.",$A$1="6.2.",$A$1="6.3.",$A$1="6.4.",$A$1="6.5.",$A$1="6.6."),'LKr Ist'!L44,""))</f>
        <v/>
      </c>
      <c r="M57" s="308" t="str">
        <f>IF(OR(Umse!$C$24=0,$A$1=0),"",IF(OR($A$1="6.1.",$A$1="6.2.",$A$1="6.3.",$A$1="6.4.",$A$1="6.5.",$A$1="6.6."),'LKr Ist'!M44,""))</f>
        <v/>
      </c>
      <c r="N57" s="308" t="str">
        <f>IF(OR(Umse!$C$24=0,$A$1=0),"",IF(OR($A$1="6.1.",$A$1="6.2.",$A$1="6.3.",$A$1="6.4.",$A$1="6.5.",$A$1="6.6."),'LKr Ist'!N44,""))</f>
        <v/>
      </c>
      <c r="O57" s="308" t="str">
        <f>IF(OR(Umse!$C$24=0,$A$1=0),"",IF(OR($A$1="6.1.",$A$1="6.2.",$A$1="6.3.",$A$1="6.4.",$A$1="6.5.",$A$1="6.6."),'LKr Ist'!O44,""))</f>
        <v/>
      </c>
      <c r="P57" s="308" t="str">
        <f>IF(OR(Umse!$C$24=0,$A$1=0),"",IF(OR($A$1="6.1.",$A$1="6.2.",$A$1="6.3.",$A$1="6.4.",$A$1="6.5.",$A$1="6.6."),'LKr Ist'!P44,""))</f>
        <v/>
      </c>
      <c r="Q57" s="308" t="str">
        <f>IF(OR(Umse!$C$24=0,$A$1=0),"",IF(OR($A$1="6.1.",$A$1="6.2.",$A$1="6.3.",$A$1="6.4.",$A$1="6.5.",$A$1="6.6."),'LKr Ist'!Q44,""))</f>
        <v/>
      </c>
      <c r="R57" s="308" t="str">
        <f>IF(OR(Umse!$C$24=0,$A$1=0),"",IF(OR($A$1="6.1.",$A$1="6.2.",$A$1="6.3.",$A$1="6.4.",$A$1="6.5.",$A$1="6.6."),'LKr Ist'!R44,""))</f>
        <v/>
      </c>
    </row>
    <row r="58" spans="2:18" ht="11.25" customHeight="1">
      <c r="B58" s="306" t="str">
        <f>IF(OR(Umse!$C$24=0,$A$1=0),"",IF(OR($A$1="6.1.",$A$1="6.2.",$A$1="6.3.",$A$1="6.4.",$A$1="6.5.",$A$1="6.6."),'LKr Ist'!B45,""))</f>
        <v/>
      </c>
      <c r="C58" s="322" t="str">
        <f>IF(OR(Umse!$C$24=0,$A$1=0),"",IF(OR($A$1="6.1.",$A$1="6.2.",$A$1="6.3.",$A$1="6.4.",$A$1="6.5.",$A$1="6.6."),'LKr Ist'!C45,""))</f>
        <v/>
      </c>
      <c r="D58" s="308">
        <f>IF(OR(Umse!$C$24=0,$A$1=0),0,IF(OR($A$1="6.1.",$A$1="6.2.",$A$1="6.3.",$A$1="6.4.",$A$1="6.5.",$A$1="6.6."),'LKr Ist'!D45,0))</f>
        <v>0</v>
      </c>
      <c r="E58" s="308">
        <f>IF(OR(Umse!$C$24=0,$A$1=0),0,IF(OR($A$1="6.1.",$A$1="6.2.",$A$1="6.3.",$A$1="6.4.",$A$1="6.5.",$A$1="6.6."),'LKr Ist'!E45,0))</f>
        <v>0</v>
      </c>
      <c r="F58" s="308">
        <f>IF(OR(Umse!$C$24=0,$A$1=0),0,IF(OR($A$1="6.1.",$A$1="6.2.",$A$1="6.3.",$A$1="6.4.",$A$1="6.5.",$A$1="6.6."),'LKr Ist'!F45,0))</f>
        <v>0</v>
      </c>
      <c r="G58" s="308">
        <f>IF(OR(Umse!$C$24=0,$A$1=0),0,IF(OR($A$1="6.1.",$A$1="6.2.",$A$1="6.3.",$A$1="6.4.",$A$1="6.5.",$A$1="6.6."),'LKr Ist'!G45,0))</f>
        <v>0</v>
      </c>
      <c r="H58" s="308">
        <f>IF(OR(Umse!$C$24=0,$A$1=0),0,IF(OR($A$1="6.1.",$A$1="6.2.",$A$1="6.3.",$A$1="6.4.",$A$1="6.5.",$A$1="6.6."),'LKr Ist'!H45,0))</f>
        <v>0</v>
      </c>
      <c r="I58" s="308">
        <f>IF(OR(Umse!$C$24=0,$A$1=0),0,IF(OR($A$1="6.1.",$A$1="6.2.",$A$1="6.3.",$A$1="6.4.",$A$1="6.5.",$A$1="6.6."),'LKr Ist'!I45,0))</f>
        <v>0</v>
      </c>
      <c r="J58" s="307" t="str">
        <f>""</f>
        <v/>
      </c>
      <c r="K58" s="306" t="str">
        <f>IF(OR(Umse!$C$24=0,$A$1=0),"",IF(OR($A$1="6.1.",$A$1="6.2.",$A$1="6.3.",$A$1="6.4.",$A$1="6.5.",$A$1="6.6."),'LKr Ist'!K45,""))</f>
        <v/>
      </c>
      <c r="L58" s="322" t="str">
        <f>IF(OR(Umse!$C$24=0,$A$1=0),"",IF(OR($A$1="6.1.",$A$1="6.2.",$A$1="6.3.",$A$1="6.4.",$A$1="6.5.",$A$1="6.6."),'LKr Ist'!L45,""))</f>
        <v/>
      </c>
      <c r="M58" s="308" t="str">
        <f>IF(OR(Umse!$C$24=0,$A$1=0),"",IF(OR($A$1="6.1.",$A$1="6.2.",$A$1="6.3.",$A$1="6.4.",$A$1="6.5.",$A$1="6.6."),'LKr Ist'!M45,""))</f>
        <v/>
      </c>
      <c r="N58" s="308" t="str">
        <f>IF(OR(Umse!$C$24=0,$A$1=0),"",IF(OR($A$1="6.1.",$A$1="6.2.",$A$1="6.3.",$A$1="6.4.",$A$1="6.5.",$A$1="6.6."),'LKr Ist'!N45,""))</f>
        <v/>
      </c>
      <c r="O58" s="308" t="str">
        <f>IF(OR(Umse!$C$24=0,$A$1=0),"",IF(OR($A$1="6.1.",$A$1="6.2.",$A$1="6.3.",$A$1="6.4.",$A$1="6.5.",$A$1="6.6."),'LKr Ist'!O45,""))</f>
        <v/>
      </c>
      <c r="P58" s="308" t="str">
        <f>IF(OR(Umse!$C$24=0,$A$1=0),"",IF(OR($A$1="6.1.",$A$1="6.2.",$A$1="6.3.",$A$1="6.4.",$A$1="6.5.",$A$1="6.6."),'LKr Ist'!P45,""))</f>
        <v/>
      </c>
      <c r="Q58" s="308" t="str">
        <f>IF(OR(Umse!$C$24=0,$A$1=0),"",IF(OR($A$1="6.1.",$A$1="6.2.",$A$1="6.3.",$A$1="6.4.",$A$1="6.5.",$A$1="6.6."),'LKr Ist'!Q45,""))</f>
        <v/>
      </c>
      <c r="R58" s="308" t="str">
        <f>IF(OR(Umse!$C$24=0,$A$1=0),"",IF(OR($A$1="6.1.",$A$1="6.2.",$A$1="6.3.",$A$1="6.4.",$A$1="6.5.",$A$1="6.6."),'LKr Ist'!R45,""))</f>
        <v/>
      </c>
    </row>
    <row r="59" spans="2:18" ht="11.25" customHeight="1">
      <c r="B59" s="306" t="str">
        <f>IF(OR(Umse!$C$24=0,$A$1=0),"",IF(OR($A$1="6.1.",$A$1="6.2.",$A$1="6.3.",$A$1="6.4.",$A$1="6.5.",$A$1="6.6."),'LKr Ist'!B46,""))</f>
        <v/>
      </c>
      <c r="C59" s="322" t="str">
        <f>IF(OR(Umse!$C$24=0,$A$1=0),"",IF(OR($A$1="6.1.",$A$1="6.2.",$A$1="6.3.",$A$1="6.4.",$A$1="6.5.",$A$1="6.6."),'LKr Ist'!C46,""))</f>
        <v/>
      </c>
      <c r="D59" s="308">
        <f>IF(OR(Umse!$C$24=0,$A$1=0),0,IF(OR($A$1="6.1.",$A$1="6.2.",$A$1="6.3.",$A$1="6.4.",$A$1="6.5.",$A$1="6.6."),'LKr Ist'!D46,0))</f>
        <v>0</v>
      </c>
      <c r="E59" s="308">
        <f>IF(OR(Umse!$C$24=0,$A$1=0),0,IF(OR($A$1="6.1.",$A$1="6.2.",$A$1="6.3.",$A$1="6.4.",$A$1="6.5.",$A$1="6.6."),'LKr Ist'!E46,0))</f>
        <v>0</v>
      </c>
      <c r="F59" s="308">
        <f>IF(OR(Umse!$C$24=0,$A$1=0),0,IF(OR($A$1="6.1.",$A$1="6.2.",$A$1="6.3.",$A$1="6.4.",$A$1="6.5.",$A$1="6.6."),'LKr Ist'!F46,0))</f>
        <v>0</v>
      </c>
      <c r="G59" s="308">
        <f>IF(OR(Umse!$C$24=0,$A$1=0),0,IF(OR($A$1="6.1.",$A$1="6.2.",$A$1="6.3.",$A$1="6.4.",$A$1="6.5.",$A$1="6.6."),'LKr Ist'!G46,0))</f>
        <v>0</v>
      </c>
      <c r="H59" s="308">
        <f>IF(OR(Umse!$C$24=0,$A$1=0),0,IF(OR($A$1="6.1.",$A$1="6.2.",$A$1="6.3.",$A$1="6.4.",$A$1="6.5.",$A$1="6.6."),'LKr Ist'!H46,0))</f>
        <v>0</v>
      </c>
      <c r="I59" s="308">
        <f>IF(OR(Umse!$C$24=0,$A$1=0),0,IF(OR($A$1="6.1.",$A$1="6.2.",$A$1="6.3.",$A$1="6.4.",$A$1="6.5.",$A$1="6.6."),'LKr Ist'!I46,0))</f>
        <v>0</v>
      </c>
      <c r="J59" s="307" t="str">
        <f>""</f>
        <v/>
      </c>
      <c r="K59" s="306" t="str">
        <f>IF(OR(Umse!$C$24=0,$A$1=0),"",IF(OR($A$1="6.1.",$A$1="6.2.",$A$1="6.3.",$A$1="6.4.",$A$1="6.5.",$A$1="6.6."),'LKr Ist'!K46,""))</f>
        <v/>
      </c>
      <c r="L59" s="322" t="str">
        <f>IF(OR(Umse!$C$24=0,$A$1=0),"",IF(OR($A$1="6.1.",$A$1="6.2.",$A$1="6.3.",$A$1="6.4.",$A$1="6.5.",$A$1="6.6."),'LKr Ist'!L46,""))</f>
        <v/>
      </c>
      <c r="M59" s="308" t="str">
        <f>IF(OR(Umse!$C$24=0,$A$1=0),"",IF(OR($A$1="6.1.",$A$1="6.2.",$A$1="6.3.",$A$1="6.4.",$A$1="6.5.",$A$1="6.6."),'LKr Ist'!M46,""))</f>
        <v/>
      </c>
      <c r="N59" s="308" t="str">
        <f>IF(OR(Umse!$C$24=0,$A$1=0),"",IF(OR($A$1="6.1.",$A$1="6.2.",$A$1="6.3.",$A$1="6.4.",$A$1="6.5.",$A$1="6.6."),'LKr Ist'!N46,""))</f>
        <v/>
      </c>
      <c r="O59" s="308" t="str">
        <f>IF(OR(Umse!$C$24=0,$A$1=0),"",IF(OR($A$1="6.1.",$A$1="6.2.",$A$1="6.3.",$A$1="6.4.",$A$1="6.5.",$A$1="6.6."),'LKr Ist'!O46,""))</f>
        <v/>
      </c>
      <c r="P59" s="308" t="str">
        <f>IF(OR(Umse!$C$24=0,$A$1=0),"",IF(OR($A$1="6.1.",$A$1="6.2.",$A$1="6.3.",$A$1="6.4.",$A$1="6.5.",$A$1="6.6."),'LKr Ist'!P46,""))</f>
        <v/>
      </c>
      <c r="Q59" s="308" t="str">
        <f>IF(OR(Umse!$C$24=0,$A$1=0),"",IF(OR($A$1="6.1.",$A$1="6.2.",$A$1="6.3.",$A$1="6.4.",$A$1="6.5.",$A$1="6.6."),'LKr Ist'!Q46,""))</f>
        <v/>
      </c>
      <c r="R59" s="308" t="str">
        <f>IF(OR(Umse!$C$24=0,$A$1=0),"",IF(OR($A$1="6.1.",$A$1="6.2.",$A$1="6.3.",$A$1="6.4.",$A$1="6.5.",$A$1="6.6."),'LKr Ist'!R46,""))</f>
        <v/>
      </c>
    </row>
    <row r="60" spans="2:18" ht="11.25" customHeight="1">
      <c r="B60" s="306"/>
      <c r="C60" s="306"/>
      <c r="D60" s="308"/>
      <c r="E60" s="308"/>
      <c r="F60" s="308"/>
      <c r="G60" s="308"/>
      <c r="H60" s="308"/>
      <c r="I60" s="308"/>
      <c r="J60" s="307" t="str">
        <f>""</f>
        <v/>
      </c>
      <c r="K60" s="306" t="str">
        <f>IF(OR(Umse!$C$24=0,$A$1=0),"",IF(OR($A$1="6.1.",$A$1="6.2.",$A$1="6.3.",$A$1="6.4.",$A$1="6.5.",$A$1="6.6."),'LKr Ist'!K47,""))</f>
        <v/>
      </c>
      <c r="L60" s="322" t="str">
        <f>IF(OR(Umse!$C$24=0,$A$1=0),"",IF(OR($A$1="6.1.",$A$1="6.2.",$A$1="6.3.",$A$1="6.4.",$A$1="6.5.",$A$1="6.6."),'LKr Ist'!L47,""))</f>
        <v/>
      </c>
      <c r="M60" s="308" t="str">
        <f>IF(OR(Umse!$C$24=0,$A$1=0),"",IF(OR($A$1="6.1.",$A$1="6.2.",$A$1="6.3.",$A$1="6.4.",$A$1="6.5.",$A$1="6.6."),'LKr Ist'!M47,""))</f>
        <v/>
      </c>
      <c r="N60" s="308" t="str">
        <f>IF(OR(Umse!$C$24=0,$A$1=0),"",IF(OR($A$1="6.1.",$A$1="6.2.",$A$1="6.3.",$A$1="6.4.",$A$1="6.5.",$A$1="6.6."),'LKr Ist'!N47,""))</f>
        <v/>
      </c>
      <c r="O60" s="308" t="str">
        <f>IF(OR(Umse!$C$24=0,$A$1=0),"",IF(OR($A$1="6.1.",$A$1="6.2.",$A$1="6.3.",$A$1="6.4.",$A$1="6.5.",$A$1="6.6."),'LKr Ist'!O47,""))</f>
        <v/>
      </c>
      <c r="P60" s="308" t="str">
        <f>IF(OR(Umse!$C$24=0,$A$1=0),"",IF(OR($A$1="6.1.",$A$1="6.2.",$A$1="6.3.",$A$1="6.4.",$A$1="6.5.",$A$1="6.6."),'LKr Ist'!P47,""))</f>
        <v/>
      </c>
      <c r="Q60" s="308" t="str">
        <f>IF(OR(Umse!$C$24=0,$A$1=0),"",IF(OR($A$1="6.1.",$A$1="6.2.",$A$1="6.3.",$A$1="6.4.",$A$1="6.5.",$A$1="6.6."),'LKr Ist'!Q47,""))</f>
        <v/>
      </c>
      <c r="R60" s="308" t="str">
        <f>IF(OR(Umse!$C$24=0,$A$1=0),"",IF(OR($A$1="6.1.",$A$1="6.2.",$A$1="6.3.",$A$1="6.4.",$A$1="6.5.",$A$1="6.6."),'LKr Ist'!R47,""))</f>
        <v/>
      </c>
    </row>
    <row r="61" spans="2:18" ht="11.25" customHeight="1">
      <c r="B61" s="306"/>
      <c r="C61" s="306"/>
      <c r="D61" s="308"/>
      <c r="E61" s="308"/>
      <c r="F61" s="308"/>
      <c r="G61" s="308"/>
      <c r="H61" s="308"/>
      <c r="I61" s="308"/>
      <c r="J61" s="307" t="str">
        <f>""</f>
        <v/>
      </c>
      <c r="K61" s="306"/>
      <c r="L61" s="306"/>
      <c r="M61" s="308"/>
      <c r="N61" s="308"/>
      <c r="O61" s="308"/>
      <c r="P61" s="308"/>
      <c r="Q61" s="308"/>
      <c r="R61" s="308"/>
    </row>
    <row r="62" spans="2:18" ht="11.25" customHeight="1">
      <c r="B62" s="306"/>
      <c r="C62" s="306"/>
      <c r="D62" s="308"/>
      <c r="E62" s="308"/>
      <c r="F62" s="308"/>
      <c r="G62" s="308"/>
      <c r="H62" s="308"/>
      <c r="I62" s="308"/>
      <c r="J62" s="307" t="str">
        <f>""</f>
        <v/>
      </c>
      <c r="K62" s="306"/>
      <c r="L62" s="306"/>
      <c r="M62" s="308"/>
      <c r="N62" s="308"/>
      <c r="O62" s="308"/>
      <c r="P62" s="308"/>
      <c r="Q62" s="308"/>
      <c r="R62" s="308"/>
    </row>
    <row r="63" spans="2:18" ht="11.25" customHeight="1">
      <c r="B63" s="306"/>
      <c r="C63" s="306"/>
      <c r="D63" s="308"/>
      <c r="E63" s="308"/>
      <c r="F63" s="308"/>
      <c r="G63" s="308"/>
      <c r="H63" s="308"/>
      <c r="I63" s="308"/>
      <c r="J63" s="307" t="str">
        <f>""</f>
        <v/>
      </c>
      <c r="K63" s="306"/>
      <c r="L63" s="306"/>
      <c r="M63" s="308"/>
      <c r="N63" s="308"/>
      <c r="O63" s="308"/>
      <c r="P63" s="308"/>
      <c r="Q63" s="308"/>
      <c r="R63" s="308"/>
    </row>
    <row r="64" spans="2:18" ht="11.25" customHeight="1">
      <c r="B64" s="306"/>
      <c r="C64" s="306"/>
      <c r="D64" s="308"/>
      <c r="E64" s="308"/>
      <c r="F64" s="308"/>
      <c r="G64" s="308"/>
      <c r="H64" s="308"/>
      <c r="I64" s="308"/>
      <c r="J64" s="307" t="str">
        <f>""</f>
        <v/>
      </c>
      <c r="K64" s="306"/>
      <c r="L64" s="306"/>
      <c r="M64" s="308"/>
      <c r="N64" s="308"/>
      <c r="O64" s="308"/>
      <c r="P64" s="308"/>
      <c r="Q64" s="308"/>
      <c r="R64" s="308"/>
    </row>
    <row r="65" spans="2:18" ht="11.25" customHeight="1">
      <c r="B65" s="306"/>
      <c r="C65" s="306"/>
      <c r="D65" s="308"/>
      <c r="E65" s="308"/>
      <c r="F65" s="308"/>
      <c r="G65" s="308"/>
      <c r="H65" s="308"/>
      <c r="I65" s="308"/>
      <c r="J65" s="307"/>
      <c r="K65" s="307"/>
      <c r="L65" s="307"/>
      <c r="M65" s="308"/>
      <c r="N65" s="308"/>
      <c r="O65" s="308"/>
      <c r="P65" s="308"/>
      <c r="Q65" s="308"/>
      <c r="R65" s="308"/>
    </row>
    <row r="66" spans="2:18" ht="11.25" customHeight="1">
      <c r="B66" s="307"/>
      <c r="C66" s="307"/>
      <c r="D66" s="316"/>
      <c r="E66" s="316"/>
      <c r="F66" s="316"/>
      <c r="G66" s="316"/>
      <c r="H66" s="316"/>
      <c r="I66" s="316"/>
      <c r="K66" s="307"/>
      <c r="L66" s="307"/>
      <c r="M66" s="317"/>
      <c r="N66" s="317"/>
      <c r="O66" s="317"/>
      <c r="P66" s="317"/>
      <c r="Q66" s="317"/>
      <c r="R66" s="317"/>
    </row>
    <row r="89" spans="1:18" ht="11.25" customHeight="1">
      <c r="A89" s="307"/>
      <c r="B89" s="307"/>
      <c r="C89" s="307"/>
      <c r="D89" s="307"/>
      <c r="E89" s="318"/>
      <c r="F89" s="307"/>
      <c r="G89" s="307"/>
      <c r="H89" s="307"/>
      <c r="I89" s="319"/>
      <c r="J89" s="307"/>
      <c r="K89" s="319"/>
      <c r="L89" s="319"/>
      <c r="M89" s="307"/>
      <c r="N89" s="307"/>
      <c r="O89" s="307"/>
      <c r="P89" s="307"/>
      <c r="Q89" s="307"/>
      <c r="R89" s="307"/>
    </row>
    <row r="90" spans="1:18" ht="11.25" customHeight="1">
      <c r="A90" s="307"/>
      <c r="B90" s="307"/>
      <c r="C90" s="307"/>
      <c r="D90" s="307"/>
      <c r="E90" s="318"/>
      <c r="F90" s="307"/>
      <c r="G90" s="307"/>
      <c r="H90" s="307"/>
      <c r="I90" s="319"/>
      <c r="J90" s="307"/>
      <c r="K90" s="319"/>
      <c r="L90" s="319"/>
      <c r="M90" s="307"/>
      <c r="N90" s="307"/>
      <c r="O90" s="307"/>
      <c r="P90" s="307"/>
      <c r="Q90" s="307"/>
      <c r="R90" s="307"/>
    </row>
    <row r="91" spans="1:18" ht="11.25" customHeight="1">
      <c r="A91" s="307"/>
      <c r="B91" s="307"/>
      <c r="C91" s="307"/>
      <c r="D91" s="307"/>
      <c r="E91" s="318"/>
      <c r="F91" s="307"/>
      <c r="G91" s="307"/>
      <c r="H91" s="307"/>
      <c r="I91" s="307"/>
      <c r="J91" s="307"/>
      <c r="K91" s="319"/>
      <c r="L91" s="319"/>
      <c r="M91" s="307"/>
      <c r="N91" s="307"/>
      <c r="O91" s="307"/>
      <c r="P91" s="307"/>
      <c r="Q91" s="307"/>
      <c r="R91" s="307"/>
    </row>
    <row r="92" spans="1:18" ht="11.25" customHeight="1">
      <c r="A92" s="320"/>
      <c r="B92" s="299"/>
      <c r="C92" s="299"/>
      <c r="D92" s="320"/>
      <c r="E92" s="321"/>
      <c r="F92" s="299"/>
      <c r="G92" s="299"/>
      <c r="H92" s="299"/>
      <c r="I92" s="299"/>
      <c r="J92" s="299"/>
      <c r="K92" s="309"/>
      <c r="L92" s="309"/>
      <c r="M92" s="299"/>
      <c r="N92" s="299"/>
      <c r="O92" s="299"/>
      <c r="P92" s="299"/>
      <c r="Q92" s="299"/>
      <c r="R92" s="299"/>
    </row>
    <row r="93" spans="1:18" ht="11.25" customHeight="1">
      <c r="A93" s="320"/>
      <c r="B93" s="299"/>
      <c r="C93" s="299"/>
      <c r="D93" s="320"/>
      <c r="E93" s="321"/>
      <c r="F93" s="299"/>
      <c r="G93" s="299"/>
      <c r="H93" s="299"/>
      <c r="I93" s="299"/>
      <c r="J93" s="299"/>
      <c r="K93" s="309"/>
      <c r="L93" s="309"/>
      <c r="M93" s="299"/>
      <c r="N93" s="299"/>
      <c r="O93" s="299"/>
      <c r="P93" s="299"/>
      <c r="Q93" s="299"/>
      <c r="R93" s="299"/>
    </row>
  </sheetData>
  <mergeCells count="24">
    <mergeCell ref="H35:I35"/>
    <mergeCell ref="K45:M45"/>
    <mergeCell ref="Q10:R10"/>
    <mergeCell ref="K10:M10"/>
    <mergeCell ref="N10:P10"/>
    <mergeCell ref="Q45:R45"/>
    <mergeCell ref="H10:I10"/>
    <mergeCell ref="I36:I45"/>
    <mergeCell ref="B36:C45"/>
    <mergeCell ref="B2:D2"/>
    <mergeCell ref="E2:P2"/>
    <mergeCell ref="K4:P6"/>
    <mergeCell ref="F5:G5"/>
    <mergeCell ref="K36:R42"/>
    <mergeCell ref="E10:G10"/>
    <mergeCell ref="E35:G35"/>
    <mergeCell ref="B35:D35"/>
    <mergeCell ref="H36:H45"/>
    <mergeCell ref="B10:D10"/>
    <mergeCell ref="D36:D45"/>
    <mergeCell ref="E36:E45"/>
    <mergeCell ref="F36:F45"/>
    <mergeCell ref="G36:G45"/>
    <mergeCell ref="N45:P45"/>
  </mergeCells>
  <conditionalFormatting sqref="K47:R63 K12:R28 B12:I28 B47:I63">
    <cfRule type="cellIs" dxfId="5" priority="1" stopIfTrue="1" operator="equal">
      <formula>0</formula>
    </cfRule>
    <cfRule type="cellIs" dxfId="4" priority="2" stopIfTrue="1" operator="equal">
      <formula>""</formula>
    </cfRule>
  </conditionalFormatting>
  <printOptions horizontalCentered="1" verticalCentered="1"/>
  <pageMargins left="0.39370078740157483" right="0.39370078740157483" top="0.19685039370078741" bottom="0.19685039370078741" header="0.51181102362204722" footer="0.51181102362204722"/>
  <pageSetup paperSize="9" scale="84" orientation="landscape" r:id="rId1"/>
  <headerFooter alignWithMargins="0">
    <oddFooter>&amp;L&amp;"Arial,Standard"&amp;4dbb
tarifunion
Entgelte
Version 1.1.
10.10.2007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6"/>
  </sheetPr>
  <dimension ref="A1:U53"/>
  <sheetViews>
    <sheetView workbookViewId="0">
      <selection activeCell="Q1" sqref="Q1"/>
    </sheetView>
  </sheetViews>
  <sheetFormatPr baseColWidth="10" defaultColWidth="8.5703125" defaultRowHeight="12.75"/>
  <cols>
    <col min="1" max="1" width="23.140625" style="329" customWidth="1"/>
    <col min="2" max="3" width="6.42578125" style="329" customWidth="1"/>
    <col min="4" max="9" width="8.5703125" style="329" customWidth="1"/>
    <col min="10" max="10" width="17.85546875" style="328" customWidth="1"/>
    <col min="11" max="12" width="6.42578125" style="329" customWidth="1"/>
    <col min="13" max="19" width="8.5703125" style="329"/>
    <col min="20" max="23" width="5.7109375" style="329" customWidth="1"/>
    <col min="24" max="16384" width="8.5703125" style="329"/>
  </cols>
  <sheetData>
    <row r="1" spans="1:21">
      <c r="A1" s="323" t="str">
        <f>Umse!B11</f>
        <v>1.2.</v>
      </c>
      <c r="B1" s="352"/>
      <c r="C1" s="326"/>
      <c r="D1" s="326" t="str">
        <f>IF(A1=0,"","Stundenentgelt  ( Vollzeit )")</f>
        <v>Stundenentgelt  ( Vollzeit )</v>
      </c>
      <c r="E1" s="326"/>
      <c r="F1" s="326"/>
      <c r="G1" s="326"/>
      <c r="H1" s="326"/>
      <c r="I1" s="353"/>
      <c r="K1" s="324"/>
      <c r="L1" s="325"/>
      <c r="M1" s="494" t="str">
        <f>""</f>
        <v/>
      </c>
      <c r="N1" s="325"/>
      <c r="O1" s="325"/>
      <c r="P1" s="325"/>
      <c r="Q1" s="494" t="str">
        <f>IF(OR(Umse!$C$24=0,Kalk!B4=1,Kalk!B4=2,Kalk!B4=3,Kalk!B4=4,Kalk!B4=5,Kalk!B4=7,Kalk!B4=8,Kalk!B4=9,Kalk!B4=10),"",IF(OR(A1="6.1.",A1="6.2."),'LKr Tab'!DB32,IF(OR(A1="6.3.",A1="6.4."),'LKr Tab'!DJ32,IF(OR(A1="6.5.",A1="6.6."),'LKr Tab'!DR32,""))))</f>
        <v/>
      </c>
      <c r="R1" s="327"/>
    </row>
    <row r="2" spans="1:21" ht="21" customHeight="1">
      <c r="A2" s="330" t="str">
        <f>VLOOKUP(Kalk!B5,Kalk!A20:B29,2)</f>
        <v>TVöD ( Bund )</v>
      </c>
      <c r="B2" s="354" t="str">
        <f>K2</f>
        <v/>
      </c>
      <c r="C2" s="331"/>
      <c r="D2" s="332" t="str">
        <f t="shared" ref="D2:I2" si="0">M2</f>
        <v>Stufe 1</v>
      </c>
      <c r="E2" s="332" t="str">
        <f t="shared" si="0"/>
        <v>Stufe 2</v>
      </c>
      <c r="F2" s="332" t="str">
        <f t="shared" si="0"/>
        <v>Stufe 3</v>
      </c>
      <c r="G2" s="332" t="str">
        <f t="shared" si="0"/>
        <v>Stufe 4</v>
      </c>
      <c r="H2" s="332" t="str">
        <f t="shared" si="0"/>
        <v>Stufe 5</v>
      </c>
      <c r="I2" s="332" t="str">
        <f t="shared" si="0"/>
        <v>Stufe 6</v>
      </c>
      <c r="J2" s="328" t="str">
        <f>""</f>
        <v/>
      </c>
      <c r="K2" s="354" t="str">
        <f>IF(Umse!$C$24=0,"",IF(OR($A$1="6.1.",$A$1="6.2.",$A$1="6.3.",$A$1="6.4.",$A$1="6.5.",$A$1="6.6."),T2,""))</f>
        <v/>
      </c>
      <c r="L2" s="331"/>
      <c r="M2" s="332" t="s">
        <v>7</v>
      </c>
      <c r="N2" s="332" t="s">
        <v>8</v>
      </c>
      <c r="O2" s="332" t="s">
        <v>9</v>
      </c>
      <c r="P2" s="332" t="s">
        <v>10</v>
      </c>
      <c r="Q2" s="332" t="s">
        <v>11</v>
      </c>
      <c r="R2" s="332" t="s">
        <v>12</v>
      </c>
      <c r="T2" s="355" t="s">
        <v>277</v>
      </c>
    </row>
    <row r="3" spans="1:21">
      <c r="A3" s="323" t="str">
        <f>Umse!B23</f>
        <v>West und Ost ( ab 1.04.2021 )</v>
      </c>
      <c r="B3" s="356" t="str">
        <f>K3</f>
        <v/>
      </c>
      <c r="C3" s="357" t="str">
        <f>L3</f>
        <v/>
      </c>
      <c r="D3" s="335" t="str">
        <f t="shared" ref="D3:I3" si="1">IF(M3=0,0,IF(M3="-","-",IF(M3="","",FIXED(ROUND(M3/$A$5,2),2))))</f>
        <v/>
      </c>
      <c r="E3" s="335" t="str">
        <f t="shared" si="1"/>
        <v/>
      </c>
      <c r="F3" s="335" t="str">
        <f>IF(O3=0,0,IF(O3="-","-",IF(O3="","",FIXED(ROUND(O3/$A$5,2),2))))</f>
        <v/>
      </c>
      <c r="G3" s="335" t="str">
        <f t="shared" si="1"/>
        <v/>
      </c>
      <c r="H3" s="335" t="str">
        <f t="shared" si="1"/>
        <v/>
      </c>
      <c r="I3" s="335" t="str">
        <f t="shared" si="1"/>
        <v/>
      </c>
      <c r="J3" s="328" t="str">
        <f>""</f>
        <v/>
      </c>
      <c r="K3" s="356" t="str">
        <f>IF(Umse!$C$24=0,"",IF(OR($A$1="6.1.",$A$1="6.2.",$A$1="6.3.",$A$1="6.4.",$A$1="6.5.",$A$1="6.6."),T3,""))</f>
        <v/>
      </c>
      <c r="L3" s="357" t="str">
        <f>IF(Umse!$C$24=0,"",IF(OR($A$1="6.1.",$A$1="6.2.",$A$1="6.3.",$A$1="6.4.",$A$1="6.5.",$A$1="6.6."),U3,""))</f>
        <v/>
      </c>
      <c r="M3" s="335" t="str">
        <f>IF(Umse!$C$24=0,"",IF(OR($A$1="6.1.",$A$1="6.2."),'LKr Tab'!DC2,IF(OR($A$1="6.3.",$A$1="6.4."),'LKr Tab'!DK2,IF(OR($A$1="6.5.",$A$1="6.6."),'LKr Tab'!DS2,""))))</f>
        <v/>
      </c>
      <c r="N3" s="335" t="str">
        <f>IF(Umse!$C$24=0,"",IF(OR($A$1="6.1.",$A$1="6.2."),'LKr Tab'!DD2,IF(OR($A$1="6.3.",$A$1="6.4."),'LKr Tab'!DL2,IF(OR($A$1="6.5.",$A$1="6.6."),'LKr Tab'!DT2,""))))</f>
        <v/>
      </c>
      <c r="O3" s="335" t="str">
        <f>IF(Umse!$C$24=0,"",IF(OR($A$1="6.1.",$A$1="6.2."),'LKr Tab'!DE2,IF(OR($A$1="6.3.",$A$1="6.4."),'LKr Tab'!DM2,IF(OR($A$1="6.5.",$A$1="6.6."),'LKr Tab'!DU2,""))))</f>
        <v/>
      </c>
      <c r="P3" s="335" t="str">
        <f>IF(Umse!$C$24=0,"",IF(OR($A$1="6.1.",$A$1="6.2."),'LKr Tab'!DF2,IF(OR($A$1="6.3.",$A$1="6.4."),'LKr Tab'!DN2,IF(OR($A$1="6.5.",$A$1="6.6."),'LKr Tab'!DV2,""))))</f>
        <v/>
      </c>
      <c r="Q3" s="335" t="str">
        <f>IF(Umse!$C$24=0,"",IF(OR($A$1="6.1.",$A$1="6.2."),'LKr Tab'!DG2,IF(OR($A$1="6.3.",$A$1="6.4."),'LKr Tab'!DO2,IF(OR($A$1="6.5.",$A$1="6.6."),'LKr Tab'!DW2,""))))</f>
        <v/>
      </c>
      <c r="R3" s="335" t="str">
        <f>IF(Umse!$C$24=0,"",IF(OR($A$1="6.1.",$A$1="6.2."),'LKr Tab'!DH2,IF(OR($A$1="6.3.",$A$1="6.4."),'LKr Tab'!DP2,IF(OR($A$1="6.5.",$A$1="6.6."),'LKr Tab'!DX2,""))))</f>
        <v/>
      </c>
      <c r="T3" s="332" t="s">
        <v>66</v>
      </c>
      <c r="U3" s="357">
        <v>17</v>
      </c>
    </row>
    <row r="4" spans="1:21">
      <c r="A4" s="336">
        <f>Umse!B24</f>
        <v>39</v>
      </c>
      <c r="B4" s="356" t="str">
        <f t="shared" ref="B4:B14" si="2">K4</f>
        <v/>
      </c>
      <c r="C4" s="357" t="str">
        <f t="shared" ref="C4:C14" si="3">L4</f>
        <v/>
      </c>
      <c r="D4" s="335" t="str">
        <f t="shared" ref="D4:D14" si="4">IF(M4=0,0,IF(M4="-","-",IF(M4="","",FIXED(ROUND(M4/$A$5,2),2))))</f>
        <v/>
      </c>
      <c r="E4" s="335" t="str">
        <f t="shared" ref="E4:E14" si="5">IF(N4=0,0,IF(N4="-","-",IF(N4="","",FIXED(ROUND(N4/$A$5,2),2))))</f>
        <v/>
      </c>
      <c r="F4" s="335" t="str">
        <f t="shared" ref="F4:F14" si="6">IF(O4=0,0,IF(O4="-","-",IF(O4="","",FIXED(ROUND(O4/$A$5,2),2))))</f>
        <v/>
      </c>
      <c r="G4" s="335" t="str">
        <f t="shared" ref="G4:G14" si="7">IF(P4=0,0,IF(P4="-","-",IF(P4="","",FIXED(ROUND(P4/$A$5,2),2))))</f>
        <v/>
      </c>
      <c r="H4" s="335" t="str">
        <f t="shared" ref="H4:H14" si="8">IF(Q4=0,0,IF(Q4="-","-",IF(Q4="","",FIXED(ROUND(Q4/$A$5,2),2))))</f>
        <v/>
      </c>
      <c r="I4" s="335" t="str">
        <f t="shared" ref="I4:I14" si="9">IF(R4=0,0,IF(R4="-","-",IF(R4="","",FIXED(ROUND(R4/$A$5,2),2))))</f>
        <v/>
      </c>
      <c r="J4" s="328" t="str">
        <f>""</f>
        <v/>
      </c>
      <c r="K4" s="356" t="str">
        <f>IF(Umse!$C$24=0,"",IF(OR($A$1="6.1.",$A$1="6.2.",$A$1="6.3.",$A$1="6.4.",$A$1="6.5.",$A$1="6.6."),T4,""))</f>
        <v/>
      </c>
      <c r="L4" s="357" t="str">
        <f>IF(Umse!$C$24=0,"",IF(OR($A$1="6.1.",$A$1="6.2.",$A$1="6.3.",$A$1="6.4.",$A$1="6.5.",$A$1="6.6."),U4,""))</f>
        <v/>
      </c>
      <c r="M4" s="335" t="str">
        <f>IF(Umse!$C$24=0,"",IF(OR($A$1="6.1.",$A$1="6.2."),'LKr Tab'!DC3,IF(OR($A$1="6.3.",$A$1="6.4."),'LKr Tab'!DK3,IF(OR($A$1="6.5.",$A$1="6.6."),'LKr Tab'!DS3,""))))</f>
        <v/>
      </c>
      <c r="N4" s="335" t="str">
        <f>IF(Umse!$C$24=0,"",IF(OR($A$1="6.1.",$A$1="6.2."),'LKr Tab'!DD3,IF(OR($A$1="6.3.",$A$1="6.4."),'LKr Tab'!DL3,IF(OR($A$1="6.5.",$A$1="6.6."),'LKr Tab'!DT3,""))))</f>
        <v/>
      </c>
      <c r="O4" s="335" t="str">
        <f>IF(Umse!$C$24=0,"",IF(OR($A$1="6.1.",$A$1="6.2."),'LKr Tab'!DE3,IF(OR($A$1="6.3.",$A$1="6.4."),'LKr Tab'!DM3,IF(OR($A$1="6.5.",$A$1="6.6."),'LKr Tab'!DU3,""))))</f>
        <v/>
      </c>
      <c r="P4" s="335" t="str">
        <f>IF(Umse!$C$24=0,"",IF(OR($A$1="6.1.",$A$1="6.2."),'LKr Tab'!DF3,IF(OR($A$1="6.3.",$A$1="6.4."),'LKr Tab'!DN3,IF(OR($A$1="6.5.",$A$1="6.6."),'LKr Tab'!DV3,""))))</f>
        <v/>
      </c>
      <c r="Q4" s="335" t="str">
        <f>IF(Umse!$C$24=0,"",IF(OR($A$1="6.1.",$A$1="6.2."),'LKr Tab'!DG3,IF(OR($A$1="6.3.",$A$1="6.4."),'LKr Tab'!DO3,IF(OR($A$1="6.5.",$A$1="6.6."),'LKr Tab'!DW3,""))))</f>
        <v/>
      </c>
      <c r="R4" s="335" t="str">
        <f>IF(Umse!$C$24=0,"",IF(OR($A$1="6.1.",$A$1="6.2."),'LKr Tab'!DH3,IF(OR($A$1="6.3.",$A$1="6.4."),'LKr Tab'!DP3,IF(OR($A$1="6.5.",$A$1="6.6."),'LKr Tab'!DX3,""))))</f>
        <v/>
      </c>
      <c r="T4" s="332" t="s">
        <v>66</v>
      </c>
      <c r="U4" s="357">
        <v>16</v>
      </c>
    </row>
    <row r="5" spans="1:21">
      <c r="A5" s="337">
        <f>Umse!C24</f>
        <v>169.57</v>
      </c>
      <c r="B5" s="356" t="str">
        <f t="shared" si="2"/>
        <v/>
      </c>
      <c r="C5" s="357" t="str">
        <f t="shared" si="3"/>
        <v/>
      </c>
      <c r="D5" s="335" t="str">
        <f t="shared" si="4"/>
        <v/>
      </c>
      <c r="E5" s="335" t="str">
        <f t="shared" si="5"/>
        <v/>
      </c>
      <c r="F5" s="335" t="str">
        <f t="shared" si="6"/>
        <v/>
      </c>
      <c r="G5" s="335" t="str">
        <f t="shared" si="7"/>
        <v/>
      </c>
      <c r="H5" s="335" t="str">
        <f t="shared" si="8"/>
        <v/>
      </c>
      <c r="I5" s="335" t="str">
        <f t="shared" si="9"/>
        <v/>
      </c>
      <c r="J5" s="328" t="str">
        <f>""</f>
        <v/>
      </c>
      <c r="K5" s="356" t="str">
        <f>IF(Umse!$C$24=0,"",IF(OR($A$1="6.1.",$A$1="6.2.",$A$1="6.3.",$A$1="6.4.",$A$1="6.5.",$A$1="6.6."),T5,""))</f>
        <v/>
      </c>
      <c r="L5" s="357" t="str">
        <f>IF(Umse!$C$24=0,"",IF(OR($A$1="6.1.",$A$1="6.2.",$A$1="6.3.",$A$1="6.4.",$A$1="6.5.",$A$1="6.6."),U5,""))</f>
        <v/>
      </c>
      <c r="M5" s="335" t="str">
        <f>IF(Umse!$C$24=0,"",IF(OR($A$1="6.1.",$A$1="6.2."),'LKr Tab'!DC4,IF(OR($A$1="6.3.",$A$1="6.4."),'LKr Tab'!DK4,IF(OR($A$1="6.5.",$A$1="6.6."),'LKr Tab'!DS4,""))))</f>
        <v/>
      </c>
      <c r="N5" s="335" t="str">
        <f>IF(Umse!$C$24=0,"",IF(OR($A$1="6.1.",$A$1="6.2."),'LKr Tab'!DD4,IF(OR($A$1="6.3.",$A$1="6.4."),'LKr Tab'!DL4,IF(OR($A$1="6.5.",$A$1="6.6."),'LKr Tab'!DT4,""))))</f>
        <v/>
      </c>
      <c r="O5" s="335" t="str">
        <f>IF(Umse!$C$24=0,"",IF(OR($A$1="6.1.",$A$1="6.2."),'LKr Tab'!DE4,IF(OR($A$1="6.3.",$A$1="6.4."),'LKr Tab'!DM4,IF(OR($A$1="6.5.",$A$1="6.6."),'LKr Tab'!DU4,""))))</f>
        <v/>
      </c>
      <c r="P5" s="335" t="str">
        <f>IF(Umse!$C$24=0,"",IF(OR($A$1="6.1.",$A$1="6.2."),'LKr Tab'!DF4,IF(OR($A$1="6.3.",$A$1="6.4."),'LKr Tab'!DN4,IF(OR($A$1="6.5.",$A$1="6.6."),'LKr Tab'!DV4,""))))</f>
        <v/>
      </c>
      <c r="Q5" s="335" t="str">
        <f>IF(Umse!$C$24=0,"",IF(OR($A$1="6.1.",$A$1="6.2."),'LKr Tab'!DG4,IF(OR($A$1="6.3.",$A$1="6.4."),'LKr Tab'!DO4,IF(OR($A$1="6.5.",$A$1="6.6."),'LKr Tab'!DW4,""))))</f>
        <v/>
      </c>
      <c r="R5" s="335" t="str">
        <f>IF(Umse!$C$24=0,"",IF(OR($A$1="6.1.",$A$1="6.2."),'LKr Tab'!DH4,IF(OR($A$1="6.3.",$A$1="6.4."),'LKr Tab'!DP4,IF(OR($A$1="6.5.",$A$1="6.6."),'LKr Tab'!DX4,""))))</f>
        <v/>
      </c>
      <c r="T5" s="332" t="s">
        <v>66</v>
      </c>
      <c r="U5" s="357">
        <v>15</v>
      </c>
    </row>
    <row r="6" spans="1:21">
      <c r="A6" s="338"/>
      <c r="B6" s="356" t="str">
        <f t="shared" si="2"/>
        <v/>
      </c>
      <c r="C6" s="357" t="str">
        <f t="shared" si="3"/>
        <v/>
      </c>
      <c r="D6" s="335" t="str">
        <f t="shared" si="4"/>
        <v/>
      </c>
      <c r="E6" s="335" t="str">
        <f t="shared" si="5"/>
        <v/>
      </c>
      <c r="F6" s="335" t="str">
        <f t="shared" si="6"/>
        <v/>
      </c>
      <c r="G6" s="335" t="str">
        <f t="shared" si="7"/>
        <v/>
      </c>
      <c r="H6" s="335" t="str">
        <f t="shared" si="8"/>
        <v/>
      </c>
      <c r="I6" s="335" t="str">
        <f t="shared" si="9"/>
        <v/>
      </c>
      <c r="J6" s="328" t="str">
        <f>""</f>
        <v/>
      </c>
      <c r="K6" s="356" t="str">
        <f>IF(Umse!$C$24=0,"",IF(OR($A$1="6.1.",$A$1="6.2.",$A$1="6.3.",$A$1="6.4.",$A$1="6.5.",$A$1="6.6."),T6,""))</f>
        <v/>
      </c>
      <c r="L6" s="357" t="str">
        <f>IF(Umse!$C$24=0,"",IF(OR($A$1="6.1.",$A$1="6.2.",$A$1="6.3.",$A$1="6.4.",$A$1="6.5.",$A$1="6.6."),U6,""))</f>
        <v/>
      </c>
      <c r="M6" s="335" t="str">
        <f>IF(Umse!$C$24=0,"",IF(OR($A$1="6.1.",$A$1="6.2."),'LKr Tab'!DC5,IF(OR($A$1="6.3.",$A$1="6.4."),'LKr Tab'!DK5,IF(OR($A$1="6.5.",$A$1="6.6."),'LKr Tab'!DS5,""))))</f>
        <v/>
      </c>
      <c r="N6" s="335" t="str">
        <f>IF(Umse!$C$24=0,"",IF(OR($A$1="6.1.",$A$1="6.2."),'LKr Tab'!DD5,IF(OR($A$1="6.3.",$A$1="6.4."),'LKr Tab'!DL5,IF(OR($A$1="6.5.",$A$1="6.6."),'LKr Tab'!DT5,""))))</f>
        <v/>
      </c>
      <c r="O6" s="335" t="str">
        <f>IF(Umse!$C$24=0,"",IF(OR($A$1="6.1.",$A$1="6.2."),'LKr Tab'!DE5,IF(OR($A$1="6.3.",$A$1="6.4."),'LKr Tab'!DM5,IF(OR($A$1="6.5.",$A$1="6.6."),'LKr Tab'!DU5,""))))</f>
        <v/>
      </c>
      <c r="P6" s="335" t="str">
        <f>IF(Umse!$C$24=0,"",IF(OR($A$1="6.1.",$A$1="6.2."),'LKr Tab'!DF5,IF(OR($A$1="6.3.",$A$1="6.4."),'LKr Tab'!DN5,IF(OR($A$1="6.5.",$A$1="6.6."),'LKr Tab'!DV5,""))))</f>
        <v/>
      </c>
      <c r="Q6" s="335" t="str">
        <f>IF(Umse!$C$24=0,"",IF(OR($A$1="6.1.",$A$1="6.2."),'LKr Tab'!DG5,IF(OR($A$1="6.3.",$A$1="6.4."),'LKr Tab'!DO5,IF(OR($A$1="6.5.",$A$1="6.6."),'LKr Tab'!DW5,""))))</f>
        <v/>
      </c>
      <c r="R6" s="335" t="str">
        <f>IF(Umse!$C$24=0,"",IF(OR($A$1="6.1.",$A$1="6.2."),'LKr Tab'!DH5,IF(OR($A$1="6.3.",$A$1="6.4."),'LKr Tab'!DP5,IF(OR($A$1="6.5.",$A$1="6.6."),'LKr Tab'!DX5,""))))</f>
        <v/>
      </c>
      <c r="T6" s="332" t="s">
        <v>66</v>
      </c>
      <c r="U6" s="357">
        <v>14</v>
      </c>
    </row>
    <row r="7" spans="1:21">
      <c r="A7" s="338"/>
      <c r="B7" s="356" t="str">
        <f t="shared" si="2"/>
        <v/>
      </c>
      <c r="C7" s="357" t="str">
        <f t="shared" si="3"/>
        <v/>
      </c>
      <c r="D7" s="335" t="str">
        <f t="shared" si="4"/>
        <v/>
      </c>
      <c r="E7" s="335" t="str">
        <f t="shared" si="5"/>
        <v/>
      </c>
      <c r="F7" s="335" t="str">
        <f t="shared" si="6"/>
        <v/>
      </c>
      <c r="G7" s="335" t="str">
        <f t="shared" si="7"/>
        <v/>
      </c>
      <c r="H7" s="335" t="str">
        <f t="shared" si="8"/>
        <v/>
      </c>
      <c r="I7" s="335" t="str">
        <f t="shared" si="9"/>
        <v/>
      </c>
      <c r="J7" s="328" t="str">
        <f>""</f>
        <v/>
      </c>
      <c r="K7" s="356" t="str">
        <f>IF(Umse!$C$24=0,"",IF(OR($A$1="6.1.",$A$1="6.2.",$A$1="6.3.",$A$1="6.4.",$A$1="6.5.",$A$1="6.6."),T7,""))</f>
        <v/>
      </c>
      <c r="L7" s="357" t="str">
        <f>IF(Umse!$C$24=0,"",IF(OR($A$1="6.1.",$A$1="6.2.",$A$1="6.3.",$A$1="6.4.",$A$1="6.5.",$A$1="6.6."),U7,""))</f>
        <v/>
      </c>
      <c r="M7" s="335" t="str">
        <f>IF(Umse!$C$24=0,"",IF(OR($A$1="6.1.",$A$1="6.2."),'LKr Tab'!DC6,IF(OR($A$1="6.3.",$A$1="6.4."),'LKr Tab'!DK6,IF(OR($A$1="6.5.",$A$1="6.6."),'LKr Tab'!DS6,""))))</f>
        <v/>
      </c>
      <c r="N7" s="335" t="str">
        <f>IF(Umse!$C$24=0,"",IF(OR($A$1="6.1.",$A$1="6.2."),'LKr Tab'!DD6,IF(OR($A$1="6.3.",$A$1="6.4."),'LKr Tab'!DL6,IF(OR($A$1="6.5.",$A$1="6.6."),'LKr Tab'!DT6,""))))</f>
        <v/>
      </c>
      <c r="O7" s="335" t="str">
        <f>IF(Umse!$C$24=0,"",IF(OR($A$1="6.1.",$A$1="6.2."),'LKr Tab'!DE6,IF(OR($A$1="6.3.",$A$1="6.4."),'LKr Tab'!DM6,IF(OR($A$1="6.5.",$A$1="6.6."),'LKr Tab'!DU6,""))))</f>
        <v/>
      </c>
      <c r="P7" s="335" t="str">
        <f>IF(Umse!$C$24=0,"",IF(OR($A$1="6.1.",$A$1="6.2."),'LKr Tab'!DF6,IF(OR($A$1="6.3.",$A$1="6.4."),'LKr Tab'!DN6,IF(OR($A$1="6.5.",$A$1="6.6."),'LKr Tab'!DV6,""))))</f>
        <v/>
      </c>
      <c r="Q7" s="335" t="str">
        <f>IF(Umse!$C$24=0,"",IF(OR($A$1="6.1.",$A$1="6.2."),'LKr Tab'!DG6,IF(OR($A$1="6.3.",$A$1="6.4."),'LKr Tab'!DO6,IF(OR($A$1="6.5.",$A$1="6.6."),'LKr Tab'!DW6,""))))</f>
        <v/>
      </c>
      <c r="R7" s="335" t="str">
        <f>IF(Umse!$C$24=0,"",IF(OR($A$1="6.1.",$A$1="6.2."),'LKr Tab'!DH6,IF(OR($A$1="6.3.",$A$1="6.4."),'LKr Tab'!DP6,IF(OR($A$1="6.5.",$A$1="6.6."),'LKr Tab'!DX6,""))))</f>
        <v/>
      </c>
      <c r="T7" s="332" t="s">
        <v>66</v>
      </c>
      <c r="U7" s="357">
        <v>13</v>
      </c>
    </row>
    <row r="8" spans="1:21">
      <c r="A8" s="338"/>
      <c r="B8" s="356" t="str">
        <f t="shared" si="2"/>
        <v/>
      </c>
      <c r="C8" s="357" t="str">
        <f t="shared" si="3"/>
        <v/>
      </c>
      <c r="D8" s="335" t="str">
        <f t="shared" si="4"/>
        <v/>
      </c>
      <c r="E8" s="335" t="str">
        <f t="shared" si="5"/>
        <v/>
      </c>
      <c r="F8" s="335" t="str">
        <f t="shared" si="6"/>
        <v/>
      </c>
      <c r="G8" s="335" t="str">
        <f t="shared" si="7"/>
        <v/>
      </c>
      <c r="H8" s="335" t="str">
        <f t="shared" si="8"/>
        <v/>
      </c>
      <c r="I8" s="335" t="str">
        <f t="shared" si="9"/>
        <v/>
      </c>
      <c r="J8" s="328" t="str">
        <f>""</f>
        <v/>
      </c>
      <c r="K8" s="356" t="str">
        <f>IF(Umse!$C$24=0,"",IF(OR($A$1="6.1.",$A$1="6.2.",$A$1="6.3.",$A$1="6.4.",$A$1="6.5.",$A$1="6.6."),T8,""))</f>
        <v/>
      </c>
      <c r="L8" s="357" t="str">
        <f>IF(Umse!$C$24=0,"",IF(OR($A$1="6.1.",$A$1="6.2.",$A$1="6.3.",$A$1="6.4.",$A$1="6.5.",$A$1="6.6."),U8,""))</f>
        <v/>
      </c>
      <c r="M8" s="335" t="str">
        <f>IF(Umse!$C$24=0,"",IF(OR($A$1="6.1.",$A$1="6.2."),'LKr Tab'!DC7,IF(OR($A$1="6.3.",$A$1="6.4."),'LKr Tab'!DK7,IF(OR($A$1="6.5.",$A$1="6.6."),'LKr Tab'!DS7,""))))</f>
        <v/>
      </c>
      <c r="N8" s="335" t="str">
        <f>IF(Umse!$C$24=0,"",IF(OR($A$1="6.1.",$A$1="6.2."),'LKr Tab'!DD7,IF(OR($A$1="6.3.",$A$1="6.4."),'LKr Tab'!DL7,IF(OR($A$1="6.5.",$A$1="6.6."),'LKr Tab'!DT7,""))))</f>
        <v/>
      </c>
      <c r="O8" s="335" t="str">
        <f>IF(Umse!$C$24=0,"",IF(OR($A$1="6.1.",$A$1="6.2."),'LKr Tab'!DE7,IF(OR($A$1="6.3.",$A$1="6.4."),'LKr Tab'!DM7,IF(OR($A$1="6.5.",$A$1="6.6."),'LKr Tab'!DU7,""))))</f>
        <v/>
      </c>
      <c r="P8" s="335" t="str">
        <f>IF(Umse!$C$24=0,"",IF(OR($A$1="6.1.",$A$1="6.2."),'LKr Tab'!DF7,IF(OR($A$1="6.3.",$A$1="6.4."),'LKr Tab'!DN7,IF(OR($A$1="6.5.",$A$1="6.6."),'LKr Tab'!DV7,""))))</f>
        <v/>
      </c>
      <c r="Q8" s="335" t="str">
        <f>IF(Umse!$C$24=0,"",IF(OR($A$1="6.1.",$A$1="6.2."),'LKr Tab'!DG7,IF(OR($A$1="6.3.",$A$1="6.4."),'LKr Tab'!DO7,IF(OR($A$1="6.5.",$A$1="6.6."),'LKr Tab'!DW7,""))))</f>
        <v/>
      </c>
      <c r="R8" s="335" t="str">
        <f>IF(Umse!$C$24=0,"",IF(OR($A$1="6.1.",$A$1="6.2."),'LKr Tab'!DH7,IF(OR($A$1="6.3.",$A$1="6.4."),'LKr Tab'!DP7,IF(OR($A$1="6.5.",$A$1="6.6."),'LKr Tab'!DX7,""))))</f>
        <v/>
      </c>
      <c r="T8" s="332" t="s">
        <v>66</v>
      </c>
      <c r="U8" s="357">
        <v>12</v>
      </c>
    </row>
    <row r="9" spans="1:21">
      <c r="A9" s="338"/>
      <c r="B9" s="356" t="str">
        <f t="shared" si="2"/>
        <v/>
      </c>
      <c r="C9" s="357" t="str">
        <f t="shared" si="3"/>
        <v/>
      </c>
      <c r="D9" s="335" t="str">
        <f t="shared" si="4"/>
        <v/>
      </c>
      <c r="E9" s="335" t="str">
        <f t="shared" si="5"/>
        <v/>
      </c>
      <c r="F9" s="335" t="str">
        <f t="shared" si="6"/>
        <v/>
      </c>
      <c r="G9" s="335" t="str">
        <f t="shared" si="7"/>
        <v/>
      </c>
      <c r="H9" s="335" t="str">
        <f t="shared" si="8"/>
        <v/>
      </c>
      <c r="I9" s="335" t="str">
        <f t="shared" si="9"/>
        <v/>
      </c>
      <c r="J9" s="333" t="str">
        <f>""</f>
        <v/>
      </c>
      <c r="K9" s="356" t="str">
        <f>IF(Umse!$C$24=0,"",IF(OR($A$1="6.1.",$A$1="6.2.",$A$1="6.3.",$A$1="6.4.",$A$1="6.5.",$A$1="6.6."),T9,""))</f>
        <v/>
      </c>
      <c r="L9" s="357" t="str">
        <f>IF(Umse!$C$24=0,"",IF(OR($A$1="6.1.",$A$1="6.2.",$A$1="6.3.",$A$1="6.4.",$A$1="6.5.",$A$1="6.6."),U9,""))</f>
        <v/>
      </c>
      <c r="M9" s="335" t="str">
        <f>IF(Umse!$C$24=0,"",IF(OR($A$1="6.1.",$A$1="6.2."),'LKr Tab'!DC8,IF(OR($A$1="6.3.",$A$1="6.4."),'LKr Tab'!DK8,IF(OR($A$1="6.5.",$A$1="6.6."),'LKr Tab'!DS8,""))))</f>
        <v/>
      </c>
      <c r="N9" s="335" t="str">
        <f>IF(Umse!$C$24=0,"",IF(OR($A$1="6.1.",$A$1="6.2."),'LKr Tab'!DD8,IF(OR($A$1="6.3.",$A$1="6.4."),'LKr Tab'!DL8,IF(OR($A$1="6.5.",$A$1="6.6."),'LKr Tab'!DT8,""))))</f>
        <v/>
      </c>
      <c r="O9" s="335" t="str">
        <f>IF(Umse!$C$24=0,"",IF(OR($A$1="6.1.",$A$1="6.2."),'LKr Tab'!DE8,IF(OR($A$1="6.3.",$A$1="6.4."),'LKr Tab'!DM8,IF(OR($A$1="6.5.",$A$1="6.6."),'LKr Tab'!DU8,""))))</f>
        <v/>
      </c>
      <c r="P9" s="335" t="str">
        <f>IF(Umse!$C$24=0,"",IF(OR($A$1="6.1.",$A$1="6.2."),'LKr Tab'!DF8,IF(OR($A$1="6.3.",$A$1="6.4."),'LKr Tab'!DN8,IF(OR($A$1="6.5.",$A$1="6.6."),'LKr Tab'!DV8,""))))</f>
        <v/>
      </c>
      <c r="Q9" s="335" t="str">
        <f>IF(Umse!$C$24=0,"",IF(OR($A$1="6.1.",$A$1="6.2."),'LKr Tab'!DG8,IF(OR($A$1="6.3.",$A$1="6.4."),'LKr Tab'!DO8,IF(OR($A$1="6.5.",$A$1="6.6."),'LKr Tab'!DW8,""))))</f>
        <v/>
      </c>
      <c r="R9" s="335" t="str">
        <f>IF(Umse!$C$24=0,"",IF(OR($A$1="6.1.",$A$1="6.2."),'LKr Tab'!DH8,IF(OR($A$1="6.3.",$A$1="6.4."),'LKr Tab'!DP8,IF(OR($A$1="6.5.",$A$1="6.6."),'LKr Tab'!DX8,""))))</f>
        <v/>
      </c>
      <c r="S9" s="358"/>
      <c r="T9" s="332" t="s">
        <v>66</v>
      </c>
      <c r="U9" s="357">
        <v>11</v>
      </c>
    </row>
    <row r="10" spans="1:21">
      <c r="B10" s="356" t="str">
        <f t="shared" si="2"/>
        <v/>
      </c>
      <c r="C10" s="357" t="str">
        <f t="shared" si="3"/>
        <v/>
      </c>
      <c r="D10" s="335" t="str">
        <f t="shared" si="4"/>
        <v/>
      </c>
      <c r="E10" s="335" t="str">
        <f t="shared" si="5"/>
        <v/>
      </c>
      <c r="F10" s="335" t="str">
        <f t="shared" si="6"/>
        <v/>
      </c>
      <c r="G10" s="335" t="str">
        <f t="shared" si="7"/>
        <v/>
      </c>
      <c r="H10" s="335" t="str">
        <f t="shared" si="8"/>
        <v/>
      </c>
      <c r="I10" s="335" t="str">
        <f t="shared" si="9"/>
        <v/>
      </c>
      <c r="J10" s="328" t="str">
        <f>""</f>
        <v/>
      </c>
      <c r="K10" s="356" t="str">
        <f>IF(Umse!$C$24=0,"",IF(OR($A$1="6.1.",$A$1="6.2.",$A$1="6.3.",$A$1="6.4.",$A$1="6.5.",$A$1="6.6."),T10,""))</f>
        <v/>
      </c>
      <c r="L10" s="357" t="str">
        <f>IF(Umse!$C$24=0,"",IF(OR($A$1="6.1.",$A$1="6.2.",$A$1="6.3.",$A$1="6.4.",$A$1="6.5.",$A$1="6.6."),U10,""))</f>
        <v/>
      </c>
      <c r="M10" s="335" t="str">
        <f>IF(Umse!$C$24=0,"",IF(OR($A$1="6.1.",$A$1="6.2."),'LKr Tab'!DC9,IF(OR($A$1="6.3.",$A$1="6.4."),'LKr Tab'!DK9,IF(OR($A$1="6.5.",$A$1="6.6."),'LKr Tab'!DS9,""))))</f>
        <v/>
      </c>
      <c r="N10" s="335" t="str">
        <f>IF(Umse!$C$24=0,"",IF(OR($A$1="6.1.",$A$1="6.2."),'LKr Tab'!DD9,IF(OR($A$1="6.3.",$A$1="6.4."),'LKr Tab'!DL9,IF(OR($A$1="6.5.",$A$1="6.6."),'LKr Tab'!DT9,""))))</f>
        <v/>
      </c>
      <c r="O10" s="335" t="str">
        <f>IF(Umse!$C$24=0,"",IF(OR($A$1="6.1.",$A$1="6.2."),'LKr Tab'!DE9,IF(OR($A$1="6.3.",$A$1="6.4."),'LKr Tab'!DM9,IF(OR($A$1="6.5.",$A$1="6.6."),'LKr Tab'!DU9,""))))</f>
        <v/>
      </c>
      <c r="P10" s="335" t="str">
        <f>IF(Umse!$C$24=0,"",IF(OR($A$1="6.1.",$A$1="6.2."),'LKr Tab'!DF9,IF(OR($A$1="6.3.",$A$1="6.4."),'LKr Tab'!DN9,IF(OR($A$1="6.5.",$A$1="6.6."),'LKr Tab'!DV9,""))))</f>
        <v/>
      </c>
      <c r="Q10" s="335" t="str">
        <f>IF(Umse!$C$24=0,"",IF(OR($A$1="6.1.",$A$1="6.2."),'LKr Tab'!DG9,IF(OR($A$1="6.3.",$A$1="6.4."),'LKr Tab'!DO9,IF(OR($A$1="6.5.",$A$1="6.6."),'LKr Tab'!DW9,""))))</f>
        <v/>
      </c>
      <c r="R10" s="335" t="str">
        <f>IF(Umse!$C$24=0,"",IF(OR($A$1="6.1.",$A$1="6.2."),'LKr Tab'!DH9,IF(OR($A$1="6.3.",$A$1="6.4."),'LKr Tab'!DP9,IF(OR($A$1="6.5.",$A$1="6.6."),'LKr Tab'!DX9,""))))</f>
        <v/>
      </c>
      <c r="S10" s="358"/>
      <c r="T10" s="332" t="s">
        <v>66</v>
      </c>
      <c r="U10" s="357">
        <v>10</v>
      </c>
    </row>
    <row r="11" spans="1:21">
      <c r="B11" s="356" t="str">
        <f t="shared" si="2"/>
        <v/>
      </c>
      <c r="C11" s="357" t="str">
        <f t="shared" si="3"/>
        <v/>
      </c>
      <c r="D11" s="335" t="str">
        <f t="shared" si="4"/>
        <v/>
      </c>
      <c r="E11" s="335" t="str">
        <f t="shared" si="5"/>
        <v/>
      </c>
      <c r="F11" s="335" t="str">
        <f t="shared" si="6"/>
        <v/>
      </c>
      <c r="G11" s="335" t="str">
        <f t="shared" si="7"/>
        <v/>
      </c>
      <c r="H11" s="335" t="str">
        <f t="shared" si="8"/>
        <v/>
      </c>
      <c r="I11" s="335" t="str">
        <f t="shared" si="9"/>
        <v/>
      </c>
      <c r="J11" s="333" t="str">
        <f>""</f>
        <v/>
      </c>
      <c r="K11" s="356" t="str">
        <f>IF(Umse!$C$24=0,"",IF(OR($A$1="6.1.",$A$1="6.2.",$A$1="6.3.",$A$1="6.4.",$A$1="6.5.",$A$1="6.6."),T11,""))</f>
        <v/>
      </c>
      <c r="L11" s="357" t="str">
        <f>IF(Umse!$C$24=0,"",IF(OR($A$1="6.1.",$A$1="6.2.",$A$1="6.3.",$A$1="6.4.",$A$1="6.5.",$A$1="6.6."),U11,""))</f>
        <v/>
      </c>
      <c r="M11" s="335" t="str">
        <f>IF(Umse!$C$24=0,"",IF(OR($A$1="6.1.",$A$1="6.2."),'LKr Tab'!DC10,IF(OR($A$1="6.3.",$A$1="6.4."),'LKr Tab'!DK10,IF(OR($A$1="6.5.",$A$1="6.6."),'LKr Tab'!DS10,""))))</f>
        <v/>
      </c>
      <c r="N11" s="335" t="str">
        <f>IF(Umse!$C$24=0,"",IF(OR($A$1="6.1.",$A$1="6.2."),'LKr Tab'!DD10,IF(OR($A$1="6.3.",$A$1="6.4."),'LKr Tab'!DL10,IF(OR($A$1="6.5.",$A$1="6.6."),'LKr Tab'!DT10,""))))</f>
        <v/>
      </c>
      <c r="O11" s="335" t="str">
        <f>IF(Umse!$C$24=0,"",IF(OR($A$1="6.1.",$A$1="6.2."),'LKr Tab'!DE10,IF(OR($A$1="6.3.",$A$1="6.4."),'LKr Tab'!DM10,IF(OR($A$1="6.5.",$A$1="6.6."),'LKr Tab'!DU10,""))))</f>
        <v/>
      </c>
      <c r="P11" s="335" t="str">
        <f>IF(Umse!$C$24=0,"",IF(OR($A$1="6.1.",$A$1="6.2."),'LKr Tab'!DF10,IF(OR($A$1="6.3.",$A$1="6.4."),'LKr Tab'!DN10,IF(OR($A$1="6.5.",$A$1="6.6."),'LKr Tab'!DV10,""))))</f>
        <v/>
      </c>
      <c r="Q11" s="335" t="str">
        <f>IF(Umse!$C$24=0,"",IF(OR($A$1="6.1.",$A$1="6.2."),'LKr Tab'!DG10,IF(OR($A$1="6.3.",$A$1="6.4."),'LKr Tab'!DO10,IF(OR($A$1="6.5.",$A$1="6.6."),'LKr Tab'!DW10,""))))</f>
        <v/>
      </c>
      <c r="R11" s="335" t="str">
        <f>IF(Umse!$C$24=0,"",IF(OR($A$1="6.1.",$A$1="6.2."),'LKr Tab'!DH10,IF(OR($A$1="6.3.",$A$1="6.4."),'LKr Tab'!DP10,IF(OR($A$1="6.5.",$A$1="6.6."),'LKr Tab'!DX10,""))))</f>
        <v/>
      </c>
      <c r="S11" s="346"/>
      <c r="T11" s="332" t="s">
        <v>66</v>
      </c>
      <c r="U11" s="357">
        <v>9</v>
      </c>
    </row>
    <row r="12" spans="1:21">
      <c r="B12" s="356" t="str">
        <f t="shared" si="2"/>
        <v/>
      </c>
      <c r="C12" s="357" t="str">
        <f t="shared" si="3"/>
        <v/>
      </c>
      <c r="D12" s="335" t="str">
        <f t="shared" si="4"/>
        <v/>
      </c>
      <c r="E12" s="335" t="str">
        <f t="shared" si="5"/>
        <v/>
      </c>
      <c r="F12" s="335" t="str">
        <f t="shared" si="6"/>
        <v/>
      </c>
      <c r="G12" s="335" t="str">
        <f t="shared" si="7"/>
        <v/>
      </c>
      <c r="H12" s="335" t="str">
        <f t="shared" si="8"/>
        <v/>
      </c>
      <c r="I12" s="335" t="str">
        <f t="shared" si="9"/>
        <v/>
      </c>
      <c r="J12" s="333" t="str">
        <f>""</f>
        <v/>
      </c>
      <c r="K12" s="356" t="str">
        <f>IF(Umse!$C$24=0,"",IF(OR($A$1="6.1.",$A$1="6.2.",$A$1="6.3.",$A$1="6.4.",$A$1="6.5.",$A$1="6.6."),T12,""))</f>
        <v/>
      </c>
      <c r="L12" s="357" t="str">
        <f>IF(Umse!$C$24=0,"",IF(OR($A$1="6.1.",$A$1="6.2.",$A$1="6.3.",$A$1="6.4.",$A$1="6.5.",$A$1="6.6."),U12,""))</f>
        <v/>
      </c>
      <c r="M12" s="335" t="str">
        <f>IF(Umse!$C$24=0,"",IF(OR($A$1="6.1.",$A$1="6.2."),'LKr Tab'!DC11,IF(OR($A$1="6.3.",$A$1="6.4."),'LKr Tab'!DK11,IF(OR($A$1="6.5.",$A$1="6.6."),'LKr Tab'!DS11,""))))</f>
        <v/>
      </c>
      <c r="N12" s="335" t="str">
        <f>IF(Umse!$C$24=0,"",IF(OR($A$1="6.1.",$A$1="6.2."),'LKr Tab'!DD11,IF(OR($A$1="6.3.",$A$1="6.4."),'LKr Tab'!DL11,IF(OR($A$1="6.5.",$A$1="6.6."),'LKr Tab'!DT11,""))))</f>
        <v/>
      </c>
      <c r="O12" s="335" t="str">
        <f>IF(Umse!$C$24=0,"",IF(OR($A$1="6.1.",$A$1="6.2."),'LKr Tab'!DE11,IF(OR($A$1="6.3.",$A$1="6.4."),'LKr Tab'!DM11,IF(OR($A$1="6.5.",$A$1="6.6."),'LKr Tab'!DU11,""))))</f>
        <v/>
      </c>
      <c r="P12" s="335" t="str">
        <f>IF(Umse!$C$24=0,"",IF(OR($A$1="6.1.",$A$1="6.2."),'LKr Tab'!DF11,IF(OR($A$1="6.3.",$A$1="6.4."),'LKr Tab'!DN11,IF(OR($A$1="6.5.",$A$1="6.6."),'LKr Tab'!DV11,""))))</f>
        <v/>
      </c>
      <c r="Q12" s="335" t="str">
        <f>IF(Umse!$C$24=0,"",IF(OR($A$1="6.1.",$A$1="6.2."),'LKr Tab'!DG11,IF(OR($A$1="6.3.",$A$1="6.4."),'LKr Tab'!DO11,IF(OR($A$1="6.5.",$A$1="6.6."),'LKr Tab'!DW11,""))))</f>
        <v/>
      </c>
      <c r="R12" s="335" t="str">
        <f>IF(Umse!$C$24=0,"",IF(OR($A$1="6.1.",$A$1="6.2."),'LKr Tab'!DH11,IF(OR($A$1="6.3.",$A$1="6.4."),'LKr Tab'!DP11,IF(OR($A$1="6.5.",$A$1="6.6."),'LKr Tab'!DX11,""))))</f>
        <v/>
      </c>
      <c r="S12" s="359"/>
      <c r="T12" s="332" t="s">
        <v>66</v>
      </c>
      <c r="U12" s="357">
        <v>8</v>
      </c>
    </row>
    <row r="13" spans="1:21">
      <c r="B13" s="356" t="str">
        <f t="shared" si="2"/>
        <v/>
      </c>
      <c r="C13" s="357" t="str">
        <f t="shared" si="3"/>
        <v/>
      </c>
      <c r="D13" s="335" t="str">
        <f t="shared" si="4"/>
        <v/>
      </c>
      <c r="E13" s="335" t="str">
        <f t="shared" si="5"/>
        <v/>
      </c>
      <c r="F13" s="335" t="str">
        <f t="shared" si="6"/>
        <v/>
      </c>
      <c r="G13" s="335" t="str">
        <f t="shared" si="7"/>
        <v/>
      </c>
      <c r="H13" s="335" t="str">
        <f t="shared" si="8"/>
        <v/>
      </c>
      <c r="I13" s="335" t="str">
        <f t="shared" si="9"/>
        <v/>
      </c>
      <c r="J13" s="333" t="str">
        <f>""</f>
        <v/>
      </c>
      <c r="K13" s="356" t="str">
        <f>IF(Umse!$C$24=0,"",IF(OR($A$1="6.1.",$A$1="6.2.",$A$1="6.3.",$A$1="6.4.",$A$1="6.5.",$A$1="6.6."),T13,""))</f>
        <v/>
      </c>
      <c r="L13" s="357" t="str">
        <f>IF(Umse!$C$24=0,"",IF(OR($A$1="6.1.",$A$1="6.2.",$A$1="6.3.",$A$1="6.4.",$A$1="6.5.",$A$1="6.6."),U13,""))</f>
        <v/>
      </c>
      <c r="M13" s="335" t="str">
        <f>IF(Umse!$C$24=0,"",IF(OR($A$1="6.1.",$A$1="6.2."),'LKr Tab'!DC12,IF(OR($A$1="6.3.",$A$1="6.4."),'LKr Tab'!DK12,IF(OR($A$1="6.5.",$A$1="6.6."),'LKr Tab'!DS12,""))))</f>
        <v/>
      </c>
      <c r="N13" s="335" t="str">
        <f>IF(Umse!$C$24=0,"",IF(OR($A$1="6.1.",$A$1="6.2."),'LKr Tab'!DD12,IF(OR($A$1="6.3.",$A$1="6.4."),'LKr Tab'!DL12,IF(OR($A$1="6.5.",$A$1="6.6."),'LKr Tab'!DT12,""))))</f>
        <v/>
      </c>
      <c r="O13" s="335" t="str">
        <f>IF(Umse!$C$24=0,"",IF(OR($A$1="6.1.",$A$1="6.2."),'LKr Tab'!DE12,IF(OR($A$1="6.3.",$A$1="6.4."),'LKr Tab'!DM12,IF(OR($A$1="6.5.",$A$1="6.6."),'LKr Tab'!DU12,""))))</f>
        <v/>
      </c>
      <c r="P13" s="335" t="str">
        <f>IF(Umse!$C$24=0,"",IF(OR($A$1="6.1.",$A$1="6.2."),'LKr Tab'!DF12,IF(OR($A$1="6.3.",$A$1="6.4."),'LKr Tab'!DN12,IF(OR($A$1="6.5.",$A$1="6.6."),'LKr Tab'!DV12,""))))</f>
        <v/>
      </c>
      <c r="Q13" s="335" t="str">
        <f>IF(Umse!$C$24=0,"",IF(OR($A$1="6.1.",$A$1="6.2."),'LKr Tab'!DG12,IF(OR($A$1="6.3.",$A$1="6.4."),'LKr Tab'!DO12,IF(OR($A$1="6.5.",$A$1="6.6."),'LKr Tab'!DW12,""))))</f>
        <v/>
      </c>
      <c r="R13" s="335" t="str">
        <f>IF(Umse!$C$24=0,"",IF(OR($A$1="6.1.",$A$1="6.2."),'LKr Tab'!DH12,IF(OR($A$1="6.3.",$A$1="6.4."),'LKr Tab'!DP12,IF(OR($A$1="6.5.",$A$1="6.6."),'LKr Tab'!DX12,""))))</f>
        <v/>
      </c>
      <c r="S13" s="359"/>
      <c r="T13" s="332" t="s">
        <v>66</v>
      </c>
      <c r="U13" s="357">
        <v>7</v>
      </c>
    </row>
    <row r="14" spans="1:21">
      <c r="B14" s="356" t="str">
        <f t="shared" si="2"/>
        <v/>
      </c>
      <c r="C14" s="357" t="str">
        <f t="shared" si="3"/>
        <v/>
      </c>
      <c r="D14" s="335" t="str">
        <f t="shared" si="4"/>
        <v/>
      </c>
      <c r="E14" s="335" t="str">
        <f t="shared" si="5"/>
        <v/>
      </c>
      <c r="F14" s="335" t="str">
        <f t="shared" si="6"/>
        <v/>
      </c>
      <c r="G14" s="335" t="str">
        <f t="shared" si="7"/>
        <v/>
      </c>
      <c r="H14" s="335" t="str">
        <f t="shared" si="8"/>
        <v/>
      </c>
      <c r="I14" s="335" t="str">
        <f t="shared" si="9"/>
        <v/>
      </c>
      <c r="J14" s="333" t="str">
        <f>""</f>
        <v/>
      </c>
      <c r="K14" s="356" t="str">
        <f>IF(Umse!$C$24=0,"",IF(OR($A$1="6.1.",$A$1="6.2.",$A$1="6.3.",$A$1="6.4.",$A$1="6.5.",$A$1="6.6."),T14,""))</f>
        <v/>
      </c>
      <c r="L14" s="357" t="str">
        <f>IF(Umse!$C$24=0,"",IF(OR($A$1="6.1.",$A$1="6.2.",$A$1="6.3.",$A$1="6.4.",$A$1="6.5.",$A$1="6.6."),U14,""))</f>
        <v/>
      </c>
      <c r="M14" s="335" t="str">
        <f>IF(Umse!$C$24=0,"",IF(OR($A$1="6.1.",$A$1="6.2."),'LKr Tab'!DC13,IF(OR($A$1="6.3.",$A$1="6.4."),'LKr Tab'!DK13,IF(OR($A$1="6.5.",$A$1="6.6."),'LKr Tab'!DS13,""))))</f>
        <v/>
      </c>
      <c r="N14" s="335" t="str">
        <f>IF(Umse!$C$24=0,"",IF(OR($A$1="6.1.",$A$1="6.2."),'LKr Tab'!DD13,IF(OR($A$1="6.3.",$A$1="6.4."),'LKr Tab'!DL13,IF(OR($A$1="6.5.",$A$1="6.6."),'LKr Tab'!DT13,""))))</f>
        <v/>
      </c>
      <c r="O14" s="335" t="str">
        <f>IF(Umse!$C$24=0,"",IF(OR($A$1="6.1.",$A$1="6.2."),'LKr Tab'!DE13,IF(OR($A$1="6.3.",$A$1="6.4."),'LKr Tab'!DM13,IF(OR($A$1="6.5.",$A$1="6.6."),'LKr Tab'!DU13,""))))</f>
        <v/>
      </c>
      <c r="P14" s="335" t="str">
        <f>IF(Umse!$C$24=0,"",IF(OR($A$1="6.1.",$A$1="6.2."),'LKr Tab'!DF13,IF(OR($A$1="6.3.",$A$1="6.4."),'LKr Tab'!DN13,IF(OR($A$1="6.5.",$A$1="6.6."),'LKr Tab'!DV13,""))))</f>
        <v/>
      </c>
      <c r="Q14" s="335" t="str">
        <f>IF(Umse!$C$24=0,"",IF(OR($A$1="6.1.",$A$1="6.2."),'LKr Tab'!DG13,IF(OR($A$1="6.3.",$A$1="6.4."),'LKr Tab'!DO13,IF(OR($A$1="6.5.",$A$1="6.6."),'LKr Tab'!DW13,""))))</f>
        <v/>
      </c>
      <c r="R14" s="335" t="str">
        <f>IF(Umse!$C$24=0,"",IF(OR($A$1="6.1.",$A$1="6.2."),'LKr Tab'!DH13,IF(OR($A$1="6.3.",$A$1="6.4."),'LKr Tab'!DP13,IF(OR($A$1="6.5.",$A$1="6.6."),'LKr Tab'!DX13,""))))</f>
        <v/>
      </c>
      <c r="S14" s="359"/>
      <c r="T14" s="332" t="s">
        <v>66</v>
      </c>
      <c r="U14" s="357">
        <v>6</v>
      </c>
    </row>
    <row r="15" spans="1:21">
      <c r="B15" s="356" t="str">
        <f>K15</f>
        <v/>
      </c>
      <c r="C15" s="357" t="str">
        <f>L15</f>
        <v/>
      </c>
      <c r="D15" s="335" t="str">
        <f t="shared" ref="D15:I15" si="10">IF(M15=0,0,IF(M15="-","-",IF(M15="","",FIXED(ROUND(M15/$A$5,2),2))))</f>
        <v/>
      </c>
      <c r="E15" s="335" t="str">
        <f t="shared" si="10"/>
        <v/>
      </c>
      <c r="F15" s="335" t="str">
        <f t="shared" si="10"/>
        <v/>
      </c>
      <c r="G15" s="335" t="str">
        <f t="shared" si="10"/>
        <v/>
      </c>
      <c r="H15" s="335" t="str">
        <f t="shared" si="10"/>
        <v/>
      </c>
      <c r="I15" s="335" t="str">
        <f t="shared" si="10"/>
        <v/>
      </c>
      <c r="J15" s="333" t="str">
        <f>""</f>
        <v/>
      </c>
      <c r="K15" s="356" t="str">
        <f>IF(Umse!$C$24=0,"",IF(OR($A$1="6.1.",$A$1="6.2.",$A$1="6.3.",$A$1="6.4.",$A$1="6.5.",$A$1="6.6."),T15,""))</f>
        <v/>
      </c>
      <c r="L15" s="357" t="str">
        <f>IF(Umse!$C$24=0,"",IF(OR($A$1="6.1.",$A$1="6.2.",$A$1="6.3.",$A$1="6.4.",$A$1="6.5.",$A$1="6.6."),U15,""))</f>
        <v/>
      </c>
      <c r="M15" s="335" t="str">
        <f>IF(Umse!$C$24=0,"",IF(OR($A$1="6.1.",$A$1="6.2."),'LKr Tab'!DC14,IF(OR($A$1="6.3.",$A$1="6.4."),'LKr Tab'!DK14,IF(OR($A$1="6.5.",$A$1="6.6."),'LKr Tab'!DS14,""))))</f>
        <v/>
      </c>
      <c r="N15" s="335" t="str">
        <f>IF(Umse!$C$24=0,"",IF(OR($A$1="6.1.",$A$1="6.2."),'LKr Tab'!DD14,IF(OR($A$1="6.3.",$A$1="6.4."),'LKr Tab'!DL14,IF(OR($A$1="6.5.",$A$1="6.6."),'LKr Tab'!DT14,""))))</f>
        <v/>
      </c>
      <c r="O15" s="335" t="str">
        <f>IF(Umse!$C$24=0,"",IF(OR($A$1="6.1.",$A$1="6.2."),'LKr Tab'!DE14,IF(OR($A$1="6.3.",$A$1="6.4."),'LKr Tab'!DM14,IF(OR($A$1="6.5.",$A$1="6.6."),'LKr Tab'!DU14,""))))</f>
        <v/>
      </c>
      <c r="P15" s="335" t="str">
        <f>IF(Umse!$C$24=0,"",IF(OR($A$1="6.1.",$A$1="6.2."),'LKr Tab'!DF14,IF(OR($A$1="6.3.",$A$1="6.4."),'LKr Tab'!DN14,IF(OR($A$1="6.5.",$A$1="6.6."),'LKr Tab'!DV14,""))))</f>
        <v/>
      </c>
      <c r="Q15" s="335" t="str">
        <f>IF(Umse!$C$24=0,"",IF(OR($A$1="6.1.",$A$1="6.2."),'LKr Tab'!DG14,IF(OR($A$1="6.3.",$A$1="6.4."),'LKr Tab'!DO14,IF(OR($A$1="6.5.",$A$1="6.6."),'LKr Tab'!DW14,""))))</f>
        <v/>
      </c>
      <c r="R15" s="335" t="str">
        <f>IF(Umse!$C$24=0,"",IF(OR($A$1="6.1.",$A$1="6.2."),'LKr Tab'!DH14,IF(OR($A$1="6.3.",$A$1="6.4."),'LKr Tab'!DP14,IF(OR($A$1="6.5.",$A$1="6.6."),'LKr Tab'!DX14,""))))</f>
        <v/>
      </c>
      <c r="S15" s="359"/>
      <c r="T15" s="332" t="s">
        <v>66</v>
      </c>
      <c r="U15" s="357">
        <v>5</v>
      </c>
    </row>
    <row r="16" spans="1:21">
      <c r="B16" s="356"/>
      <c r="C16" s="356"/>
      <c r="D16" s="361"/>
      <c r="E16" s="361"/>
      <c r="F16" s="361"/>
      <c r="G16" s="361"/>
      <c r="H16" s="361"/>
      <c r="I16" s="361"/>
      <c r="J16" s="333" t="str">
        <f>""</f>
        <v/>
      </c>
      <c r="K16" s="356"/>
      <c r="L16" s="356"/>
      <c r="M16" s="335"/>
      <c r="N16" s="335"/>
      <c r="O16" s="335"/>
      <c r="P16" s="335"/>
      <c r="Q16" s="335"/>
      <c r="R16" s="335"/>
      <c r="S16" s="359"/>
    </row>
    <row r="17" spans="2:19">
      <c r="B17" s="356"/>
      <c r="C17" s="356"/>
      <c r="D17" s="361"/>
      <c r="E17" s="361"/>
      <c r="F17" s="361"/>
      <c r="G17" s="361"/>
      <c r="H17" s="361"/>
      <c r="I17" s="361"/>
      <c r="J17" s="333" t="str">
        <f>""</f>
        <v/>
      </c>
      <c r="K17" s="356"/>
      <c r="L17" s="356"/>
      <c r="M17" s="335"/>
      <c r="N17" s="335"/>
      <c r="O17" s="335"/>
      <c r="P17" s="335"/>
      <c r="Q17" s="335"/>
      <c r="R17" s="335"/>
      <c r="S17" s="359"/>
    </row>
    <row r="18" spans="2:19">
      <c r="B18" s="332"/>
      <c r="C18" s="332"/>
      <c r="D18" s="361"/>
      <c r="E18" s="361"/>
      <c r="F18" s="361"/>
      <c r="G18" s="361"/>
      <c r="H18" s="361"/>
      <c r="I18" s="361"/>
      <c r="J18" s="333" t="str">
        <f>""</f>
        <v/>
      </c>
      <c r="K18" s="356"/>
      <c r="L18" s="356"/>
      <c r="M18" s="335"/>
      <c r="N18" s="335"/>
      <c r="O18" s="335"/>
      <c r="P18" s="335"/>
      <c r="Q18" s="335"/>
      <c r="R18" s="335"/>
      <c r="S18" s="359"/>
    </row>
    <row r="19" spans="2:19">
      <c r="B19" s="332"/>
      <c r="C19" s="332"/>
      <c r="D19" s="361"/>
      <c r="E19" s="361"/>
      <c r="F19" s="361"/>
      <c r="G19" s="361"/>
      <c r="H19" s="361"/>
      <c r="I19" s="361"/>
      <c r="J19" s="333" t="str">
        <f>""</f>
        <v/>
      </c>
      <c r="K19" s="356"/>
      <c r="L19" s="356"/>
      <c r="M19" s="335"/>
      <c r="N19" s="335"/>
      <c r="O19" s="335"/>
      <c r="P19" s="335"/>
      <c r="Q19" s="335"/>
      <c r="R19" s="335"/>
      <c r="S19" s="328"/>
    </row>
    <row r="20" spans="2:19">
      <c r="B20" s="332"/>
      <c r="C20" s="332"/>
      <c r="D20" s="361"/>
      <c r="E20" s="361"/>
      <c r="F20" s="361"/>
      <c r="G20" s="361"/>
      <c r="H20" s="361"/>
      <c r="I20" s="361"/>
      <c r="J20" s="333" t="str">
        <f>""</f>
        <v/>
      </c>
      <c r="K20" s="356"/>
      <c r="L20" s="356"/>
      <c r="M20" s="335"/>
      <c r="N20" s="335"/>
      <c r="O20" s="335"/>
      <c r="P20" s="335"/>
      <c r="Q20" s="335"/>
      <c r="R20" s="335"/>
      <c r="S20" s="328"/>
    </row>
    <row r="21" spans="2:19">
      <c r="J21" s="328" t="str">
        <f>""</f>
        <v/>
      </c>
      <c r="K21" s="356"/>
      <c r="L21" s="356"/>
      <c r="M21" s="335"/>
      <c r="N21" s="335"/>
      <c r="O21" s="335"/>
      <c r="P21" s="335"/>
      <c r="Q21" s="335"/>
      <c r="R21" s="335"/>
      <c r="S21" s="328"/>
    </row>
    <row r="22" spans="2:19">
      <c r="B22" s="324"/>
      <c r="C22" s="325"/>
      <c r="D22" s="326" t="str">
        <f>IF(A1=0,"","Zeitzuschläge")</f>
        <v>Zeitzuschläge</v>
      </c>
      <c r="E22" s="325"/>
      <c r="F22" s="325"/>
      <c r="G22" s="325"/>
      <c r="H22" s="325"/>
      <c r="I22" s="327"/>
      <c r="K22" s="356"/>
      <c r="L22" s="356"/>
      <c r="M22" s="334"/>
      <c r="N22" s="334"/>
      <c r="O22" s="334"/>
      <c r="P22" s="334"/>
      <c r="Q22" s="334"/>
      <c r="R22" s="334"/>
      <c r="S22" s="328"/>
    </row>
    <row r="23" spans="2:19" ht="12.75" customHeight="1">
      <c r="B23" s="677" t="s">
        <v>192</v>
      </c>
      <c r="C23" s="678"/>
      <c r="D23" s="687" t="s">
        <v>571</v>
      </c>
      <c r="E23" s="687" t="s">
        <v>395</v>
      </c>
      <c r="F23" s="687" t="s">
        <v>21</v>
      </c>
      <c r="G23" s="683" t="s">
        <v>190</v>
      </c>
      <c r="H23" s="683" t="s">
        <v>191</v>
      </c>
      <c r="I23" s="687" t="s">
        <v>394</v>
      </c>
      <c r="K23" s="356"/>
      <c r="L23" s="356"/>
      <c r="M23" s="334"/>
      <c r="N23" s="334"/>
      <c r="O23" s="334"/>
      <c r="P23" s="334"/>
      <c r="Q23" s="334"/>
      <c r="R23" s="334"/>
      <c r="S23" s="328"/>
    </row>
    <row r="24" spans="2:19" ht="11.25" customHeight="1">
      <c r="B24" s="679"/>
      <c r="C24" s="680"/>
      <c r="D24" s="687"/>
      <c r="E24" s="687"/>
      <c r="F24" s="687"/>
      <c r="G24" s="683"/>
      <c r="H24" s="683"/>
      <c r="I24" s="687"/>
      <c r="K24" s="356"/>
      <c r="L24" s="356"/>
      <c r="M24" s="334"/>
      <c r="N24" s="334"/>
      <c r="O24" s="334"/>
      <c r="P24" s="334"/>
      <c r="Q24" s="334"/>
      <c r="R24" s="334"/>
      <c r="S24" s="328"/>
    </row>
    <row r="25" spans="2:19" ht="11.25" customHeight="1">
      <c r="B25" s="679"/>
      <c r="C25" s="680"/>
      <c r="D25" s="687"/>
      <c r="E25" s="687"/>
      <c r="F25" s="687"/>
      <c r="G25" s="683"/>
      <c r="H25" s="683"/>
      <c r="I25" s="687"/>
      <c r="K25" s="356"/>
      <c r="L25" s="356"/>
      <c r="M25" s="334"/>
      <c r="N25" s="334"/>
      <c r="O25" s="334"/>
      <c r="P25" s="334"/>
      <c r="Q25" s="334"/>
      <c r="R25" s="334"/>
      <c r="S25" s="328"/>
    </row>
    <row r="26" spans="2:19" ht="11.25" customHeight="1">
      <c r="B26" s="679"/>
      <c r="C26" s="680"/>
      <c r="D26" s="687"/>
      <c r="E26" s="687"/>
      <c r="F26" s="687"/>
      <c r="G26" s="683"/>
      <c r="H26" s="683"/>
      <c r="I26" s="687"/>
      <c r="K26" s="356"/>
      <c r="L26" s="356"/>
      <c r="M26" s="334"/>
      <c r="N26" s="334"/>
      <c r="O26" s="334"/>
      <c r="P26" s="334"/>
      <c r="Q26" s="334"/>
      <c r="R26" s="334"/>
      <c r="S26" s="328"/>
    </row>
    <row r="27" spans="2:19" ht="11.25" customHeight="1">
      <c r="B27" s="679"/>
      <c r="C27" s="680"/>
      <c r="D27" s="687"/>
      <c r="E27" s="687"/>
      <c r="F27" s="687"/>
      <c r="G27" s="683"/>
      <c r="H27" s="683"/>
      <c r="I27" s="687"/>
      <c r="K27" s="356"/>
      <c r="L27" s="356"/>
      <c r="M27" s="334"/>
      <c r="N27" s="334"/>
      <c r="O27" s="334"/>
      <c r="P27" s="334"/>
      <c r="Q27" s="334"/>
      <c r="R27" s="334"/>
      <c r="S27" s="328"/>
    </row>
    <row r="28" spans="2:19" ht="11.25" customHeight="1">
      <c r="B28" s="679"/>
      <c r="C28" s="680"/>
      <c r="D28" s="687"/>
      <c r="E28" s="687"/>
      <c r="F28" s="687"/>
      <c r="G28" s="683"/>
      <c r="H28" s="683"/>
      <c r="I28" s="687"/>
      <c r="K28" s="332"/>
      <c r="L28" s="332"/>
      <c r="M28" s="334"/>
      <c r="N28" s="334"/>
      <c r="O28" s="334"/>
      <c r="P28" s="334"/>
      <c r="Q28" s="334"/>
      <c r="R28" s="334"/>
      <c r="S28" s="328"/>
    </row>
    <row r="29" spans="2:19" ht="11.25" customHeight="1">
      <c r="B29" s="679"/>
      <c r="C29" s="680"/>
      <c r="D29" s="687"/>
      <c r="E29" s="687"/>
      <c r="F29" s="687"/>
      <c r="G29" s="683"/>
      <c r="H29" s="683"/>
      <c r="I29" s="687"/>
      <c r="K29" s="332"/>
      <c r="L29" s="332"/>
      <c r="M29" s="334"/>
      <c r="N29" s="334"/>
      <c r="O29" s="334"/>
      <c r="P29" s="334"/>
      <c r="Q29" s="334"/>
      <c r="R29" s="334"/>
      <c r="S29" s="328"/>
    </row>
    <row r="30" spans="2:19" ht="11.25" customHeight="1">
      <c r="B30" s="679"/>
      <c r="C30" s="680"/>
      <c r="D30" s="687"/>
      <c r="E30" s="687"/>
      <c r="F30" s="687"/>
      <c r="G30" s="683"/>
      <c r="H30" s="683"/>
      <c r="I30" s="687"/>
      <c r="K30" s="332"/>
      <c r="L30" s="332"/>
      <c r="M30" s="334"/>
      <c r="N30" s="334"/>
      <c r="O30" s="334"/>
      <c r="P30" s="334"/>
      <c r="Q30" s="334"/>
      <c r="R30" s="334"/>
      <c r="S30" s="328"/>
    </row>
    <row r="31" spans="2:19" ht="11.25" customHeight="1">
      <c r="B31" s="679"/>
      <c r="C31" s="680"/>
      <c r="D31" s="687"/>
      <c r="E31" s="687"/>
      <c r="F31" s="687"/>
      <c r="G31" s="683"/>
      <c r="H31" s="683"/>
      <c r="I31" s="687"/>
    </row>
    <row r="32" spans="2:19" ht="11.25" customHeight="1">
      <c r="B32" s="679"/>
      <c r="C32" s="680"/>
      <c r="D32" s="687"/>
      <c r="E32" s="687"/>
      <c r="F32" s="687"/>
      <c r="G32" s="683"/>
      <c r="H32" s="683"/>
      <c r="I32" s="687"/>
      <c r="K32" s="352"/>
      <c r="L32" s="326"/>
      <c r="M32" s="326" t="str">
        <f>IF(A1=0,"","Bereitschaftsdienst ( Stunde = 100 % )")</f>
        <v>Bereitschaftsdienst ( Stunde = 100 % )</v>
      </c>
      <c r="N32" s="326"/>
      <c r="O32" s="326"/>
      <c r="P32" s="326"/>
      <c r="Q32" s="326"/>
      <c r="R32" s="362" t="str">
        <f>IF(A1=0,"","Anlage E zu § 43 Nr 5")</f>
        <v>Anlage E zu § 43 Nr 5</v>
      </c>
    </row>
    <row r="33" spans="1:18" ht="16.5">
      <c r="A33" s="328" t="s">
        <v>9</v>
      </c>
      <c r="B33" s="354" t="str">
        <f>B2</f>
        <v/>
      </c>
      <c r="C33" s="331"/>
      <c r="D33" s="349" t="s">
        <v>221</v>
      </c>
      <c r="E33" s="350">
        <v>0.2</v>
      </c>
      <c r="F33" s="350">
        <v>0.25</v>
      </c>
      <c r="G33" s="350">
        <v>0.35</v>
      </c>
      <c r="H33" s="350">
        <v>1.35</v>
      </c>
      <c r="I33" s="350">
        <v>0.2</v>
      </c>
      <c r="K33" s="354" t="str">
        <f>IF(Umse!$C$24=0,"",IF(OR($A$1="6.1.",$A$1="6.2.",$A$1="6.3.",$A$1="6.4.",$A$1="6.5.",$A$1="6.6."),'KrBe Tab'!A5,""))</f>
        <v/>
      </c>
      <c r="L33" s="331"/>
      <c r="M33" s="331" t="str">
        <f>IF(Umse!$C$24=0,"",IF(OR($A$1="6.1.",$A$1="6.2.",$A$1="6.3.",$A$1="6.4.",$A$1="6.5.",$A$1="6.6."),'KrBe Tab'!C5,""))</f>
        <v/>
      </c>
      <c r="N33" s="331" t="str">
        <f>IF(Umse!$C$24=0,"",IF(OR($A$1="6.1.",$A$1="6.2.",$A$1="6.3.",$A$1="6.4.",$A$1="6.5.",$A$1="6.6."),'KrBe Tab'!D5,""))</f>
        <v/>
      </c>
      <c r="O33" s="331" t="str">
        <f>IF(Umse!$C$24=0,"",IF(OR($A$1="6.1.",$A$1="6.2.",$A$1="6.3.",$A$1="6.4.",$A$1="6.5.",$A$1="6.6."),'KrBe Tab'!E5,""))</f>
        <v/>
      </c>
      <c r="P33" s="331" t="str">
        <f>IF(Umse!$C$24=0,"",IF(OR($A$1="6.1.",$A$1="6.2.",$A$1="6.3.",$A$1="6.4.",$A$1="6.5.",$A$1="6.6."),'KrBe Tab'!F5,""))</f>
        <v/>
      </c>
      <c r="Q33" s="331" t="str">
        <f>IF(Umse!$C$24=0,"",IF(OR($A$1="6.1.",$A$1="6.2.",$A$1="6.3.",$A$1="6.4.",$A$1="6.5.",$A$1="6.6."),'KrBe Tab'!G5,""))</f>
        <v/>
      </c>
      <c r="R33" s="331" t="str">
        <f>IF(Umse!$C$24=0,"",IF(OR($A$1="6.1.",$A$1="6.2.",$A$1="6.3.",$A$1="6.4.",$A$1="6.5.",$A$1="6.6."),'KrBe Tab'!H5,""))</f>
        <v/>
      </c>
    </row>
    <row r="34" spans="1:18" ht="11.25" customHeight="1">
      <c r="A34" s="328" t="str">
        <f>IF(O3="-","-",IF(O3="","",FIXED(ROUND(O3/$A$5,2),2)))</f>
        <v/>
      </c>
      <c r="B34" s="356" t="str">
        <f>B3</f>
        <v/>
      </c>
      <c r="C34" s="357" t="str">
        <f>C3</f>
        <v/>
      </c>
      <c r="D34" s="343" t="str">
        <f>IF(A34="","",ROUND(A34*0.15,2))</f>
        <v/>
      </c>
      <c r="E34" s="343" t="str">
        <f>IF(A34="","",ROUND(A34*$E$33,2))</f>
        <v/>
      </c>
      <c r="F34" s="343" t="str">
        <f>IF(A34="","",ROUND(A34*$F$33,2))</f>
        <v/>
      </c>
      <c r="G34" s="343" t="str">
        <f>IF(A34="","",ROUND(A34*$G$33,2))</f>
        <v/>
      </c>
      <c r="H34" s="343" t="str">
        <f>IF(A34="","",ROUND(A34*$H$33,2))</f>
        <v/>
      </c>
      <c r="I34" s="343" t="str">
        <f>IF(A34="","",ROUND(A34*$I$33,2))</f>
        <v/>
      </c>
      <c r="K34" s="331" t="str">
        <f>IF(Umse!$C$24=0,"",IF(OR($A$1="6.1.",$A$1="6.2.",$A$1="6.3.",$A$1="6.4.",$A$1="6.5.",$A$1="6.6."),'KrBe Tab'!A6,""))</f>
        <v/>
      </c>
      <c r="L34" s="363" t="str">
        <f>IF(Umse!$C$24=0,"",IF(OR($A$1="6.1.",$A$1="6.2.",$A$1="6.3.",$A$1="6.4.",$A$1="6.5.",$A$1="6.6."),'KrBe Tab'!B6,""))</f>
        <v/>
      </c>
      <c r="M34" s="343" t="str">
        <f>IF(Umse!$C$24=0,"",IF(OR($A$1="6.1.",$A$1="6.2.",$A$1="6.3.",$A$1="6.4.",$A$1="6.5.",$A$1="6.6."),'KrBe Tab'!C6,""))</f>
        <v/>
      </c>
      <c r="N34" s="343" t="str">
        <f>IF(Umse!$C$24=0,"",IF(OR($A$1="6.1.",$A$1="6.2.",$A$1="6.3.",$A$1="6.4.",$A$1="6.5.",$A$1="6.6."),'KrBe Tab'!D6,""))</f>
        <v/>
      </c>
      <c r="O34" s="343" t="str">
        <f>IF(Umse!$C$24=0,"",IF(OR($A$1="6.1.",$A$1="6.2.",$A$1="6.3.",$A$1="6.4.",$A$1="6.5.",$A$1="6.6."),'KrBe Tab'!E6,""))</f>
        <v/>
      </c>
      <c r="P34" s="343" t="str">
        <f>IF(Umse!$C$24=0,"",IF(OR($A$1="6.1.",$A$1="6.2.",$A$1="6.3.",$A$1="6.4.",$A$1="6.5.",$A$1="6.6."),'KrBe Tab'!F6,""))</f>
        <v/>
      </c>
      <c r="Q34" s="343" t="str">
        <f>IF(Umse!$C$24=0,"",IF(OR($A$1="6.1.",$A$1="6.2.",$A$1="6.3.",$A$1="6.4.",$A$1="6.5.",$A$1="6.6."),'KrBe Tab'!G6,""))</f>
        <v/>
      </c>
      <c r="R34" s="343" t="str">
        <f>IF(Umse!$C$24=0,"",IF(OR($A$1="6.1.",$A$1="6.2.",$A$1="6.3.",$A$1="6.4.",$A$1="6.5.",$A$1="6.6."),'KrBe Tab'!H6,""))</f>
        <v/>
      </c>
    </row>
    <row r="35" spans="1:18" ht="11.25" customHeight="1">
      <c r="A35" s="328" t="str">
        <f t="shared" ref="A35:A46" si="11">IF(O4="-","-",IF(O4="","",FIXED(ROUND(O4/$A$5,2),2)))</f>
        <v/>
      </c>
      <c r="B35" s="356" t="str">
        <f t="shared" ref="B35:C46" si="12">B4</f>
        <v/>
      </c>
      <c r="C35" s="357" t="str">
        <f t="shared" si="12"/>
        <v/>
      </c>
      <c r="D35" s="343" t="str">
        <f>IF(A35="","",ROUND(A35*0.15,2))</f>
        <v/>
      </c>
      <c r="E35" s="343" t="str">
        <f t="shared" ref="E35:E45" si="13">IF(A35="","",ROUND(A35*$E$33,2))</f>
        <v/>
      </c>
      <c r="F35" s="343" t="str">
        <f t="shared" ref="F35:F45" si="14">IF(A35="","",ROUND(A35*$F$33,2))</f>
        <v/>
      </c>
      <c r="G35" s="343" t="str">
        <f t="shared" ref="G35:G45" si="15">IF(A35="","",ROUND(A35*$G$33,2))</f>
        <v/>
      </c>
      <c r="H35" s="343" t="str">
        <f t="shared" ref="H35:H45" si="16">IF(A35="","",ROUND(A35*$H$33,2))</f>
        <v/>
      </c>
      <c r="I35" s="343" t="str">
        <f t="shared" ref="I35:I45" si="17">IF(A35="","",ROUND(A35*$I$33,2))</f>
        <v/>
      </c>
      <c r="K35" s="331" t="str">
        <f>IF(Umse!$C$24=0,"",IF(OR($A$1="6.1.",$A$1="6.2.",$A$1="6.3.",$A$1="6.4.",$A$1="6.5.",$A$1="6.6."),'KrBe Tab'!A7,""))</f>
        <v/>
      </c>
      <c r="L35" s="363" t="str">
        <f>IF(Umse!$C$24=0,"",IF(OR($A$1="6.1.",$A$1="6.2.",$A$1="6.3.",$A$1="6.4.",$A$1="6.5.",$A$1="6.6."),'KrBe Tab'!B7,""))</f>
        <v/>
      </c>
      <c r="M35" s="343" t="str">
        <f>IF(Umse!$C$24=0,"",IF(OR($A$1="6.1.",$A$1="6.2.",$A$1="6.3.",$A$1="6.4.",$A$1="6.5.",$A$1="6.6."),'KrBe Tab'!C7,""))</f>
        <v/>
      </c>
      <c r="N35" s="343" t="str">
        <f>IF(Umse!$C$24=0,"",IF(OR($A$1="6.1.",$A$1="6.2.",$A$1="6.3.",$A$1="6.4.",$A$1="6.5.",$A$1="6.6."),'KrBe Tab'!D7,""))</f>
        <v/>
      </c>
      <c r="O35" s="343" t="str">
        <f>IF(Umse!$C$24=0,"",IF(OR($A$1="6.1.",$A$1="6.2.",$A$1="6.3.",$A$1="6.4.",$A$1="6.5.",$A$1="6.6."),'KrBe Tab'!E7,""))</f>
        <v/>
      </c>
      <c r="P35" s="343" t="str">
        <f>IF(Umse!$C$24=0,"",IF(OR($A$1="6.1.",$A$1="6.2.",$A$1="6.3.",$A$1="6.4.",$A$1="6.5.",$A$1="6.6."),'KrBe Tab'!F7,""))</f>
        <v/>
      </c>
      <c r="Q35" s="343" t="str">
        <f>IF(Umse!$C$24=0,"",IF(OR($A$1="6.1.",$A$1="6.2.",$A$1="6.3.",$A$1="6.4.",$A$1="6.5.",$A$1="6.6."),'KrBe Tab'!G7,""))</f>
        <v/>
      </c>
      <c r="R35" s="343" t="str">
        <f>IF(Umse!$C$24=0,"",IF(OR($A$1="6.1.",$A$1="6.2.",$A$1="6.3.",$A$1="6.4.",$A$1="6.5.",$A$1="6.6."),'KrBe Tab'!H7,""))</f>
        <v/>
      </c>
    </row>
    <row r="36" spans="1:18" ht="11.25" customHeight="1">
      <c r="A36" s="328" t="str">
        <f t="shared" si="11"/>
        <v/>
      </c>
      <c r="B36" s="356" t="str">
        <f t="shared" si="12"/>
        <v/>
      </c>
      <c r="C36" s="357" t="str">
        <f t="shared" si="12"/>
        <v/>
      </c>
      <c r="D36" s="343" t="str">
        <f>IF(A36="","",ROUND(A36*0.15,2))</f>
        <v/>
      </c>
      <c r="E36" s="343" t="str">
        <f t="shared" si="13"/>
        <v/>
      </c>
      <c r="F36" s="343" t="str">
        <f t="shared" si="14"/>
        <v/>
      </c>
      <c r="G36" s="343" t="str">
        <f t="shared" si="15"/>
        <v/>
      </c>
      <c r="H36" s="343" t="str">
        <f t="shared" si="16"/>
        <v/>
      </c>
      <c r="I36" s="343" t="str">
        <f t="shared" si="17"/>
        <v/>
      </c>
      <c r="K36" s="331" t="str">
        <f>IF(Umse!$C$24=0,"",IF(OR($A$1="6.1.",$A$1="6.2.",$A$1="6.3.",$A$1="6.4.",$A$1="6.5.",$A$1="6.6."),'KrBe Tab'!A8,""))</f>
        <v/>
      </c>
      <c r="L36" s="363" t="str">
        <f>IF(Umse!$C$24=0,"",IF(OR($A$1="6.1.",$A$1="6.2.",$A$1="6.3.",$A$1="6.4.",$A$1="6.5.",$A$1="6.6."),'KrBe Tab'!B8,""))</f>
        <v/>
      </c>
      <c r="M36" s="343" t="str">
        <f>IF(Umse!$C$24=0,"",IF(OR($A$1="6.1.",$A$1="6.2.",$A$1="6.3.",$A$1="6.4.",$A$1="6.5.",$A$1="6.6."),'KrBe Tab'!C8,""))</f>
        <v/>
      </c>
      <c r="N36" s="343" t="str">
        <f>IF(Umse!$C$24=0,"",IF(OR($A$1="6.1.",$A$1="6.2.",$A$1="6.3.",$A$1="6.4.",$A$1="6.5.",$A$1="6.6."),'KrBe Tab'!D8,""))</f>
        <v/>
      </c>
      <c r="O36" s="343" t="str">
        <f>IF(Umse!$C$24=0,"",IF(OR($A$1="6.1.",$A$1="6.2.",$A$1="6.3.",$A$1="6.4.",$A$1="6.5.",$A$1="6.6."),'KrBe Tab'!E8,""))</f>
        <v/>
      </c>
      <c r="P36" s="343" t="str">
        <f>IF(Umse!$C$24=0,"",IF(OR($A$1="6.1.",$A$1="6.2.",$A$1="6.3.",$A$1="6.4.",$A$1="6.5.",$A$1="6.6."),'KrBe Tab'!F8,""))</f>
        <v/>
      </c>
      <c r="Q36" s="343" t="str">
        <f>IF(Umse!$C$24=0,"",IF(OR($A$1="6.1.",$A$1="6.2.",$A$1="6.3.",$A$1="6.4.",$A$1="6.5.",$A$1="6.6."),'KrBe Tab'!G8,""))</f>
        <v/>
      </c>
      <c r="R36" s="343" t="str">
        <f>IF(Umse!$C$24=0,"",IF(OR($A$1="6.1.",$A$1="6.2.",$A$1="6.3.",$A$1="6.4.",$A$1="6.5.",$A$1="6.6."),'KrBe Tab'!H8,""))</f>
        <v/>
      </c>
    </row>
    <row r="37" spans="1:18" ht="11.25" customHeight="1">
      <c r="A37" s="328" t="str">
        <f t="shared" si="11"/>
        <v/>
      </c>
      <c r="B37" s="356" t="str">
        <f t="shared" si="12"/>
        <v/>
      </c>
      <c r="C37" s="357" t="str">
        <f t="shared" si="12"/>
        <v/>
      </c>
      <c r="D37" s="343" t="str">
        <f>IF(A37="","",ROUND(A37*0.15,2))</f>
        <v/>
      </c>
      <c r="E37" s="343" t="str">
        <f t="shared" si="13"/>
        <v/>
      </c>
      <c r="F37" s="343" t="str">
        <f t="shared" si="14"/>
        <v/>
      </c>
      <c r="G37" s="343" t="str">
        <f t="shared" si="15"/>
        <v/>
      </c>
      <c r="H37" s="343" t="str">
        <f t="shared" si="16"/>
        <v/>
      </c>
      <c r="I37" s="343" t="str">
        <f t="shared" si="17"/>
        <v/>
      </c>
      <c r="K37" s="331" t="str">
        <f>IF(Umse!$C$24=0,"",IF(OR($A$1="6.1.",$A$1="6.2.",$A$1="6.3.",$A$1="6.4.",$A$1="6.5.",$A$1="6.6."),'KrBe Tab'!A9,""))</f>
        <v/>
      </c>
      <c r="L37" s="363" t="str">
        <f>IF(Umse!$C$24=0,"",IF(OR($A$1="6.1.",$A$1="6.2.",$A$1="6.3.",$A$1="6.4.",$A$1="6.5.",$A$1="6.6."),'KrBe Tab'!B9,""))</f>
        <v/>
      </c>
      <c r="M37" s="343" t="str">
        <f>IF(Umse!$C$24=0,"",IF(OR($A$1="6.1.",$A$1="6.2.",$A$1="6.3.",$A$1="6.4.",$A$1="6.5.",$A$1="6.6."),'KrBe Tab'!C9,""))</f>
        <v/>
      </c>
      <c r="N37" s="343" t="str">
        <f>IF(Umse!$C$24=0,"",IF(OR($A$1="6.1.",$A$1="6.2.",$A$1="6.3.",$A$1="6.4.",$A$1="6.5.",$A$1="6.6."),'KrBe Tab'!D9,""))</f>
        <v/>
      </c>
      <c r="O37" s="343" t="str">
        <f>IF(Umse!$C$24=0,"",IF(OR($A$1="6.1.",$A$1="6.2.",$A$1="6.3.",$A$1="6.4.",$A$1="6.5.",$A$1="6.6."),'KrBe Tab'!E9,""))</f>
        <v/>
      </c>
      <c r="P37" s="343" t="str">
        <f>IF(Umse!$C$24=0,"",IF(OR($A$1="6.1.",$A$1="6.2.",$A$1="6.3.",$A$1="6.4.",$A$1="6.5.",$A$1="6.6."),'KrBe Tab'!F9,""))</f>
        <v/>
      </c>
      <c r="Q37" s="343" t="str">
        <f>IF(Umse!$C$24=0,"",IF(OR($A$1="6.1.",$A$1="6.2.",$A$1="6.3.",$A$1="6.4.",$A$1="6.5.",$A$1="6.6."),'KrBe Tab'!G9,""))</f>
        <v/>
      </c>
      <c r="R37" s="343" t="str">
        <f>IF(Umse!$C$24=0,"",IF(OR($A$1="6.1.",$A$1="6.2.",$A$1="6.3.",$A$1="6.4.",$A$1="6.5.",$A$1="6.6."),'KrBe Tab'!H9,""))</f>
        <v/>
      </c>
    </row>
    <row r="38" spans="1:18" ht="11.25" customHeight="1">
      <c r="A38" s="328" t="str">
        <f t="shared" si="11"/>
        <v/>
      </c>
      <c r="B38" s="356" t="str">
        <f t="shared" si="12"/>
        <v/>
      </c>
      <c r="C38" s="357" t="str">
        <f t="shared" si="12"/>
        <v/>
      </c>
      <c r="D38" s="343" t="str">
        <f>IF(A38="","",ROUND(A38*0.15,2))</f>
        <v/>
      </c>
      <c r="E38" s="343" t="str">
        <f t="shared" si="13"/>
        <v/>
      </c>
      <c r="F38" s="343" t="str">
        <f t="shared" si="14"/>
        <v/>
      </c>
      <c r="G38" s="343" t="str">
        <f t="shared" si="15"/>
        <v/>
      </c>
      <c r="H38" s="343" t="str">
        <f t="shared" si="16"/>
        <v/>
      </c>
      <c r="I38" s="343" t="str">
        <f t="shared" si="17"/>
        <v/>
      </c>
      <c r="K38" s="331" t="str">
        <f>IF(Umse!$C$24=0,"",IF(OR($A$1="6.1.",$A$1="6.2.",$A$1="6.3.",$A$1="6.4.",$A$1="6.5.",$A$1="6.6."),'KrBe Tab'!A10,""))</f>
        <v/>
      </c>
      <c r="L38" s="363" t="str">
        <f>IF(Umse!$C$24=0,"",IF(OR($A$1="6.1.",$A$1="6.2.",$A$1="6.3.",$A$1="6.4.",$A$1="6.5.",$A$1="6.6."),'KrBe Tab'!B10,""))</f>
        <v/>
      </c>
      <c r="M38" s="343" t="str">
        <f>IF(Umse!$C$24=0,"",IF(OR($A$1="6.1.",$A$1="6.2.",$A$1="6.3.",$A$1="6.4.",$A$1="6.5.",$A$1="6.6."),'KrBe Tab'!C10,""))</f>
        <v/>
      </c>
      <c r="N38" s="343" t="str">
        <f>IF(Umse!$C$24=0,"",IF(OR($A$1="6.1.",$A$1="6.2.",$A$1="6.3.",$A$1="6.4.",$A$1="6.5.",$A$1="6.6."),'KrBe Tab'!D10,""))</f>
        <v/>
      </c>
      <c r="O38" s="343" t="str">
        <f>IF(Umse!$C$24=0,"",IF(OR($A$1="6.1.",$A$1="6.2.",$A$1="6.3.",$A$1="6.4.",$A$1="6.5.",$A$1="6.6."),'KrBe Tab'!E10,""))</f>
        <v/>
      </c>
      <c r="P38" s="343" t="str">
        <f>IF(Umse!$C$24=0,"",IF(OR($A$1="6.1.",$A$1="6.2.",$A$1="6.3.",$A$1="6.4.",$A$1="6.5.",$A$1="6.6."),'KrBe Tab'!F10,""))</f>
        <v/>
      </c>
      <c r="Q38" s="343" t="str">
        <f>IF(Umse!$C$24=0,"",IF(OR($A$1="6.1.",$A$1="6.2.",$A$1="6.3.",$A$1="6.4.",$A$1="6.5.",$A$1="6.6."),'KrBe Tab'!G10,""))</f>
        <v/>
      </c>
      <c r="R38" s="343" t="str">
        <f>IF(Umse!$C$24=0,"",IF(OR($A$1="6.1.",$A$1="6.2.",$A$1="6.3.",$A$1="6.4.",$A$1="6.5.",$A$1="6.6."),'KrBe Tab'!H10,""))</f>
        <v/>
      </c>
    </row>
    <row r="39" spans="1:18" ht="11.25" customHeight="1">
      <c r="A39" s="328" t="str">
        <f t="shared" si="11"/>
        <v/>
      </c>
      <c r="B39" s="356" t="str">
        <f t="shared" si="12"/>
        <v/>
      </c>
      <c r="C39" s="357" t="str">
        <f t="shared" si="12"/>
        <v/>
      </c>
      <c r="D39" s="343" t="str">
        <f>IF(A39="","",ROUND(A39*0.3,2))</f>
        <v/>
      </c>
      <c r="E39" s="343" t="str">
        <f t="shared" si="13"/>
        <v/>
      </c>
      <c r="F39" s="343" t="str">
        <f t="shared" si="14"/>
        <v/>
      </c>
      <c r="G39" s="343" t="str">
        <f t="shared" si="15"/>
        <v/>
      </c>
      <c r="H39" s="343" t="str">
        <f t="shared" si="16"/>
        <v/>
      </c>
      <c r="I39" s="343" t="str">
        <f t="shared" si="17"/>
        <v/>
      </c>
      <c r="K39" s="331" t="str">
        <f>IF(Umse!$C$24=0,"",IF(OR($A$1="6.1.",$A$1="6.2.",$A$1="6.3.",$A$1="6.4.",$A$1="6.5.",$A$1="6.6."),'KrBe Tab'!A11,""))</f>
        <v/>
      </c>
      <c r="L39" s="363" t="str">
        <f>IF(Umse!$C$24=0,"",IF(OR($A$1="6.1.",$A$1="6.2.",$A$1="6.3.",$A$1="6.4.",$A$1="6.5.",$A$1="6.6."),'KrBe Tab'!B11,""))</f>
        <v/>
      </c>
      <c r="M39" s="343" t="str">
        <f>IF(Umse!$C$24=0,"",IF(OR($A$1="6.1.",$A$1="6.2.",$A$1="6.3.",$A$1="6.4.",$A$1="6.5.",$A$1="6.6."),'KrBe Tab'!C11,""))</f>
        <v/>
      </c>
      <c r="N39" s="343" t="str">
        <f>IF(Umse!$C$24=0,"",IF(OR($A$1="6.1.",$A$1="6.2.",$A$1="6.3.",$A$1="6.4.",$A$1="6.5.",$A$1="6.6."),'KrBe Tab'!D11,""))</f>
        <v/>
      </c>
      <c r="O39" s="343" t="str">
        <f>IF(Umse!$C$24=0,"",IF(OR($A$1="6.1.",$A$1="6.2.",$A$1="6.3.",$A$1="6.4.",$A$1="6.5.",$A$1="6.6."),'KrBe Tab'!E11,""))</f>
        <v/>
      </c>
      <c r="P39" s="343" t="str">
        <f>IF(Umse!$C$24=0,"",IF(OR($A$1="6.1.",$A$1="6.2.",$A$1="6.3.",$A$1="6.4.",$A$1="6.5.",$A$1="6.6."),'KrBe Tab'!F11,""))</f>
        <v/>
      </c>
      <c r="Q39" s="343" t="str">
        <f>IF(Umse!$C$24=0,"",IF(OR($A$1="6.1.",$A$1="6.2.",$A$1="6.3.",$A$1="6.4.",$A$1="6.5.",$A$1="6.6."),'KrBe Tab'!G11,""))</f>
        <v/>
      </c>
      <c r="R39" s="343" t="str">
        <f>IF(Umse!$C$24=0,"",IF(OR($A$1="6.1.",$A$1="6.2.",$A$1="6.3.",$A$1="6.4.",$A$1="6.5.",$A$1="6.6."),'KrBe Tab'!H11,""))</f>
        <v/>
      </c>
    </row>
    <row r="40" spans="1:18" ht="11.25" customHeight="1">
      <c r="A40" s="328" t="str">
        <f t="shared" si="11"/>
        <v/>
      </c>
      <c r="B40" s="356" t="str">
        <f t="shared" si="12"/>
        <v/>
      </c>
      <c r="C40" s="357" t="str">
        <f t="shared" si="12"/>
        <v/>
      </c>
      <c r="D40" s="343" t="str">
        <f t="shared" ref="D40:D45" si="18">IF(A40="","",ROUND(A40*0.3,2))</f>
        <v/>
      </c>
      <c r="E40" s="343" t="str">
        <f t="shared" si="13"/>
        <v/>
      </c>
      <c r="F40" s="343" t="str">
        <f t="shared" si="14"/>
        <v/>
      </c>
      <c r="G40" s="343" t="str">
        <f t="shared" si="15"/>
        <v/>
      </c>
      <c r="H40" s="343" t="str">
        <f t="shared" si="16"/>
        <v/>
      </c>
      <c r="I40" s="343" t="str">
        <f t="shared" si="17"/>
        <v/>
      </c>
      <c r="K40" s="331" t="str">
        <f>IF(Umse!$C$24=0,"",IF(OR($A$1="6.1.",$A$1="6.2.",$A$1="6.3.",$A$1="6.4.",$A$1="6.5.",$A$1="6.6."),'KrBe Tab'!A12,""))</f>
        <v/>
      </c>
      <c r="L40" s="363" t="str">
        <f>IF(Umse!$C$24=0,"",IF(OR($A$1="6.1.",$A$1="6.2.",$A$1="6.3.",$A$1="6.4.",$A$1="6.5.",$A$1="6.6."),'KrBe Tab'!B12,""))</f>
        <v/>
      </c>
      <c r="M40" s="343" t="str">
        <f>IF(Umse!$C$24=0,"",IF(OR($A$1="6.1.",$A$1="6.2.",$A$1="6.3.",$A$1="6.4.",$A$1="6.5.",$A$1="6.6."),'KrBe Tab'!C12,""))</f>
        <v/>
      </c>
      <c r="N40" s="343" t="str">
        <f>IF(Umse!$C$24=0,"",IF(OR($A$1="6.1.",$A$1="6.2.",$A$1="6.3.",$A$1="6.4.",$A$1="6.5.",$A$1="6.6."),'KrBe Tab'!D12,""))</f>
        <v/>
      </c>
      <c r="O40" s="343" t="str">
        <f>IF(Umse!$C$24=0,"",IF(OR($A$1="6.1.",$A$1="6.2.",$A$1="6.3.",$A$1="6.4.",$A$1="6.5.",$A$1="6.6."),'KrBe Tab'!E12,""))</f>
        <v/>
      </c>
      <c r="P40" s="343" t="str">
        <f>IF(Umse!$C$24=0,"",IF(OR($A$1="6.1.",$A$1="6.2.",$A$1="6.3.",$A$1="6.4.",$A$1="6.5.",$A$1="6.6."),'KrBe Tab'!F12,""))</f>
        <v/>
      </c>
      <c r="Q40" s="343" t="str">
        <f>IF(Umse!$C$24=0,"",IF(OR($A$1="6.1.",$A$1="6.2.",$A$1="6.3.",$A$1="6.4.",$A$1="6.5.",$A$1="6.6."),'KrBe Tab'!G12,""))</f>
        <v/>
      </c>
      <c r="R40" s="343" t="str">
        <f>IF(Umse!$C$24=0,"",IF(OR($A$1="6.1.",$A$1="6.2.",$A$1="6.3.",$A$1="6.4.",$A$1="6.5.",$A$1="6.6."),'KrBe Tab'!H12,""))</f>
        <v/>
      </c>
    </row>
    <row r="41" spans="1:18" ht="11.25" customHeight="1">
      <c r="A41" s="328" t="str">
        <f t="shared" si="11"/>
        <v/>
      </c>
      <c r="B41" s="356" t="str">
        <f t="shared" si="12"/>
        <v/>
      </c>
      <c r="C41" s="357" t="str">
        <f t="shared" si="12"/>
        <v/>
      </c>
      <c r="D41" s="343" t="str">
        <f t="shared" si="18"/>
        <v/>
      </c>
      <c r="E41" s="343" t="str">
        <f t="shared" si="13"/>
        <v/>
      </c>
      <c r="F41" s="343" t="str">
        <f t="shared" si="14"/>
        <v/>
      </c>
      <c r="G41" s="343" t="str">
        <f t="shared" si="15"/>
        <v/>
      </c>
      <c r="H41" s="343" t="str">
        <f t="shared" si="16"/>
        <v/>
      </c>
      <c r="I41" s="343" t="str">
        <f t="shared" si="17"/>
        <v/>
      </c>
      <c r="K41" s="331" t="str">
        <f>IF(Umse!$C$24=0,"",IF(OR($A$1="6.1.",$A$1="6.2.",$A$1="6.3.",$A$1="6.4.",$A$1="6.5.",$A$1="6.6."),'KrBe Tab'!A13,""))</f>
        <v/>
      </c>
      <c r="L41" s="363" t="str">
        <f>IF(Umse!$C$24=0,"",IF(OR($A$1="6.1.",$A$1="6.2.",$A$1="6.3.",$A$1="6.4.",$A$1="6.5.",$A$1="6.6."),'KrBe Tab'!B13,""))</f>
        <v/>
      </c>
      <c r="M41" s="343" t="str">
        <f>IF(Umse!$C$24=0,"",IF(OR($A$1="6.1.",$A$1="6.2.",$A$1="6.3.",$A$1="6.4.",$A$1="6.5.",$A$1="6.6."),'KrBe Tab'!C13,""))</f>
        <v/>
      </c>
      <c r="N41" s="343" t="str">
        <f>IF(Umse!$C$24=0,"",IF(OR($A$1="6.1.",$A$1="6.2.",$A$1="6.3.",$A$1="6.4.",$A$1="6.5.",$A$1="6.6."),'KrBe Tab'!D13,""))</f>
        <v/>
      </c>
      <c r="O41" s="343" t="str">
        <f>IF(Umse!$C$24=0,"",IF(OR($A$1="6.1.",$A$1="6.2.",$A$1="6.3.",$A$1="6.4.",$A$1="6.5.",$A$1="6.6."),'KrBe Tab'!E13,""))</f>
        <v/>
      </c>
      <c r="P41" s="343" t="str">
        <f>IF(Umse!$C$24=0,"",IF(OR($A$1="6.1.",$A$1="6.2.",$A$1="6.3.",$A$1="6.4.",$A$1="6.5.",$A$1="6.6."),'KrBe Tab'!F13,""))</f>
        <v/>
      </c>
      <c r="Q41" s="343" t="str">
        <f>IF(Umse!$C$24=0,"",IF(OR($A$1="6.1.",$A$1="6.2.",$A$1="6.3.",$A$1="6.4.",$A$1="6.5.",$A$1="6.6."),'KrBe Tab'!G13,""))</f>
        <v/>
      </c>
      <c r="R41" s="343" t="str">
        <f>IF(Umse!$C$24=0,"",IF(OR($A$1="6.1.",$A$1="6.2.",$A$1="6.3.",$A$1="6.4.",$A$1="6.5.",$A$1="6.6."),'KrBe Tab'!H13,""))</f>
        <v/>
      </c>
    </row>
    <row r="42" spans="1:18" ht="11.25" customHeight="1">
      <c r="A42" s="328" t="str">
        <f t="shared" si="11"/>
        <v/>
      </c>
      <c r="B42" s="356" t="str">
        <f t="shared" si="12"/>
        <v/>
      </c>
      <c r="C42" s="357" t="str">
        <f t="shared" si="12"/>
        <v/>
      </c>
      <c r="D42" s="343" t="str">
        <f t="shared" si="18"/>
        <v/>
      </c>
      <c r="E42" s="343" t="str">
        <f t="shared" si="13"/>
        <v/>
      </c>
      <c r="F42" s="343" t="str">
        <f t="shared" si="14"/>
        <v/>
      </c>
      <c r="G42" s="343" t="str">
        <f t="shared" si="15"/>
        <v/>
      </c>
      <c r="H42" s="343" t="str">
        <f t="shared" si="16"/>
        <v/>
      </c>
      <c r="I42" s="343" t="str">
        <f t="shared" si="17"/>
        <v/>
      </c>
      <c r="K42" s="331" t="str">
        <f>IF(Umse!$C$24=0,"",IF(OR($A$1="6.1.",$A$1="6.2.",$A$1="6.3.",$A$1="6.4.",$A$1="6.5.",$A$1="6.6."),'KrBe Tab'!A14,""))</f>
        <v/>
      </c>
      <c r="L42" s="363" t="str">
        <f>IF(Umse!$C$24=0,"",IF(OR($A$1="6.1.",$A$1="6.2.",$A$1="6.3.",$A$1="6.4.",$A$1="6.5.",$A$1="6.6."),'KrBe Tab'!B14,""))</f>
        <v/>
      </c>
      <c r="M42" s="343" t="str">
        <f>IF(Umse!$C$24=0,"",IF(OR($A$1="6.1.",$A$1="6.2.",$A$1="6.3.",$A$1="6.4.",$A$1="6.5.",$A$1="6.6."),'KrBe Tab'!C14,""))</f>
        <v/>
      </c>
      <c r="N42" s="343" t="str">
        <f>IF(Umse!$C$24=0,"",IF(OR($A$1="6.1.",$A$1="6.2.",$A$1="6.3.",$A$1="6.4.",$A$1="6.5.",$A$1="6.6."),'KrBe Tab'!D14,""))</f>
        <v/>
      </c>
      <c r="O42" s="343" t="str">
        <f>IF(Umse!$C$24=0,"",IF(OR($A$1="6.1.",$A$1="6.2.",$A$1="6.3.",$A$1="6.4.",$A$1="6.5.",$A$1="6.6."),'KrBe Tab'!E14,""))</f>
        <v/>
      </c>
      <c r="P42" s="343" t="str">
        <f>IF(Umse!$C$24=0,"",IF(OR($A$1="6.1.",$A$1="6.2.",$A$1="6.3.",$A$1="6.4.",$A$1="6.5.",$A$1="6.6."),'KrBe Tab'!F14,""))</f>
        <v/>
      </c>
      <c r="Q42" s="343" t="str">
        <f>IF(Umse!$C$24=0,"",IF(OR($A$1="6.1.",$A$1="6.2.",$A$1="6.3.",$A$1="6.4.",$A$1="6.5.",$A$1="6.6."),'KrBe Tab'!G14,""))</f>
        <v/>
      </c>
      <c r="R42" s="343" t="str">
        <f>IF(Umse!$C$24=0,"",IF(OR($A$1="6.1.",$A$1="6.2.",$A$1="6.3.",$A$1="6.4.",$A$1="6.5.",$A$1="6.6."),'KrBe Tab'!H14,""))</f>
        <v/>
      </c>
    </row>
    <row r="43" spans="1:18" ht="11.25" customHeight="1">
      <c r="A43" s="328" t="str">
        <f t="shared" si="11"/>
        <v/>
      </c>
      <c r="B43" s="356" t="str">
        <f t="shared" si="12"/>
        <v/>
      </c>
      <c r="C43" s="357" t="str">
        <f t="shared" si="12"/>
        <v/>
      </c>
      <c r="D43" s="343" t="str">
        <f t="shared" si="18"/>
        <v/>
      </c>
      <c r="E43" s="343" t="str">
        <f t="shared" si="13"/>
        <v/>
      </c>
      <c r="F43" s="343" t="str">
        <f t="shared" si="14"/>
        <v/>
      </c>
      <c r="G43" s="343" t="str">
        <f t="shared" si="15"/>
        <v/>
      </c>
      <c r="H43" s="343" t="str">
        <f t="shared" si="16"/>
        <v/>
      </c>
      <c r="I43" s="343" t="str">
        <f t="shared" si="17"/>
        <v/>
      </c>
      <c r="K43" s="331" t="str">
        <f>IF(Umse!$C$24=0,"",IF(OR($A$1="6.1.",$A$1="6.2.",$A$1="6.3.",$A$1="6.4.",$A$1="6.5.",$A$1="6.6."),'KrBe Tab'!A15,""))</f>
        <v/>
      </c>
      <c r="L43" s="363" t="str">
        <f>IF(Umse!$C$24=0,"",IF(OR($A$1="6.1.",$A$1="6.2.",$A$1="6.3.",$A$1="6.4.",$A$1="6.5.",$A$1="6.6."),'KrBe Tab'!B15,""))</f>
        <v/>
      </c>
      <c r="M43" s="343" t="str">
        <f>IF(Umse!$C$24=0,"",IF(OR($A$1="6.1.",$A$1="6.2.",$A$1="6.3.",$A$1="6.4.",$A$1="6.5.",$A$1="6.6."),'KrBe Tab'!C15,""))</f>
        <v/>
      </c>
      <c r="N43" s="343" t="str">
        <f>IF(Umse!$C$24=0,"",IF(OR($A$1="6.1.",$A$1="6.2.",$A$1="6.3.",$A$1="6.4.",$A$1="6.5.",$A$1="6.6."),'KrBe Tab'!D15,""))</f>
        <v/>
      </c>
      <c r="O43" s="343" t="str">
        <f>IF(Umse!$C$24=0,"",IF(OR($A$1="6.1.",$A$1="6.2.",$A$1="6.3.",$A$1="6.4.",$A$1="6.5.",$A$1="6.6."),'KrBe Tab'!E15,""))</f>
        <v/>
      </c>
      <c r="P43" s="343" t="str">
        <f>IF(Umse!$C$24=0,"",IF(OR($A$1="6.1.",$A$1="6.2.",$A$1="6.3.",$A$1="6.4.",$A$1="6.5.",$A$1="6.6."),'KrBe Tab'!F15,""))</f>
        <v/>
      </c>
      <c r="Q43" s="343" t="str">
        <f>IF(Umse!$C$24=0,"",IF(OR($A$1="6.1.",$A$1="6.2.",$A$1="6.3.",$A$1="6.4.",$A$1="6.5.",$A$1="6.6."),'KrBe Tab'!G15,""))</f>
        <v/>
      </c>
      <c r="R43" s="343" t="str">
        <f>IF(Umse!$C$24=0,"",IF(OR($A$1="6.1.",$A$1="6.2.",$A$1="6.3.",$A$1="6.4.",$A$1="6.5.",$A$1="6.6."),'KrBe Tab'!H15,""))</f>
        <v/>
      </c>
    </row>
    <row r="44" spans="1:18" ht="11.25" customHeight="1">
      <c r="A44" s="328" t="str">
        <f t="shared" si="11"/>
        <v/>
      </c>
      <c r="B44" s="356" t="str">
        <f t="shared" si="12"/>
        <v/>
      </c>
      <c r="C44" s="357" t="str">
        <f t="shared" si="12"/>
        <v/>
      </c>
      <c r="D44" s="343" t="str">
        <f t="shared" si="18"/>
        <v/>
      </c>
      <c r="E44" s="343" t="str">
        <f t="shared" si="13"/>
        <v/>
      </c>
      <c r="F44" s="343" t="str">
        <f t="shared" si="14"/>
        <v/>
      </c>
      <c r="G44" s="343" t="str">
        <f t="shared" si="15"/>
        <v/>
      </c>
      <c r="H44" s="343" t="str">
        <f t="shared" si="16"/>
        <v/>
      </c>
      <c r="I44" s="343" t="str">
        <f t="shared" si="17"/>
        <v/>
      </c>
      <c r="K44" s="331" t="str">
        <f>IF(Umse!$C$24=0,"",IF(OR($A$1="6.1.",$A$1="6.2.",$A$1="6.3.",$A$1="6.4.",$A$1="6.5.",$A$1="6.6."),'KrBe Tab'!A16,""))</f>
        <v/>
      </c>
      <c r="L44" s="363" t="str">
        <f>IF(Umse!$C$24=0,"",IF(OR($A$1="6.1.",$A$1="6.2.",$A$1="6.3.",$A$1="6.4.",$A$1="6.5.",$A$1="6.6."),'KrBe Tab'!B16,""))</f>
        <v/>
      </c>
      <c r="M44" s="343" t="str">
        <f>IF(Umse!$C$24=0,"",IF(OR($A$1="6.1.",$A$1="6.2.",$A$1="6.3.",$A$1="6.4.",$A$1="6.5.",$A$1="6.6."),'KrBe Tab'!C16,""))</f>
        <v/>
      </c>
      <c r="N44" s="343" t="str">
        <f>IF(Umse!$C$24=0,"",IF(OR($A$1="6.1.",$A$1="6.2.",$A$1="6.3.",$A$1="6.4.",$A$1="6.5.",$A$1="6.6."),'KrBe Tab'!D16,""))</f>
        <v/>
      </c>
      <c r="O44" s="343" t="str">
        <f>IF(Umse!$C$24=0,"",IF(OR($A$1="6.1.",$A$1="6.2.",$A$1="6.3.",$A$1="6.4.",$A$1="6.5.",$A$1="6.6."),'KrBe Tab'!E16,""))</f>
        <v/>
      </c>
      <c r="P44" s="343" t="str">
        <f>IF(Umse!$C$24=0,"",IF(OR($A$1="6.1.",$A$1="6.2.",$A$1="6.3.",$A$1="6.4.",$A$1="6.5.",$A$1="6.6."),'KrBe Tab'!F16,""))</f>
        <v/>
      </c>
      <c r="Q44" s="343" t="str">
        <f>IF(Umse!$C$24=0,"",IF(OR($A$1="6.1.",$A$1="6.2.",$A$1="6.3.",$A$1="6.4.",$A$1="6.5.",$A$1="6.6."),'KrBe Tab'!G16,""))</f>
        <v/>
      </c>
      <c r="R44" s="343" t="str">
        <f>IF(Umse!$C$24=0,"",IF(OR($A$1="6.1.",$A$1="6.2.",$A$1="6.3.",$A$1="6.4.",$A$1="6.5.",$A$1="6.6."),'KrBe Tab'!H16,""))</f>
        <v/>
      </c>
    </row>
    <row r="45" spans="1:18" ht="11.25" customHeight="1">
      <c r="A45" s="328" t="str">
        <f t="shared" si="11"/>
        <v/>
      </c>
      <c r="B45" s="356" t="str">
        <f t="shared" si="12"/>
        <v/>
      </c>
      <c r="C45" s="357" t="str">
        <f t="shared" si="12"/>
        <v/>
      </c>
      <c r="D45" s="343" t="str">
        <f t="shared" si="18"/>
        <v/>
      </c>
      <c r="E45" s="343" t="str">
        <f t="shared" si="13"/>
        <v/>
      </c>
      <c r="F45" s="343" t="str">
        <f t="shared" si="14"/>
        <v/>
      </c>
      <c r="G45" s="343" t="str">
        <f t="shared" si="15"/>
        <v/>
      </c>
      <c r="H45" s="343" t="str">
        <f t="shared" si="16"/>
        <v/>
      </c>
      <c r="I45" s="343" t="str">
        <f t="shared" si="17"/>
        <v/>
      </c>
      <c r="K45" s="331" t="str">
        <f>IF(Umse!$C$24=0,"",IF(OR($A$1="6.1.",$A$1="6.2.",$A$1="6.3.",$A$1="6.4.",$A$1="6.5.",$A$1="6.6."),'KrBe Tab'!A17,""))</f>
        <v/>
      </c>
      <c r="L45" s="363" t="str">
        <f>IF(Umse!$C$24=0,"",IF(OR($A$1="6.1.",$A$1="6.2.",$A$1="6.3.",$A$1="6.4.",$A$1="6.5.",$A$1="6.6."),'KrBe Tab'!B17,""))</f>
        <v/>
      </c>
      <c r="M45" s="343" t="str">
        <f>IF(Umse!$C$24=0,"",IF(OR($A$1="6.1.",$A$1="6.2.",$A$1="6.3.",$A$1="6.4.",$A$1="6.5.",$A$1="6.6."),'KrBe Tab'!C17,""))</f>
        <v/>
      </c>
      <c r="N45" s="343" t="str">
        <f>IF(Umse!$C$24=0,"",IF(OR($A$1="6.1.",$A$1="6.2.",$A$1="6.3.",$A$1="6.4.",$A$1="6.5.",$A$1="6.6."),'KrBe Tab'!D17,""))</f>
        <v/>
      </c>
      <c r="O45" s="343" t="str">
        <f>IF(Umse!$C$24=0,"",IF(OR($A$1="6.1.",$A$1="6.2.",$A$1="6.3.",$A$1="6.4.",$A$1="6.5.",$A$1="6.6."),'KrBe Tab'!E17,""))</f>
        <v/>
      </c>
      <c r="P45" s="343" t="str">
        <f>IF(Umse!$C$24=0,"",IF(OR($A$1="6.1.",$A$1="6.2.",$A$1="6.3.",$A$1="6.4.",$A$1="6.5.",$A$1="6.6."),'KrBe Tab'!F17,""))</f>
        <v/>
      </c>
      <c r="Q45" s="343" t="str">
        <f>IF(Umse!$C$24=0,"",IF(OR($A$1="6.1.",$A$1="6.2.",$A$1="6.3.",$A$1="6.4.",$A$1="6.5.",$A$1="6.6."),'KrBe Tab'!G17,""))</f>
        <v/>
      </c>
      <c r="R45" s="343" t="str">
        <f>IF(Umse!$C$24=0,"",IF(OR($A$1="6.1.",$A$1="6.2.",$A$1="6.3.",$A$1="6.4.",$A$1="6.5.",$A$1="6.6."),'KrBe Tab'!H17,""))</f>
        <v/>
      </c>
    </row>
    <row r="46" spans="1:18" ht="11.25" customHeight="1">
      <c r="A46" s="328" t="str">
        <f t="shared" si="11"/>
        <v/>
      </c>
      <c r="B46" s="356" t="str">
        <f t="shared" si="12"/>
        <v/>
      </c>
      <c r="C46" s="357" t="str">
        <f t="shared" si="12"/>
        <v/>
      </c>
      <c r="D46" s="343" t="str">
        <f>IF(A46="","",ROUND(A46*0.3,2))</f>
        <v/>
      </c>
      <c r="E46" s="343" t="str">
        <f>IF(A46="","",ROUND(A46*$E$33,2))</f>
        <v/>
      </c>
      <c r="F46" s="343" t="str">
        <f>IF(A46="","",ROUND(A46*$F$33,2))</f>
        <v/>
      </c>
      <c r="G46" s="343" t="str">
        <f>IF(A46="","",ROUND(A46*$G$33,2))</f>
        <v/>
      </c>
      <c r="H46" s="343" t="str">
        <f>IF(A46="","",ROUND(A46*$H$33,2))</f>
        <v/>
      </c>
      <c r="I46" s="343" t="str">
        <f>IF(A46="","",ROUND(A46*$I$33,2))</f>
        <v/>
      </c>
      <c r="K46" s="331" t="str">
        <f>IF(Umse!$C$24=0,"",IF(OR($A$1="6.1.",$A$1="6.2.",$A$1="6.3.",$A$1="6.4.",$A$1="6.5.",$A$1="6.6."),'KrBe Tab'!A18,""))</f>
        <v/>
      </c>
      <c r="L46" s="363" t="str">
        <f>IF(Umse!$C$24=0,"",IF(OR($A$1="6.1.",$A$1="6.2.",$A$1="6.3.",$A$1="6.4.",$A$1="6.5.",$A$1="6.6."),'KrBe Tab'!B18,""))</f>
        <v/>
      </c>
      <c r="M46" s="343" t="str">
        <f>IF(Umse!$C$24=0,"",IF(OR($A$1="6.1.",$A$1="6.2.",$A$1="6.3.",$A$1="6.4.",$A$1="6.5.",$A$1="6.6."),'KrBe Tab'!C18,""))</f>
        <v/>
      </c>
      <c r="N46" s="343" t="str">
        <f>IF(Umse!$C$24=0,"",IF(OR($A$1="6.1.",$A$1="6.2.",$A$1="6.3.",$A$1="6.4.",$A$1="6.5.",$A$1="6.6."),'KrBe Tab'!D18,""))</f>
        <v/>
      </c>
      <c r="O46" s="343" t="str">
        <f>IF(Umse!$C$24=0,"",IF(OR($A$1="6.1.",$A$1="6.2.",$A$1="6.3.",$A$1="6.4.",$A$1="6.5.",$A$1="6.6."),'KrBe Tab'!E18,""))</f>
        <v/>
      </c>
      <c r="P46" s="343" t="str">
        <f>IF(Umse!$C$24=0,"",IF(OR($A$1="6.1.",$A$1="6.2.",$A$1="6.3.",$A$1="6.4.",$A$1="6.5.",$A$1="6.6."),'KrBe Tab'!F18,""))</f>
        <v/>
      </c>
      <c r="Q46" s="343" t="str">
        <f>IF(Umse!$C$24=0,"",IF(OR($A$1="6.1.",$A$1="6.2.",$A$1="6.3.",$A$1="6.4.",$A$1="6.5.",$A$1="6.6."),'KrBe Tab'!G18,""))</f>
        <v/>
      </c>
      <c r="R46" s="343" t="str">
        <f>IF(Umse!$C$24=0,"",IF(OR($A$1="6.1.",$A$1="6.2.",$A$1="6.3.",$A$1="6.4.",$A$1="6.5.",$A$1="6.6."),'KrBe Tab'!H18,""))</f>
        <v/>
      </c>
    </row>
    <row r="47" spans="1:18" ht="11.25" customHeight="1">
      <c r="B47" s="356"/>
      <c r="C47" s="356"/>
      <c r="D47" s="343"/>
      <c r="E47" s="343"/>
      <c r="F47" s="343"/>
      <c r="G47" s="343"/>
      <c r="H47" s="343"/>
      <c r="I47" s="343"/>
      <c r="K47" s="331" t="str">
        <f>IF(Umse!$C$24=0,"",IF(OR($A$1="6.1.",$A$1="6.2.",$A$1="6.3.",$A$1="6.4.",$A$1="6.5.",$A$1="6.6."),'KrBe Tab'!A19,""))</f>
        <v/>
      </c>
      <c r="L47" s="363" t="str">
        <f>IF(Umse!$C$24=0,"",IF(OR($A$1="6.1.",$A$1="6.2.",$A$1="6.3.",$A$1="6.4.",$A$1="6.5.",$A$1="6.6."),'KrBe Tab'!B19,""))</f>
        <v/>
      </c>
      <c r="M47" s="343" t="str">
        <f>IF(Umse!$C$24=0,"",IF(OR($A$1="6.1.",$A$1="6.2.",$A$1="6.3.",$A$1="6.4.",$A$1="6.5.",$A$1="6.6."),'KrBe Tab'!C19,""))</f>
        <v/>
      </c>
      <c r="N47" s="343" t="str">
        <f>IF(Umse!$C$24=0,"",IF(OR($A$1="6.1.",$A$1="6.2.",$A$1="6.3.",$A$1="6.4.",$A$1="6.5.",$A$1="6.6."),'KrBe Tab'!D19,""))</f>
        <v/>
      </c>
      <c r="O47" s="343" t="str">
        <f>IF(Umse!$C$24=0,"",IF(OR($A$1="6.1.",$A$1="6.2.",$A$1="6.3.",$A$1="6.4.",$A$1="6.5.",$A$1="6.6."),'KrBe Tab'!E19,""))</f>
        <v/>
      </c>
      <c r="P47" s="343" t="str">
        <f>IF(Umse!$C$24=0,"",IF(OR($A$1="6.1.",$A$1="6.2.",$A$1="6.3.",$A$1="6.4.",$A$1="6.5.",$A$1="6.6."),'KrBe Tab'!F19,""))</f>
        <v/>
      </c>
      <c r="Q47" s="343" t="str">
        <f>IF(Umse!$C$24=0,"",IF(OR($A$1="6.1.",$A$1="6.2.",$A$1="6.3.",$A$1="6.4.",$A$1="6.5.",$A$1="6.6."),'KrBe Tab'!G19,""))</f>
        <v/>
      </c>
      <c r="R47" s="343" t="str">
        <f>IF(Umse!$C$24=0,"",IF(OR($A$1="6.1.",$A$1="6.2.",$A$1="6.3.",$A$1="6.4.",$A$1="6.5.",$A$1="6.6."),'KrBe Tab'!H19,""))</f>
        <v/>
      </c>
    </row>
    <row r="48" spans="1:18">
      <c r="B48" s="332"/>
      <c r="C48" s="332"/>
      <c r="D48" s="343"/>
      <c r="E48" s="343"/>
      <c r="F48" s="343"/>
      <c r="G48" s="343"/>
      <c r="H48" s="343"/>
      <c r="I48" s="343"/>
      <c r="K48" s="356"/>
      <c r="L48" s="356"/>
      <c r="M48" s="360"/>
      <c r="N48" s="343"/>
      <c r="O48" s="343"/>
      <c r="P48" s="343"/>
      <c r="Q48" s="343"/>
      <c r="R48" s="343"/>
    </row>
    <row r="49" spans="2:18">
      <c r="B49" s="332"/>
      <c r="C49" s="332"/>
      <c r="D49" s="343"/>
      <c r="E49" s="343"/>
      <c r="F49" s="343"/>
      <c r="G49" s="343"/>
      <c r="H49" s="343"/>
      <c r="I49" s="343"/>
      <c r="K49" s="356"/>
      <c r="L49" s="356"/>
      <c r="M49" s="360"/>
      <c r="N49" s="343"/>
      <c r="O49" s="343"/>
      <c r="P49" s="343"/>
      <c r="Q49" s="343"/>
      <c r="R49" s="343"/>
    </row>
    <row r="50" spans="2:18">
      <c r="B50" s="332"/>
      <c r="C50" s="332"/>
      <c r="D50" s="343"/>
      <c r="E50" s="343"/>
      <c r="F50" s="343"/>
      <c r="G50" s="343"/>
      <c r="H50" s="343"/>
      <c r="I50" s="343"/>
      <c r="K50" s="356"/>
      <c r="L50" s="356"/>
      <c r="M50" s="360"/>
      <c r="N50" s="343"/>
      <c r="O50" s="343"/>
      <c r="P50" s="343"/>
      <c r="Q50" s="343"/>
      <c r="R50" s="343"/>
    </row>
    <row r="51" spans="2:18">
      <c r="K51" s="356"/>
      <c r="L51" s="356"/>
      <c r="N51" s="343"/>
      <c r="O51" s="343"/>
      <c r="P51" s="343"/>
      <c r="Q51" s="343"/>
      <c r="R51" s="343"/>
    </row>
    <row r="53" spans="2:18">
      <c r="B53" s="364"/>
      <c r="C53" s="364"/>
    </row>
  </sheetData>
  <mergeCells count="7">
    <mergeCell ref="I23:I32"/>
    <mergeCell ref="G23:G32"/>
    <mergeCell ref="B23:C32"/>
    <mergeCell ref="H23:H32"/>
    <mergeCell ref="D23:D32"/>
    <mergeCell ref="E23:E32"/>
    <mergeCell ref="F23:F32"/>
  </mergeCells>
  <printOptions horizontalCentered="1" verticalCentered="1"/>
  <pageMargins left="0.19685039370078741" right="0.19685039370078741" top="0.19685039370078741" bottom="0.19685039370078741" header="0.51181102362204722" footer="0.51181102362204722"/>
  <pageSetup paperSize="9" scale="8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C00000"/>
  </sheetPr>
  <dimension ref="A1:Q287"/>
  <sheetViews>
    <sheetView topLeftCell="B1" workbookViewId="0">
      <selection activeCell="Q1" sqref="Q1"/>
    </sheetView>
  </sheetViews>
  <sheetFormatPr baseColWidth="10" defaultRowHeight="11.25" customHeight="1"/>
  <cols>
    <col min="1" max="1" width="23.140625" style="98" customWidth="1"/>
    <col min="2" max="16384" width="11.42578125" style="98"/>
  </cols>
  <sheetData>
    <row r="1" spans="1:8" ht="11.25" customHeight="1">
      <c r="A1" s="78" t="str">
        <f>Umse!B11</f>
        <v>1.2.</v>
      </c>
      <c r="B1" s="150" t="str">
        <f>IF(OR(Umse!$C$24=0,$A$1=0),"",IF(OR($A$1="3.1.",$A$1="3.2.",$A$1="3.5.",$A$1="3.6.",$A$1="3.9.",$A$1="3.10."),C22,IF(OR($A$1="4.1.",$A$1="4.2.",$A$1="4.3.",$A$1="4.4.",$A$1="4.5.",$A$1="4.6."),G22,IF(OR($A$1="6.1.",$A$1="6.2.",$A$1="6.3.",$A$1="6.4."),K22,""))))</f>
        <v/>
      </c>
    </row>
    <row r="2" spans="1:8" ht="11.25" customHeight="1">
      <c r="A2" s="165" t="str">
        <f>VLOOKUP(Kalk!B5,Kalk!A20:B29,2)</f>
        <v>TVöD ( Bund )</v>
      </c>
      <c r="E2" s="136"/>
      <c r="F2" s="136"/>
      <c r="G2" s="136"/>
      <c r="H2" s="136"/>
    </row>
    <row r="3" spans="1:8" ht="11.25" customHeight="1">
      <c r="A3" s="78" t="str">
        <f>Umse!B23</f>
        <v>West und Ost ( ab 1.04.2021 )</v>
      </c>
      <c r="C3" s="136"/>
      <c r="E3" s="136"/>
      <c r="F3" s="136"/>
      <c r="G3" s="136"/>
      <c r="H3" s="136"/>
    </row>
    <row r="4" spans="1:8" ht="11.25" customHeight="1">
      <c r="A4" s="100" t="s">
        <v>23</v>
      </c>
      <c r="B4" s="99" t="str">
        <f>IF(OR(Umse!$C$24=0,$A$1=0),"",IF(OR($A$1="3.1.",$A$1="3.2.",$A$1="3.5.",$A$1="3.6.",$A$1="3.9.",$A$1="3.10."),B22,IF(OR($A$1="4.1.",$A$1="4.2.",$A$1="4.3.",$A$1="4.4.",$A$1="4.5.",$A$1="4.6."),F22,IF(OR($A$1="6.1.",$A$1="6.2.",$A$1="6.3.",$A$1="6.4."),J22,""))))</f>
        <v/>
      </c>
      <c r="D4" s="167"/>
      <c r="E4" s="136"/>
      <c r="F4" s="136"/>
      <c r="G4" s="136"/>
    </row>
    <row r="5" spans="1:8" ht="11.25" customHeight="1">
      <c r="A5" s="284" t="str">
        <f>IF(OR(Umse!$C$24=0,$A$1=0),"",IF(OR($A$1="3.1.",$A$1="3.2.",$A$1="3.5.",$A$1="3.6.",$A$1="3.9.",$A$1="3.10."),A23,IF(OR($A$1="4.1.",$A$1="4.2.",$A$1="4.3.",$A$1="4.4.",$A$1="4.5.",$A$1="4.6."),E23,IF(OR($A$1="6.1.",$A$1="6.2.",$A$1="6.3.",$A$1="6.4.",$A$1="6.5.",$A$1="6.6."),I23,""))))</f>
        <v/>
      </c>
      <c r="B5" s="278"/>
      <c r="C5" s="278" t="str">
        <f>IF(OR(Umse!$C$24=0,$A$1=0),"",IF(OR($A$1="3.1.",$A$1="3.2.",$A$1="3.5.",$A$1="3.6.",$A$1="3.9.",$A$1="3.10."),C23,IF(OR($A$1="4.1.",$A$1="4.2.",$A$1="4.3.",$A$1="4.4.",$A$1="4.5.",$A$1="4.6."),G23,IF(OR($A$1="6.1.",$A$1="6.2.",$A$1="6.3.",$A$1="6.4.",$A$1="6.5.",$A$1="6.6."),K23,""))))</f>
        <v/>
      </c>
      <c r="D5" s="278" t="str">
        <f>IF(OR(Umse!$C$24=0,$A$1=0),"",IF(OR($A$1="6.1.",$A$1="6.2.",$A$1="6.3.",$A$1="6.4.",$A$1="6.5.",$A$1="6.6."),"Hinweis:",""))</f>
        <v/>
      </c>
      <c r="E5" s="279" t="str">
        <f>IF(OR(Umse!$C$24=0,$A$1=0),"",IF(OR($A$1="6.1.",$A$1="6.2.",$A$1="6.3.",$A$1="6.4.",$A$1="6.5.",$A$1="6.6."),"Überarbeitung",""))</f>
        <v/>
      </c>
      <c r="F5" s="279" t="str">
        <f>IF(OR(Umse!$C$24=0,$A$1=0),"",IF(OR($A$1="6.1.",$A$1="6.2.",$A$1="6.3.",$A$1="6.4.",$A$1="6.5.",$A$1="6.6."),"steht noch aus",""))</f>
        <v/>
      </c>
      <c r="G5" s="279" t="str">
        <f>IF(OR(Umse!$C$24=0,$A$1=0),"",IF(OR($A$1="6.1.",$A$1="6.2.",$A$1="6.3.",$A$1="6.4.",$A$1="6.5.",$A$1="6.6."),"(Redaktion)",""))</f>
        <v/>
      </c>
      <c r="H5" s="280" t="str">
        <f>""</f>
        <v/>
      </c>
    </row>
    <row r="6" spans="1:8" ht="11.25" customHeight="1">
      <c r="A6" s="285" t="str">
        <f>IF(OR(Umse!$C$24=0,$A$1=0),"",IF(OR($A$1="3.1.",$A$1="3.2.",$A$1="3.5.",$A$1="3.6.",$A$1="3.9.",$A$1="3.10."),A24,IF(OR($A$1="4.1.",$A$1="4.2.",$A$1="4.3.",$A$1="4.4.",$A$1="4.5.",$A$1="4.6."),E24,IF(OR($A$1="6.1.",$A$1="6.2.",$A$1="6.3.",$A$1="6.4.",$A$1="6.5.",$A$1="6.6."),I24,""))))</f>
        <v/>
      </c>
      <c r="B6" s="453" t="str">
        <f>IF(OR(Umse!$C$24=0,$A$1=0),"",IF(OR($A$1="3.1.",$A$1="3.2.",$A$1="3.5.",$A$1="3.6.",$A$1="3.9.",$A$1="3.10."),B24,IF(OR($A$1="4.1.",$A$1="4.2.",$A$1="4.3.",$A$1="4.4.",$A$1="4.5.",$A$1="4.6."),F24,IF(OR($A$1="6.1.",$A$1="6.2.",$A$1="6.3.",$A$1="6.4.",$A$1="6.5.",$A$1="6.6."),J24,""))))</f>
        <v/>
      </c>
      <c r="C6" s="554" t="str">
        <f>IF(OR(Umse!$C$24=0,$A$1=0),"",IF(OR($A$1="3.1.",$A$1="3.2.",$A$1="3.5.",$A$1="3.6.",$A$1="3.9.",$A$1="3.10."),C24,IF(OR($A$1="4.1.",$A$1="4.2.",$A$1="4.3.",$A$1="4.4.",$A$1="4.5.",$A$1="4.6."),G24,IF(OR($A$1="6.1.",$A$1="6.2.",$A$1="6.3.",$A$1="6.4.",$A$1="6.5.",$A$1="6.6."),K24,""))))</f>
        <v/>
      </c>
      <c r="D6" s="37" t="str">
        <f>""</f>
        <v/>
      </c>
      <c r="E6" s="37" t="str">
        <f>""</f>
        <v/>
      </c>
      <c r="F6" s="37" t="str">
        <f>""</f>
        <v/>
      </c>
      <c r="G6" s="149" t="str">
        <f>""</f>
        <v/>
      </c>
      <c r="H6" s="281" t="str">
        <f>""</f>
        <v/>
      </c>
    </row>
    <row r="7" spans="1:8" ht="11.25" customHeight="1">
      <c r="A7" s="285" t="str">
        <f>IF(OR(Umse!$C$24=0,$A$1=0),"",IF(OR($A$1="3.1.",$A$1="3.2.",$A$1="3.5.",$A$1="3.6.",$A$1="3.9.",$A$1="3.10."),A25,IF(OR($A$1="4.1.",$A$1="4.2.",$A$1="4.3.",$A$1="4.4.",$A$1="4.5.",$A$1="4.6."),E25,IF(OR($A$1="6.1.",$A$1="6.2.",$A$1="6.3.",$A$1="6.4.",$A$1="6.5.",$A$1="6.6."),I25,""))))</f>
        <v/>
      </c>
      <c r="B7" s="453" t="str">
        <f>IF(OR(Umse!$C$24=0,$A$1=0),"",IF(OR($A$1="3.1.",$A$1="3.2.",$A$1="3.5.",$A$1="3.6.",$A$1="3.9.",$A$1="3.10."),B25,IF(OR($A$1="4.1.",$A$1="4.2.",$A$1="4.3.",$A$1="4.4.",$A$1="4.5.",$A$1="4.6."),F25,IF(OR($A$1="6.1.",$A$1="6.2.",$A$1="6.3.",$A$1="6.4.",$A$1="6.5.",$A$1="6.6."),J25,""))))</f>
        <v/>
      </c>
      <c r="C7" s="554" t="str">
        <f>IF(OR(Umse!$C$24=0,$A$1=0),"",IF(OR($A$1="3.1.",$A$1="3.2.",$A$1="3.5.",$A$1="3.6.",$A$1="3.9.",$A$1="3.10."),C25,IF(OR($A$1="4.1.",$A$1="4.2.",$A$1="4.3.",$A$1="4.4.",$A$1="4.5.",$A$1="4.6."),G25,IF(OR($A$1="6.1.",$A$1="6.2.",$A$1="6.3.",$A$1="6.4.",$A$1="6.5.",$A$1="6.6."),K25,""))))</f>
        <v/>
      </c>
      <c r="D7" s="149" t="str">
        <f>""</f>
        <v/>
      </c>
      <c r="E7" s="149" t="str">
        <f>""</f>
        <v/>
      </c>
      <c r="F7" s="149" t="str">
        <f>""</f>
        <v/>
      </c>
      <c r="G7" s="149" t="str">
        <f>""</f>
        <v/>
      </c>
      <c r="H7" s="281" t="str">
        <f>""</f>
        <v/>
      </c>
    </row>
    <row r="8" spans="1:8" ht="11.25" customHeight="1">
      <c r="A8" s="285" t="str">
        <f>IF(OR(Umse!$C$24=0,$A$1=0),"",IF(OR($A$1="3.1.",$A$1="3.2.",$A$1="3.5.",$A$1="3.6.",$A$1="3.9.",$A$1="3.10."),A26,IF(OR($A$1="4.1.",$A$1="4.2.",$A$1="4.3.",$A$1="4.4.",$A$1="4.5.",$A$1="4.6."),E26,IF(OR($A$1="6.1.",$A$1="6.2.",$A$1="6.3.",$A$1="6.4.",$A$1="6.5.",$A$1="6.6."),I26,""))))</f>
        <v/>
      </c>
      <c r="B8" s="453" t="str">
        <f>IF(OR(Umse!$C$24=0,$A$1=0),"",IF(OR($A$1="3.1.",$A$1="3.2.",$A$1="3.5.",$A$1="3.6.",$A$1="3.9.",$A$1="3.10."),B26,IF(OR($A$1="4.1.",$A$1="4.2.",$A$1="4.3.",$A$1="4.4.",$A$1="4.5.",$A$1="4.6."),F26,IF(OR($A$1="6.1.",$A$1="6.2.",$A$1="6.3.",$A$1="6.4.",$A$1="6.5.",$A$1="6.6."),J26,""))))</f>
        <v/>
      </c>
      <c r="C8" s="554" t="str">
        <f>IF(OR(Umse!$C$24=0,$A$1=0),"",IF(OR($A$1="3.1.",$A$1="3.2.",$A$1="3.5.",$A$1="3.6.",$A$1="3.9.",$A$1="3.10."),C26,IF(OR($A$1="4.1.",$A$1="4.2.",$A$1="4.3.",$A$1="4.4.",$A$1="4.5.",$A$1="4.6."),G26,IF(OR($A$1="6.1.",$A$1="6.2.",$A$1="6.3.",$A$1="6.4.",$A$1="6.5.",$A$1="6.6."),K26,""))))</f>
        <v/>
      </c>
      <c r="D8" s="149" t="str">
        <f>""</f>
        <v/>
      </c>
      <c r="E8" s="149" t="str">
        <f>""</f>
        <v/>
      </c>
      <c r="F8" s="149" t="str">
        <f>""</f>
        <v/>
      </c>
      <c r="G8" s="149" t="str">
        <f>""</f>
        <v/>
      </c>
      <c r="H8" s="281" t="str">
        <f>""</f>
        <v/>
      </c>
    </row>
    <row r="9" spans="1:8" ht="11.25" customHeight="1">
      <c r="A9" s="285" t="str">
        <f>IF(OR(Umse!$C$24=0,$A$1=0),"",IF(OR($A$1="3.1.",$A$1="3.2.",$A$1="3.5.",$A$1="3.6.",$A$1="3.9.",$A$1="3.10."),A27,IF(OR($A$1="4.1.",$A$1="4.2.",$A$1="4.3.",$A$1="4.4.",$A$1="4.5.",$A$1="4.6."),E27,IF(OR($A$1="6.1.",$A$1="6.2.",$A$1="6.3.",$A$1="6.4.",$A$1="6.5.",$A$1="6.6."),I27,""))))</f>
        <v/>
      </c>
      <c r="B9" s="453" t="str">
        <f>IF(OR(Umse!$C$24=0,$A$1=0),"",IF(OR($A$1="3.1.",$A$1="3.2.",$A$1="3.5.",$A$1="3.6.",$A$1="3.9.",$A$1="3.10."),B27,IF(OR($A$1="4.1.",$A$1="4.2.",$A$1="4.3.",$A$1="4.4.",$A$1="4.5.",$A$1="4.6."),F27,IF(OR($A$1="6.1.",$A$1="6.2.",$A$1="6.3.",$A$1="6.4.",$A$1="6.5.",$A$1="6.6."),J27,""))))</f>
        <v/>
      </c>
      <c r="C9" s="554" t="str">
        <f>IF(OR(Umse!$C$24=0,$A$1=0),"",IF(OR($A$1="3.1.",$A$1="3.2.",$A$1="3.5.",$A$1="3.6.",$A$1="3.9.",$A$1="3.10."),C27,IF(OR($A$1="4.1.",$A$1="4.2.",$A$1="4.3.",$A$1="4.4.",$A$1="4.5.",$A$1="4.6."),G27,IF(OR($A$1="6.1.",$A$1="6.2.",$A$1="6.3.",$A$1="6.4.",$A$1="6.5.",$A$1="6.6."),K27,""))))</f>
        <v/>
      </c>
      <c r="D9" s="149" t="str">
        <f>""</f>
        <v/>
      </c>
      <c r="E9" s="149" t="str">
        <f>""</f>
        <v/>
      </c>
      <c r="F9" s="149" t="str">
        <f>""</f>
        <v/>
      </c>
      <c r="G9" s="149" t="str">
        <f>""</f>
        <v/>
      </c>
      <c r="H9" s="281" t="str">
        <f>""</f>
        <v/>
      </c>
    </row>
    <row r="10" spans="1:8" ht="11.25" customHeight="1">
      <c r="A10" s="285" t="str">
        <f>IF(OR(Umse!$C$24=0,$A$1=0),"",IF(OR($A$1="3.1.",$A$1="3.2.",$A$1="3.5.",$A$1="3.6.",$A$1="3.9.",$A$1="3.10."),A28,IF(OR($A$1="4.1.",$A$1="4.2.",$A$1="4.3.",$A$1="4.4.",$A$1="4.5.",$A$1="4.6."),E28,IF(OR($A$1="6.1.",$A$1="6.2.",$A$1="6.3.",$A$1="6.4.",$A$1="6.5.",$A$1="6.6."),I28,""))))</f>
        <v/>
      </c>
      <c r="B10" s="453" t="str">
        <f>IF(OR(Umse!$C$24=0,$A$1=0),"",IF(OR($A$1="3.1.",$A$1="3.2.",$A$1="3.5.",$A$1="3.6.",$A$1="3.9.",$A$1="3.10."),B28,IF(OR($A$1="4.1.",$A$1="4.2.",$A$1="4.3.",$A$1="4.4.",$A$1="4.5.",$A$1="4.6."),F28,IF(OR($A$1="6.1.",$A$1="6.2.",$A$1="6.3.",$A$1="6.4.",$A$1="6.5.",$A$1="6.6."),J28,""))))</f>
        <v/>
      </c>
      <c r="C10" s="554" t="str">
        <f>IF(OR(Umse!$C$24=0,$A$1=0),"",IF(OR($A$1="3.1.",$A$1="3.2.",$A$1="3.5.",$A$1="3.6.",$A$1="3.9.",$A$1="3.10."),C28,IF(OR($A$1="4.1.",$A$1="4.2.",$A$1="4.3.",$A$1="4.4.",$A$1="4.5.",$A$1="4.6."),G28,IF(OR($A$1="6.1.",$A$1="6.2.",$A$1="6.3.",$A$1="6.4.",$A$1="6.5.",$A$1="6.6."),K28,""))))</f>
        <v/>
      </c>
      <c r="D10" s="149" t="str">
        <f>""</f>
        <v/>
      </c>
      <c r="E10" s="149" t="str">
        <f>""</f>
        <v/>
      </c>
      <c r="F10" s="149" t="str">
        <f>""</f>
        <v/>
      </c>
      <c r="G10" s="149" t="str">
        <f>""</f>
        <v/>
      </c>
      <c r="H10" s="281" t="str">
        <f>""</f>
        <v/>
      </c>
    </row>
    <row r="11" spans="1:8" ht="11.25" customHeight="1">
      <c r="A11" s="285" t="str">
        <f>IF(OR(Umse!$C$24=0,$A$1=0),"",IF(OR($A$1="3.1.",$A$1="3.2.",$A$1="3.5.",$A$1="3.6.",$A$1="3.9.",$A$1="3.10."),A29,IF(OR($A$1="4.1.",$A$1="4.2.",$A$1="4.3.",$A$1="4.4.",$A$1="4.5.",$A$1="4.6."),E29,IF(OR($A$1="6.1.",$A$1="6.2.",$A$1="6.3.",$A$1="6.4.",$A$1="6.5.",$A$1="6.6."),I29,""))))</f>
        <v/>
      </c>
      <c r="B11" s="453" t="str">
        <f>IF(OR(Umse!$C$24=0,$A$1=0),"",IF(OR($A$1="3.1.",$A$1="3.2.",$A$1="3.5.",$A$1="3.6.",$A$1="3.9.",$A$1="3.10."),B29,IF(OR($A$1="4.1.",$A$1="4.2.",$A$1="4.3.",$A$1="4.4.",$A$1="4.5.",$A$1="4.6."),F29,IF(OR($A$1="6.1.",$A$1="6.2.",$A$1="6.3.",$A$1="6.4.",$A$1="6.5.",$A$1="6.6."),J29,""))))</f>
        <v/>
      </c>
      <c r="C11" s="554" t="str">
        <f>IF(OR(Umse!$C$24=0,$A$1=0),"",IF(OR($A$1="3.1.",$A$1="3.2.",$A$1="3.5.",$A$1="3.6.",$A$1="3.9.",$A$1="3.10."),C29,IF(OR($A$1="4.1.",$A$1="4.2.",$A$1="4.3.",$A$1="4.4.",$A$1="4.5.",$A$1="4.6."),G29,IF(OR($A$1="6.1.",$A$1="6.2.",$A$1="6.3.",$A$1="6.4.",$A$1="6.5.",$A$1="6.6."),K29,""))))</f>
        <v/>
      </c>
      <c r="D11" s="149" t="str">
        <f>""</f>
        <v/>
      </c>
      <c r="E11" s="149" t="str">
        <f>""</f>
        <v/>
      </c>
      <c r="F11" s="149" t="str">
        <f>""</f>
        <v/>
      </c>
      <c r="G11" s="149" t="str">
        <f>""</f>
        <v/>
      </c>
      <c r="H11" s="281" t="str">
        <f>""</f>
        <v/>
      </c>
    </row>
    <row r="12" spans="1:8" ht="11.25" customHeight="1">
      <c r="A12" s="285" t="str">
        <f>IF(OR(Umse!$C$24=0,$A$1=0),"",IF(OR($A$1="3.1.",$A$1="3.2.",$A$1="3.5.",$A$1="3.6.",$A$1="3.9.",$A$1="3.10."),A30,IF(OR($A$1="4.1.",$A$1="4.2.",$A$1="4.3.",$A$1="4.4.",$A$1="4.5.",$A$1="4.6."),E30,IF(OR($A$1="6.1.",$A$1="6.2.",$A$1="6.3.",$A$1="6.4.",$A$1="6.5.",$A$1="6.6."),I30,""))))</f>
        <v/>
      </c>
      <c r="B12" s="453" t="str">
        <f>IF(OR(Umse!$C$24=0,$A$1=0),"",IF(OR($A$1="3.1.",$A$1="3.2.",$A$1="3.5.",$A$1="3.6.",$A$1="3.9.",$A$1="3.10."),B30,IF(OR($A$1="4.1.",$A$1="4.2.",$A$1="4.3.",$A$1="4.4.",$A$1="4.5.",$A$1="4.6."),F30,IF(OR($A$1="6.1.",$A$1="6.2.",$A$1="6.3.",$A$1="6.4.",$A$1="6.5.",$A$1="6.6."),J30,""))))</f>
        <v/>
      </c>
      <c r="C12" s="554" t="str">
        <f>IF(OR(Umse!$C$24=0,$A$1=0),"",IF(OR($A$1="3.1.",$A$1="3.2.",$A$1="3.5.",$A$1="3.6.",$A$1="3.9.",$A$1="3.10."),C30,IF(OR($A$1="4.1.",$A$1="4.2.",$A$1="4.3.",$A$1="4.4.",$A$1="4.5.",$A$1="4.6."),G30,IF(OR($A$1="6.1.",$A$1="6.2.",$A$1="6.3.",$A$1="6.4.",$A$1="6.5.",$A$1="6.6."),K30,""))))</f>
        <v/>
      </c>
      <c r="D12" s="149" t="str">
        <f>""</f>
        <v/>
      </c>
      <c r="E12" s="149" t="str">
        <f>""</f>
        <v/>
      </c>
      <c r="F12" s="149" t="str">
        <f>""</f>
        <v/>
      </c>
      <c r="G12" s="149" t="str">
        <f>""</f>
        <v/>
      </c>
      <c r="H12" s="281" t="str">
        <f>""</f>
        <v/>
      </c>
    </row>
    <row r="13" spans="1:8" ht="11.25" customHeight="1">
      <c r="A13" s="285" t="str">
        <f>IF(OR(Umse!$C$24=0,$A$1=0),"",IF(OR($A$1="3.1.",$A$1="3.2.",$A$1="3.5.",$A$1="3.6.",$A$1="3.9.",$A$1="3.10."),A31,IF(OR($A$1="4.1.",$A$1="4.2.",$A$1="4.3.",$A$1="4.4.",$A$1="4.5.",$A$1="4.6."),E31,IF(OR($A$1="6.1.",$A$1="6.2.",$A$1="6.3.",$A$1="6.4.",$A$1="6.5.",$A$1="6.6."),I31,""))))</f>
        <v/>
      </c>
      <c r="B13" s="453" t="str">
        <f>IF(OR(Umse!$C$24=0,$A$1=0),"",IF(OR($A$1="3.1.",$A$1="3.2.",$A$1="3.5.",$A$1="3.6.",$A$1="3.9.",$A$1="3.10."),B31,IF(OR($A$1="4.1.",$A$1="4.2.",$A$1="4.3.",$A$1="4.4.",$A$1="4.5.",$A$1="4.6."),F31,IF(OR($A$1="6.1.",$A$1="6.2.",$A$1="6.3.",$A$1="6.4.",$A$1="6.5.",$A$1="6.6."),J31,""))))</f>
        <v/>
      </c>
      <c r="C13" s="554" t="str">
        <f>IF(OR(Umse!$C$24=0,$A$1=0),"",IF(OR($A$1="3.1.",$A$1="3.2.",$A$1="3.5.",$A$1="3.6.",$A$1="3.9.",$A$1="3.10."),C31,IF(OR($A$1="4.1.",$A$1="4.2.",$A$1="4.3.",$A$1="4.4.",$A$1="4.5.",$A$1="4.6."),G31,IF(OR($A$1="6.1.",$A$1="6.2.",$A$1="6.3.",$A$1="6.4.",$A$1="6.5.",$A$1="6.6."),K31,""))))</f>
        <v/>
      </c>
      <c r="D13" s="149" t="str">
        <f>""</f>
        <v/>
      </c>
      <c r="E13" s="149" t="str">
        <f>""</f>
        <v/>
      </c>
      <c r="F13" s="149" t="str">
        <f>""</f>
        <v/>
      </c>
      <c r="G13" s="149" t="str">
        <f>""</f>
        <v/>
      </c>
      <c r="H13" s="281" t="str">
        <f>""</f>
        <v/>
      </c>
    </row>
    <row r="14" spans="1:8" ht="11.25" customHeight="1">
      <c r="A14" s="285" t="str">
        <f>IF(OR(Umse!$C$24=0,$A$1=0),"",IF(OR($A$1="3.1.",$A$1="3.2.",$A$1="3.5.",$A$1="3.6.",$A$1="3.9.",$A$1="3.10."),A32,IF(OR($A$1="4.1.",$A$1="4.2.",$A$1="4.3.",$A$1="4.4.",$A$1="4.5.",$A$1="4.6."),E32,IF(OR($A$1="6.1.",$A$1="6.2.",$A$1="6.3.",$A$1="6.4.",$A$1="6.5.",$A$1="6.6."),I32,""))))</f>
        <v/>
      </c>
      <c r="B14" s="453" t="str">
        <f>IF(OR(Umse!$C$24=0,$A$1=0),"",IF(OR($A$1="3.1.",$A$1="3.2.",$A$1="3.5.",$A$1="3.6.",$A$1="3.9.",$A$1="3.10."),B32,IF(OR($A$1="4.1.",$A$1="4.2.",$A$1="4.3.",$A$1="4.4.",$A$1="4.5.",$A$1="4.6."),F32,IF(OR($A$1="6.1.",$A$1="6.2.",$A$1="6.3.",$A$1="6.4.",$A$1="6.5.",$A$1="6.6."),J32,""))))</f>
        <v/>
      </c>
      <c r="C14" s="554" t="str">
        <f>IF(OR(Umse!$C$24=0,$A$1=0),"",IF(OR($A$1="3.1.",$A$1="3.2.",$A$1="3.5.",$A$1="3.6.",$A$1="3.9.",$A$1="3.10."),C32,IF(OR($A$1="4.1.",$A$1="4.2.",$A$1="4.3.",$A$1="4.4.",$A$1="4.5.",$A$1="4.6."),G32,IF(OR($A$1="6.1.",$A$1="6.2.",$A$1="6.3.",$A$1="6.4.",$A$1="6.5.",$A$1="6.6."),K32,""))))</f>
        <v/>
      </c>
      <c r="D14" s="149" t="str">
        <f>""</f>
        <v/>
      </c>
      <c r="E14" s="149" t="str">
        <f>""</f>
        <v/>
      </c>
      <c r="F14" s="149" t="str">
        <f>""</f>
        <v/>
      </c>
      <c r="G14" s="149" t="str">
        <f>""</f>
        <v/>
      </c>
      <c r="H14" s="281" t="str">
        <f>""</f>
        <v/>
      </c>
    </row>
    <row r="15" spans="1:8" ht="11.25" customHeight="1">
      <c r="A15" s="285" t="str">
        <f>IF(OR(Umse!$C$24=0,$A$1=0),"",IF(OR($A$1="3.1.",$A$1="3.2.",$A$1="3.5.",$A$1="3.6.",$A$1="3.9.",$A$1="3.10."),A33,IF(OR($A$1="4.1.",$A$1="4.2.",$A$1="4.3.",$A$1="4.4.",$A$1="4.5.",$A$1="4.6."),E33,IF(OR($A$1="6.1.",$A$1="6.2.",$A$1="6.3.",$A$1="6.4.",$A$1="6.5.",$A$1="6.6."),I33,""))))</f>
        <v/>
      </c>
      <c r="B15" s="453" t="str">
        <f>IF(OR(Umse!$C$24=0,$A$1=0),"",IF(OR($A$1="3.1.",$A$1="3.2.",$A$1="3.5.",$A$1="3.6.",$A$1="3.9.",$A$1="3.10."),B33,IF(OR($A$1="4.1.",$A$1="4.2.",$A$1="4.3.",$A$1="4.4.",$A$1="4.5.",$A$1="4.6."),F33,IF(OR($A$1="6.1.",$A$1="6.2.",$A$1="6.3.",$A$1="6.4.",$A$1="6.5.",$A$1="6.6."),J33,""))))</f>
        <v/>
      </c>
      <c r="C15" s="554" t="str">
        <f>IF(OR(Umse!$C$24=0,$A$1=0),"",IF(OR($A$1="3.1.",$A$1="3.2.",$A$1="3.5.",$A$1="3.6.",$A$1="3.9.",$A$1="3.10."),C33,IF(OR($A$1="4.1.",$A$1="4.2.",$A$1="4.3.",$A$1="4.4.",$A$1="4.5.",$A$1="4.6."),G33,IF(OR($A$1="6.1.",$A$1="6.2.",$A$1="6.3.",$A$1="6.4.",$A$1="6.5.",$A$1="6.6."),K33,""))))</f>
        <v/>
      </c>
      <c r="D15" s="149" t="str">
        <f>""</f>
        <v/>
      </c>
      <c r="E15" s="149" t="str">
        <f>""</f>
        <v/>
      </c>
      <c r="F15" s="149" t="str">
        <f>""</f>
        <v/>
      </c>
      <c r="G15" s="149" t="str">
        <f>""</f>
        <v/>
      </c>
      <c r="H15" s="281" t="str">
        <f>""</f>
        <v/>
      </c>
    </row>
    <row r="16" spans="1:8" ht="11.25" customHeight="1">
      <c r="A16" s="285" t="str">
        <f>IF(OR(Umse!$C$24=0,$A$1=0),"",IF(OR($A$1="3.1.",$A$1="3.2.",$A$1="3.5.",$A$1="3.6.",$A$1="3.9.",$A$1="3.10."),A34,IF(OR($A$1="4.1.",$A$1="4.2.",$A$1="4.3.",$A$1="4.4.",$A$1="4.5.",$A$1="4.6."),E34,IF(OR($A$1="6.1.",$A$1="6.2.",$A$1="6.3.",$A$1="6.4.",$A$1="6.5.",$A$1="6.6."),I34,""))))</f>
        <v/>
      </c>
      <c r="B16" s="453" t="str">
        <f>IF(OR(Umse!$C$24=0,$A$1=0),"",IF(OR($A$1="3.1.",$A$1="3.2.",$A$1="3.5.",$A$1="3.6.",$A$1="3.9.",$A$1="3.10."),B34,IF(OR($A$1="4.1.",$A$1="4.2.",$A$1="4.3.",$A$1="4.4.",$A$1="4.5.",$A$1="4.6."),F34,IF(OR($A$1="6.1.",$A$1="6.2.",$A$1="6.3.",$A$1="6.4.",$A$1="6.5.",$A$1="6.6."),J34,""))))</f>
        <v/>
      </c>
      <c r="C16" s="554" t="str">
        <f>IF(OR(Umse!$C$24=0,$A$1=0),"",IF(OR($A$1="3.1.",$A$1="3.2.",$A$1="3.5.",$A$1="3.6.",$A$1="3.9.",$A$1="3.10."),C34,IF(OR($A$1="4.1.",$A$1="4.2.",$A$1="4.3.",$A$1="4.4.",$A$1="4.5.",$A$1="4.6."),G34,IF(OR($A$1="6.1.",$A$1="6.2.",$A$1="6.3.",$A$1="6.4.",$A$1="6.5.",$A$1="6.6."),K34,""))))</f>
        <v/>
      </c>
      <c r="D16" s="149" t="str">
        <f>""</f>
        <v/>
      </c>
      <c r="E16" s="149" t="str">
        <f>""</f>
        <v/>
      </c>
      <c r="F16" s="149" t="str">
        <f>""</f>
        <v/>
      </c>
      <c r="G16" s="149" t="str">
        <f>""</f>
        <v/>
      </c>
      <c r="H16" s="281" t="str">
        <f>""</f>
        <v/>
      </c>
    </row>
    <row r="17" spans="1:17" ht="11.25" customHeight="1">
      <c r="A17" s="285" t="str">
        <f>IF(OR(Umse!$C$24=0,$A$1=0),"",IF(OR($A$1="3.1.",$A$1="3.2.",$A$1="3.5.",$A$1="3.6.",$A$1="3.9.",$A$1="3.10."),A35,IF(OR($A$1="4.1.",$A$1="4.2.",$A$1="4.3.",$A$1="4.4.",$A$1="4.5.",$A$1="4.6."),E35,IF(OR($A$1="6.1.",$A$1="6.2.",$A$1="6.3.",$A$1="6.4.",$A$1="6.5.",$A$1="6.6."),I35,""))))</f>
        <v/>
      </c>
      <c r="B17" s="453" t="str">
        <f>IF(OR(Umse!$C$24=0,$A$1=0),"",IF(OR($A$1="3.1.",$A$1="3.2.",$A$1="3.5.",$A$1="3.6.",$A$1="3.9.",$A$1="3.10."),B35,IF(OR($A$1="4.1.",$A$1="4.2.",$A$1="4.3.",$A$1="4.4.",$A$1="4.5.",$A$1="4.6."),F35,IF(OR($A$1="6.1.",$A$1="6.2.",$A$1="6.3.",$A$1="6.4.",$A$1="6.5.",$A$1="6.6."),J35,""))))</f>
        <v/>
      </c>
      <c r="C17" s="554" t="str">
        <f>IF(OR(Umse!$C$24=0,$A$1=0),"",IF(OR($A$1="3.1.",$A$1="3.2.",$A$1="3.5.",$A$1="3.6.",$A$1="3.9.",$A$1="3.10."),C35,IF(OR($A$1="4.1.",$A$1="4.2.",$A$1="4.3.",$A$1="4.4.",$A$1="4.5.",$A$1="4.6."),G35,IF(OR($A$1="6.1.",$A$1="6.2.",$A$1="6.3.",$A$1="6.4.",$A$1="6.5.",$A$1="6.6."),K35,""))))</f>
        <v/>
      </c>
      <c r="D17" s="149" t="str">
        <f>""</f>
        <v/>
      </c>
      <c r="E17" s="149" t="str">
        <f>""</f>
        <v/>
      </c>
      <c r="F17" s="149" t="str">
        <f>""</f>
        <v/>
      </c>
      <c r="G17" s="149" t="str">
        <f>""</f>
        <v/>
      </c>
      <c r="H17" s="281" t="str">
        <f>""</f>
        <v/>
      </c>
    </row>
    <row r="18" spans="1:17" ht="11.25" customHeight="1">
      <c r="A18" s="285" t="str">
        <f>IF(OR(Umse!$C$24=0,$A$1=0),"",IF(OR($A$1="3.1.",$A$1="3.2.",$A$1="3.5.",$A$1="3.6.",$A$1="3.9.",$A$1="3.10."),A36,IF(OR($A$1="4.1.",$A$1="4.2.",$A$1="4.3.",$A$1="4.4.",$A$1="4.5.",$A$1="4.6."),E36,IF(OR($A$1="6.1.",$A$1="6.2.",$A$1="6.3.",$A$1="6.4.",$A$1="6.5.",$A$1="6.6."),I36,""))))</f>
        <v/>
      </c>
      <c r="B18" s="453" t="str">
        <f>IF(OR(Umse!$C$24=0,$A$1=0),"",IF(OR($A$1="3.1.",$A$1="3.2.",$A$1="3.5.",$A$1="3.6.",$A$1="3.9.",$A$1="3.10."),B36,IF(OR($A$1="4.1.",$A$1="4.2.",$A$1="4.3.",$A$1="4.4.",$A$1="4.5.",$A$1="4.6."),F36,IF(OR($A$1="6.1.",$A$1="6.2.",$A$1="6.3.",$A$1="6.4.",$A$1="6.5.",$A$1="6.6."),J36,""))))</f>
        <v/>
      </c>
      <c r="C18" s="554" t="str">
        <f>IF(OR(Umse!$C$24=0,$A$1=0),"",IF(OR($A$1="3.1.",$A$1="3.2.",$A$1="3.5.",$A$1="3.6.",$A$1="3.9.",$A$1="3.10."),C36,IF(OR($A$1="4.1.",$A$1="4.2.",$A$1="4.3.",$A$1="4.4.",$A$1="4.5.",$A$1="4.6."),G36,IF(OR($A$1="6.1.",$A$1="6.2.",$A$1="6.3.",$A$1="6.4.",$A$1="6.5.",$A$1="6.6."),K36,""))))</f>
        <v/>
      </c>
      <c r="D18" s="149" t="str">
        <f>""</f>
        <v/>
      </c>
      <c r="E18" s="149" t="str">
        <f>""</f>
        <v/>
      </c>
      <c r="F18" s="149" t="str">
        <f>""</f>
        <v/>
      </c>
      <c r="G18" s="149" t="str">
        <f>""</f>
        <v/>
      </c>
      <c r="H18" s="281" t="str">
        <f>""</f>
        <v/>
      </c>
    </row>
    <row r="19" spans="1:17" ht="11.25" customHeight="1">
      <c r="A19" s="286" t="str">
        <f>IF(OR(Umse!$C$24=0,$A$1=0),"",IF(OR($A$1="3.1.",$A$1="3.2.",$A$1="3.5.",$A$1="3.6.",$A$1="3.9.",$A$1="3.10."),A37,IF(OR($A$1="4.1.",$A$1="4.2.",$A$1="4.3.",$A$1="4.4.",$A$1="4.5.",$A$1="4.6."),E37,IF(OR($A$1="6.1.",$A$1="6.2.",$A$1="6.3.",$A$1="6.4.",$A$1="6.5.",$A$1="6.6."),I37,""))))</f>
        <v/>
      </c>
      <c r="B19" s="495" t="str">
        <f>IF(OR(Umse!$C$24=0,$A$1=0),"",IF(OR($A$1="3.1.",$A$1="3.2.",$A$1="3.5.",$A$1="3.6.",$A$1="3.9.",$A$1="3.10."),B37,IF(OR($A$1="4.1.",$A$1="4.2.",$A$1="4.3.",$A$1="4.4.",$A$1="4.5.",$A$1="4.6."),F37,IF(OR($A$1="6.1.",$A$1="6.2.",$A$1="6.3.",$A$1="6.4.",$A$1="6.5.",$A$1="6.6."),J37,""))))</f>
        <v/>
      </c>
      <c r="C19" s="555" t="str">
        <f>IF(OR(Umse!$C$24=0,$A$1=0),"",IF(OR($A$1="3.1.",$A$1="3.2.",$A$1="3.5.",$A$1="3.6.",$A$1="3.9.",$A$1="3.10."),C37,IF(OR($A$1="4.1.",$A$1="4.2.",$A$1="4.3.",$A$1="4.4.",$A$1="4.5.",$A$1="4.6."),G37,IF(OR($A$1="6.1.",$A$1="6.2.",$A$1="6.3.",$A$1="6.4.",$A$1="6.5.",$A$1="6.6."),K37,""))))</f>
        <v/>
      </c>
      <c r="D19" s="282" t="str">
        <f>""</f>
        <v/>
      </c>
      <c r="E19" s="282" t="str">
        <f>""</f>
        <v/>
      </c>
      <c r="F19" s="282" t="str">
        <f>""</f>
        <v/>
      </c>
      <c r="G19" s="282" t="str">
        <f>""</f>
        <v/>
      </c>
      <c r="H19" s="283" t="str">
        <f>""</f>
        <v/>
      </c>
    </row>
    <row r="20" spans="1:17" ht="11.25" customHeight="1">
      <c r="B20" s="136"/>
      <c r="C20" s="136"/>
    </row>
    <row r="21" spans="1:17" s="37" customFormat="1" ht="11.25" customHeight="1" thickBot="1">
      <c r="B21" s="235" t="s">
        <v>217</v>
      </c>
      <c r="F21" s="235" t="s">
        <v>217</v>
      </c>
      <c r="J21" s="235" t="s">
        <v>217</v>
      </c>
    </row>
    <row r="22" spans="1:17" ht="11.25" customHeight="1" thickBot="1">
      <c r="B22" s="166" t="s">
        <v>128</v>
      </c>
      <c r="C22" s="100" t="s">
        <v>130</v>
      </c>
      <c r="D22" s="100"/>
      <c r="E22" s="100"/>
      <c r="F22" s="166" t="s">
        <v>129</v>
      </c>
      <c r="G22" s="100" t="s">
        <v>185</v>
      </c>
      <c r="H22" s="100"/>
      <c r="J22" s="166" t="s">
        <v>19</v>
      </c>
      <c r="K22" s="100" t="s">
        <v>186</v>
      </c>
      <c r="M22" s="37"/>
      <c r="N22" s="37"/>
      <c r="O22" s="37"/>
      <c r="P22" s="37"/>
      <c r="Q22" s="37"/>
    </row>
    <row r="23" spans="1:17" ht="11.25" customHeight="1">
      <c r="A23" s="147" t="str">
        <f t="shared" ref="A23:A35" si="0">IF(OR($A$1="3.1.",$A$1="3.2."),A203,IF(OR($A$1="3.5.",$A$1="3.6."),A221,IF(OR($A$1="3.9.",$A$1="3.10."),A239,"")))</f>
        <v/>
      </c>
      <c r="C23" s="236" t="str">
        <f>IF(OR(Umse!$C$24=0,$A$1=0),"",IF(OR($A$1="3.1.",$A$1="3.2."),C239,IF(OR($A$1="3.5.",$A$1="3.6."),C257,IF(OR($A$1="3.9.",$A$1="3.10."),C275,""))))</f>
        <v/>
      </c>
      <c r="D23" s="167"/>
      <c r="E23" s="98" t="str">
        <f>IF(OR($A$1="4.1.",$A$1="4.2."),E203,IF(OR($A$1="4.3.",$A$1="4.4."),E221,IF(OR($A$1="4.5.",$A$1="4.6."),E239,"")))</f>
        <v/>
      </c>
      <c r="G23" s="236" t="str">
        <f>IF(OR($A$1="4.1.",$A$1="4.2."),G239,IF(OR($A$1="4.3.",$A$1="4.4."),G257,IF(OR($A$1="4.5.",$A$1="4.6."),G275,"")))</f>
        <v/>
      </c>
      <c r="I23" s="98" t="s">
        <v>289</v>
      </c>
      <c r="K23" s="237" t="str">
        <f>IF($A$1="6.1.",K167,IF($A$1="6.2.",L167,IF($A$1="6.3.",K185,IF($A$1="6.4.",L185,IF($A$1="6.5.",K185,IF($A$1="6.6.",L185,""))))))</f>
        <v/>
      </c>
      <c r="M23" s="37"/>
      <c r="N23" s="37"/>
      <c r="O23" s="37"/>
      <c r="P23" s="37"/>
      <c r="Q23" s="37"/>
    </row>
    <row r="24" spans="1:17" ht="11.25" customHeight="1">
      <c r="A24" s="147" t="str">
        <f t="shared" si="0"/>
        <v/>
      </c>
      <c r="B24" s="147" t="str">
        <f t="shared" ref="B24:B35" si="1">IF(OR($A$1="3.1.",$A$1="3.2."),B204,IF(OR($A$1="3.5.",$A$1="3.6."),B222,IF(OR($A$1="3.9.",$A$1="3.10."),B240,"")))</f>
        <v/>
      </c>
      <c r="C24" s="236" t="str">
        <f>IF(OR($A$1="3.1.",$A$1="3.2."),C240,IF(OR($A$1="3.5.",$A$1="3.6."),C258,IF(OR($A$1="3.9.",$A$1="3.10."),C276,"")))</f>
        <v/>
      </c>
      <c r="D24" s="100" t="str">
        <f>""</f>
        <v/>
      </c>
      <c r="E24" s="98" t="str">
        <f t="shared" ref="E24:F35" si="2">IF(OR($A$1="4.1.",$A$1="4.2."),E204,IF(OR($A$1="4.3.",$A$1="4.4."),E222,IF(OR($A$1="4.5.",$A$1="4.6."),E240,"")))</f>
        <v/>
      </c>
      <c r="F24" s="147" t="str">
        <f t="shared" si="2"/>
        <v/>
      </c>
      <c r="G24" s="236" t="str">
        <f t="shared" ref="G24:G35" si="3">IF(OR($A$1="4.1.",$A$1="4.2."),G240,IF(OR($A$1="4.3.",$A$1="4.4."),G258,IF(OR($A$1="4.5.",$A$1="4.6."),G276,"")))</f>
        <v/>
      </c>
      <c r="I24" s="98" t="s">
        <v>131</v>
      </c>
      <c r="J24" s="453" t="s">
        <v>290</v>
      </c>
      <c r="K24" s="237" t="str">
        <f>IF($A$1="6.1.",K204,IF($A$1="6.2.",L204,IF($A$1="6.3.",K222,IF($A$1="6.4.",L222,IF($A$1="6.5.",K240,IF($A$1="6.6.",L240,""))))))</f>
        <v/>
      </c>
      <c r="M24" s="37"/>
      <c r="N24" s="37"/>
      <c r="O24" s="37"/>
      <c r="P24" s="37"/>
      <c r="Q24" s="37"/>
    </row>
    <row r="25" spans="1:17" ht="11.25" customHeight="1">
      <c r="A25" s="147" t="str">
        <f t="shared" si="0"/>
        <v/>
      </c>
      <c r="B25" s="147" t="str">
        <f t="shared" si="1"/>
        <v/>
      </c>
      <c r="C25" s="236" t="str">
        <f t="shared" ref="C25:C35" si="4">IF(OR($A$1="3.1.",$A$1="3.2."),C241,IF(OR($A$1="3.5.",$A$1="3.6."),C259,IF(OR($A$1="3.9.",$A$1="3.10."),C277,"")))</f>
        <v/>
      </c>
      <c r="D25" s="100" t="str">
        <f>""</f>
        <v/>
      </c>
      <c r="E25" s="98" t="str">
        <f t="shared" si="2"/>
        <v/>
      </c>
      <c r="F25" s="147" t="str">
        <f t="shared" si="2"/>
        <v/>
      </c>
      <c r="G25" s="236" t="str">
        <f t="shared" si="3"/>
        <v/>
      </c>
      <c r="I25" s="98" t="s">
        <v>131</v>
      </c>
      <c r="J25" s="453" t="s">
        <v>291</v>
      </c>
      <c r="K25" s="237" t="str">
        <f t="shared" ref="K25:K37" si="5">IF($A$1="6.1.",K205,IF($A$1="6.2.",L205,IF($A$1="6.3.",K223,IF($A$1="6.4.",L223,IF($A$1="6.5.",K241,IF($A$1="6.6.",L241,""))))))</f>
        <v/>
      </c>
      <c r="M25" s="37"/>
      <c r="N25" s="37"/>
      <c r="O25" s="37"/>
      <c r="P25" s="37"/>
      <c r="Q25" s="37"/>
    </row>
    <row r="26" spans="1:17" ht="11.25" customHeight="1">
      <c r="A26" s="147" t="str">
        <f t="shared" si="0"/>
        <v/>
      </c>
      <c r="B26" s="147" t="str">
        <f t="shared" si="1"/>
        <v/>
      </c>
      <c r="C26" s="236" t="str">
        <f t="shared" si="4"/>
        <v/>
      </c>
      <c r="D26" s="100" t="str">
        <f>""</f>
        <v/>
      </c>
      <c r="E26" s="98" t="str">
        <f t="shared" si="2"/>
        <v/>
      </c>
      <c r="F26" s="147" t="str">
        <f t="shared" si="2"/>
        <v/>
      </c>
      <c r="G26" s="236" t="str">
        <f t="shared" si="3"/>
        <v/>
      </c>
      <c r="I26" s="98" t="s">
        <v>131</v>
      </c>
      <c r="J26" s="453" t="s">
        <v>292</v>
      </c>
      <c r="K26" s="237" t="str">
        <f t="shared" si="5"/>
        <v/>
      </c>
      <c r="M26" s="37"/>
      <c r="N26" s="37"/>
      <c r="O26" s="37"/>
      <c r="P26" s="37"/>
      <c r="Q26" s="37"/>
    </row>
    <row r="27" spans="1:17" ht="11.25" customHeight="1">
      <c r="A27" s="147" t="str">
        <f t="shared" si="0"/>
        <v/>
      </c>
      <c r="B27" s="147" t="str">
        <f t="shared" si="1"/>
        <v/>
      </c>
      <c r="C27" s="236" t="str">
        <f t="shared" si="4"/>
        <v/>
      </c>
      <c r="D27" s="100" t="str">
        <f>""</f>
        <v/>
      </c>
      <c r="E27" s="98" t="str">
        <f t="shared" si="2"/>
        <v/>
      </c>
      <c r="F27" s="147" t="str">
        <f t="shared" si="2"/>
        <v/>
      </c>
      <c r="G27" s="236" t="str">
        <f t="shared" si="3"/>
        <v/>
      </c>
      <c r="I27" s="98" t="s">
        <v>131</v>
      </c>
      <c r="J27" s="453" t="s">
        <v>293</v>
      </c>
      <c r="K27" s="237" t="str">
        <f t="shared" si="5"/>
        <v/>
      </c>
      <c r="M27" s="37"/>
      <c r="N27" s="37"/>
      <c r="O27" s="37"/>
      <c r="P27" s="37"/>
      <c r="Q27" s="37"/>
    </row>
    <row r="28" spans="1:17" ht="11.25" customHeight="1">
      <c r="A28" s="147" t="str">
        <f t="shared" si="0"/>
        <v/>
      </c>
      <c r="B28" s="147" t="str">
        <f t="shared" si="1"/>
        <v/>
      </c>
      <c r="C28" s="236" t="str">
        <f t="shared" si="4"/>
        <v/>
      </c>
      <c r="D28" s="100" t="str">
        <f>""</f>
        <v/>
      </c>
      <c r="E28" s="98" t="str">
        <f t="shared" si="2"/>
        <v/>
      </c>
      <c r="F28" s="147" t="str">
        <f t="shared" si="2"/>
        <v/>
      </c>
      <c r="G28" s="236" t="str">
        <f t="shared" si="3"/>
        <v/>
      </c>
      <c r="I28" s="98" t="s">
        <v>131</v>
      </c>
      <c r="J28" s="453" t="s">
        <v>294</v>
      </c>
      <c r="K28" s="237" t="str">
        <f t="shared" si="5"/>
        <v/>
      </c>
      <c r="M28" s="37"/>
      <c r="N28" s="37"/>
      <c r="O28" s="37"/>
      <c r="P28" s="37"/>
      <c r="Q28" s="37"/>
    </row>
    <row r="29" spans="1:17" ht="11.25" customHeight="1">
      <c r="A29" s="147" t="str">
        <f t="shared" si="0"/>
        <v/>
      </c>
      <c r="B29" s="147" t="str">
        <f t="shared" si="1"/>
        <v/>
      </c>
      <c r="C29" s="236" t="str">
        <f t="shared" si="4"/>
        <v/>
      </c>
      <c r="D29" s="100" t="str">
        <f>""</f>
        <v/>
      </c>
      <c r="E29" s="98" t="str">
        <f t="shared" si="2"/>
        <v/>
      </c>
      <c r="F29" s="147" t="str">
        <f t="shared" si="2"/>
        <v/>
      </c>
      <c r="G29" s="236" t="str">
        <f t="shared" si="3"/>
        <v/>
      </c>
      <c r="I29" s="98" t="s">
        <v>131</v>
      </c>
      <c r="J29" s="453" t="s">
        <v>295</v>
      </c>
      <c r="K29" s="237" t="str">
        <f t="shared" si="5"/>
        <v/>
      </c>
      <c r="M29" s="37"/>
      <c r="N29" s="37"/>
      <c r="O29" s="37"/>
      <c r="P29" s="37"/>
      <c r="Q29" s="37"/>
    </row>
    <row r="30" spans="1:17" ht="11.25" customHeight="1">
      <c r="A30" s="147" t="str">
        <f t="shared" si="0"/>
        <v/>
      </c>
      <c r="B30" s="147" t="str">
        <f t="shared" si="1"/>
        <v/>
      </c>
      <c r="C30" s="236" t="str">
        <f t="shared" si="4"/>
        <v/>
      </c>
      <c r="D30" s="100" t="str">
        <f>""</f>
        <v/>
      </c>
      <c r="E30" s="98" t="str">
        <f t="shared" si="2"/>
        <v/>
      </c>
      <c r="F30" s="147" t="str">
        <f t="shared" si="2"/>
        <v/>
      </c>
      <c r="G30" s="236" t="str">
        <f t="shared" si="3"/>
        <v/>
      </c>
      <c r="I30" s="98" t="s">
        <v>131</v>
      </c>
      <c r="J30" s="453" t="s">
        <v>296</v>
      </c>
      <c r="K30" s="237" t="str">
        <f t="shared" si="5"/>
        <v/>
      </c>
      <c r="M30" s="37"/>
      <c r="N30" s="37"/>
      <c r="O30" s="37"/>
      <c r="P30" s="37"/>
      <c r="Q30" s="37"/>
    </row>
    <row r="31" spans="1:17" ht="11.25" customHeight="1">
      <c r="A31" s="147" t="str">
        <f t="shared" si="0"/>
        <v/>
      </c>
      <c r="B31" s="147" t="str">
        <f t="shared" si="1"/>
        <v/>
      </c>
      <c r="C31" s="236" t="str">
        <f t="shared" si="4"/>
        <v/>
      </c>
      <c r="D31" s="100" t="str">
        <f>""</f>
        <v/>
      </c>
      <c r="E31" s="98" t="str">
        <f t="shared" si="2"/>
        <v/>
      </c>
      <c r="F31" s="147" t="str">
        <f t="shared" si="2"/>
        <v/>
      </c>
      <c r="G31" s="236" t="str">
        <f t="shared" si="3"/>
        <v/>
      </c>
      <c r="I31" s="98" t="s">
        <v>131</v>
      </c>
      <c r="J31" s="453" t="s">
        <v>297</v>
      </c>
      <c r="K31" s="237" t="str">
        <f t="shared" si="5"/>
        <v/>
      </c>
      <c r="M31" s="37"/>
      <c r="N31" s="37"/>
      <c r="O31" s="37"/>
      <c r="P31" s="37"/>
      <c r="Q31" s="37"/>
    </row>
    <row r="32" spans="1:17" ht="11.25" customHeight="1">
      <c r="A32" s="147" t="str">
        <f t="shared" si="0"/>
        <v/>
      </c>
      <c r="B32" s="147" t="str">
        <f t="shared" si="1"/>
        <v/>
      </c>
      <c r="C32" s="236" t="str">
        <f t="shared" si="4"/>
        <v/>
      </c>
      <c r="D32" s="100" t="str">
        <f>""</f>
        <v/>
      </c>
      <c r="E32" s="98" t="str">
        <f t="shared" si="2"/>
        <v/>
      </c>
      <c r="F32" s="147" t="str">
        <f t="shared" si="2"/>
        <v/>
      </c>
      <c r="G32" s="236" t="str">
        <f t="shared" si="3"/>
        <v/>
      </c>
      <c r="I32" s="98" t="s">
        <v>131</v>
      </c>
      <c r="J32" s="453" t="s">
        <v>298</v>
      </c>
      <c r="K32" s="237" t="str">
        <f t="shared" si="5"/>
        <v/>
      </c>
      <c r="M32" s="37"/>
      <c r="N32" s="37"/>
      <c r="O32" s="37"/>
      <c r="P32" s="37"/>
      <c r="Q32" s="37"/>
    </row>
    <row r="33" spans="1:17" ht="11.25" customHeight="1">
      <c r="A33" s="147" t="str">
        <f t="shared" si="0"/>
        <v/>
      </c>
      <c r="B33" s="147" t="str">
        <f t="shared" si="1"/>
        <v/>
      </c>
      <c r="C33" s="236" t="str">
        <f t="shared" si="4"/>
        <v/>
      </c>
      <c r="D33" s="100" t="str">
        <f>""</f>
        <v/>
      </c>
      <c r="E33" s="98" t="str">
        <f t="shared" si="2"/>
        <v/>
      </c>
      <c r="F33" s="147" t="str">
        <f t="shared" si="2"/>
        <v/>
      </c>
      <c r="G33" s="236" t="str">
        <f t="shared" si="3"/>
        <v/>
      </c>
      <c r="I33" s="98" t="s">
        <v>131</v>
      </c>
      <c r="J33" s="453" t="s">
        <v>299</v>
      </c>
      <c r="K33" s="237" t="str">
        <f t="shared" si="5"/>
        <v/>
      </c>
      <c r="M33" s="37"/>
      <c r="N33" s="37"/>
      <c r="O33" s="37"/>
      <c r="P33" s="37"/>
      <c r="Q33" s="37"/>
    </row>
    <row r="34" spans="1:17" ht="11.25" customHeight="1">
      <c r="A34" s="147" t="str">
        <f t="shared" si="0"/>
        <v/>
      </c>
      <c r="B34" s="147" t="str">
        <f t="shared" si="1"/>
        <v/>
      </c>
      <c r="C34" s="236" t="str">
        <f t="shared" si="4"/>
        <v/>
      </c>
      <c r="D34" s="100" t="str">
        <f>""</f>
        <v/>
      </c>
      <c r="E34" s="98" t="str">
        <f t="shared" si="2"/>
        <v/>
      </c>
      <c r="F34" s="147" t="str">
        <f t="shared" si="2"/>
        <v/>
      </c>
      <c r="G34" s="236" t="str">
        <f t="shared" si="3"/>
        <v/>
      </c>
      <c r="I34" s="98" t="s">
        <v>131</v>
      </c>
      <c r="J34" s="453" t="s">
        <v>300</v>
      </c>
      <c r="K34" s="237" t="str">
        <f t="shared" si="5"/>
        <v/>
      </c>
      <c r="M34" s="37"/>
      <c r="N34" s="37"/>
      <c r="O34" s="37"/>
      <c r="P34" s="37"/>
      <c r="Q34" s="37"/>
    </row>
    <row r="35" spans="1:17" ht="11.25" customHeight="1">
      <c r="A35" s="147" t="str">
        <f t="shared" si="0"/>
        <v/>
      </c>
      <c r="B35" s="147" t="str">
        <f t="shared" si="1"/>
        <v/>
      </c>
      <c r="C35" s="236" t="str">
        <f t="shared" si="4"/>
        <v/>
      </c>
      <c r="D35" s="100" t="str">
        <f>""</f>
        <v/>
      </c>
      <c r="E35" s="98" t="str">
        <f t="shared" si="2"/>
        <v/>
      </c>
      <c r="F35" s="147" t="str">
        <f t="shared" si="2"/>
        <v/>
      </c>
      <c r="G35" s="236" t="str">
        <f t="shared" si="3"/>
        <v/>
      </c>
      <c r="I35" s="98" t="s">
        <v>131</v>
      </c>
      <c r="J35" s="453" t="s">
        <v>301</v>
      </c>
      <c r="K35" s="237" t="str">
        <f t="shared" si="5"/>
        <v/>
      </c>
      <c r="M35" s="37"/>
      <c r="N35" s="37"/>
      <c r="O35" s="37"/>
      <c r="P35" s="37"/>
      <c r="Q35" s="37"/>
    </row>
    <row r="36" spans="1:17" ht="11.25" customHeight="1">
      <c r="A36" s="100" t="str">
        <f>""</f>
        <v/>
      </c>
      <c r="B36" s="100" t="str">
        <f>""</f>
        <v/>
      </c>
      <c r="C36" s="100" t="str">
        <f>""</f>
        <v/>
      </c>
      <c r="D36" s="100" t="str">
        <f>""</f>
        <v/>
      </c>
      <c r="E36" s="100" t="str">
        <f>""</f>
        <v/>
      </c>
      <c r="F36" s="100" t="str">
        <f>""</f>
        <v/>
      </c>
      <c r="G36" s="100" t="str">
        <f>""</f>
        <v/>
      </c>
      <c r="I36" s="98" t="s">
        <v>131</v>
      </c>
      <c r="J36" s="453" t="s">
        <v>302</v>
      </c>
      <c r="K36" s="237" t="str">
        <f t="shared" si="5"/>
        <v/>
      </c>
      <c r="M36" s="37"/>
      <c r="N36" s="37"/>
      <c r="O36" s="37"/>
      <c r="P36" s="37"/>
      <c r="Q36" s="37"/>
    </row>
    <row r="37" spans="1:17" ht="11.25" customHeight="1">
      <c r="A37" s="100" t="str">
        <f>""</f>
        <v/>
      </c>
      <c r="B37" s="100" t="str">
        <f>""</f>
        <v/>
      </c>
      <c r="C37" s="100" t="str">
        <f>""</f>
        <v/>
      </c>
      <c r="D37" s="100" t="str">
        <f>""</f>
        <v/>
      </c>
      <c r="E37" s="100" t="str">
        <f>""</f>
        <v/>
      </c>
      <c r="F37" s="100" t="str">
        <f>""</f>
        <v/>
      </c>
      <c r="G37" s="100" t="str">
        <f>""</f>
        <v/>
      </c>
      <c r="I37" s="98" t="s">
        <v>131</v>
      </c>
      <c r="J37" s="453" t="s">
        <v>243</v>
      </c>
      <c r="K37" s="237" t="str">
        <f t="shared" si="5"/>
        <v/>
      </c>
      <c r="M37" s="37"/>
      <c r="N37" s="37"/>
      <c r="O37" s="37"/>
      <c r="P37" s="37"/>
      <c r="Q37" s="37"/>
    </row>
    <row r="38" spans="1:17" ht="11.25" customHeight="1">
      <c r="M38" s="37"/>
      <c r="N38" s="37"/>
      <c r="O38" s="37"/>
      <c r="P38" s="37"/>
      <c r="Q38" s="37"/>
    </row>
    <row r="39" spans="1:17" ht="11.25" customHeight="1" thickBot="1">
      <c r="B39" s="75" t="s">
        <v>218</v>
      </c>
      <c r="C39" s="37"/>
      <c r="D39" s="37"/>
      <c r="E39" s="37"/>
      <c r="F39" s="75" t="s">
        <v>218</v>
      </c>
      <c r="G39" s="37"/>
      <c r="H39" s="37"/>
      <c r="I39" s="37"/>
      <c r="J39" s="75" t="s">
        <v>219</v>
      </c>
      <c r="K39" s="37"/>
      <c r="L39" s="37"/>
      <c r="M39" s="37"/>
      <c r="N39" s="37"/>
      <c r="O39" s="37"/>
      <c r="P39" s="37"/>
      <c r="Q39" s="37"/>
    </row>
    <row r="40" spans="1:17" ht="11.25" customHeight="1" thickBot="1">
      <c r="B40" s="151" t="s">
        <v>128</v>
      </c>
      <c r="C40" s="150" t="s">
        <v>130</v>
      </c>
      <c r="D40" s="37"/>
      <c r="E40" s="37"/>
      <c r="F40" s="151" t="s">
        <v>129</v>
      </c>
      <c r="G40" s="150" t="s">
        <v>185</v>
      </c>
      <c r="H40" s="37"/>
      <c r="I40" s="37"/>
      <c r="J40" s="151" t="s">
        <v>19</v>
      </c>
      <c r="K40" s="150" t="s">
        <v>186</v>
      </c>
      <c r="L40" s="37"/>
    </row>
    <row r="41" spans="1:17" ht="11.25" customHeight="1">
      <c r="B41" s="37"/>
      <c r="C41" s="149" t="s">
        <v>220</v>
      </c>
      <c r="D41" s="37"/>
      <c r="E41" s="37"/>
      <c r="F41" s="37"/>
      <c r="G41" s="149" t="s">
        <v>220</v>
      </c>
      <c r="H41" s="37"/>
      <c r="I41" s="37"/>
      <c r="J41" s="37"/>
      <c r="K41" s="149" t="s">
        <v>56</v>
      </c>
      <c r="L41" s="149" t="s">
        <v>57</v>
      </c>
    </row>
    <row r="42" spans="1:17" ht="11.25" customHeight="1">
      <c r="B42" s="37"/>
      <c r="C42" s="149">
        <v>21.9</v>
      </c>
      <c r="D42" s="37"/>
      <c r="E42" s="37"/>
      <c r="F42" s="37"/>
      <c r="G42" s="150">
        <v>25.65</v>
      </c>
      <c r="H42" s="37"/>
      <c r="I42" s="37"/>
      <c r="J42" s="37"/>
      <c r="K42" s="150">
        <v>26.89</v>
      </c>
      <c r="L42" s="150">
        <v>25.88</v>
      </c>
    </row>
    <row r="43" spans="1:17" ht="11.25" customHeight="1">
      <c r="B43" s="37"/>
      <c r="C43" s="149">
        <v>20.46</v>
      </c>
      <c r="D43" s="37"/>
      <c r="E43" s="37"/>
      <c r="F43" s="37"/>
      <c r="G43" s="150">
        <v>23.64</v>
      </c>
      <c r="H43" s="37"/>
      <c r="I43" s="37"/>
      <c r="J43" s="37"/>
      <c r="K43" s="150">
        <v>24.77</v>
      </c>
      <c r="L43" s="150">
        <v>23.84</v>
      </c>
    </row>
    <row r="44" spans="1:17" ht="11.25" customHeight="1">
      <c r="B44" s="37"/>
      <c r="C44" s="149">
        <v>19.34</v>
      </c>
      <c r="D44" s="37"/>
      <c r="E44" s="37"/>
      <c r="F44" s="37"/>
      <c r="G44" s="150">
        <v>22.29</v>
      </c>
      <c r="H44" s="37"/>
      <c r="I44" s="37"/>
      <c r="J44" s="37"/>
      <c r="K44" s="150">
        <v>23.37</v>
      </c>
      <c r="L44" s="150">
        <v>22.5</v>
      </c>
    </row>
    <row r="45" spans="1:17" ht="11.25" customHeight="1">
      <c r="B45" s="37"/>
      <c r="C45" s="149">
        <v>18.11</v>
      </c>
      <c r="D45" s="37"/>
      <c r="E45" s="37"/>
      <c r="F45" s="37"/>
      <c r="G45" s="150">
        <v>20.96</v>
      </c>
      <c r="H45" s="37"/>
      <c r="I45" s="37"/>
      <c r="J45" s="37"/>
      <c r="K45" s="150">
        <v>21.97</v>
      </c>
      <c r="L45" s="150">
        <v>21.14</v>
      </c>
    </row>
    <row r="46" spans="1:17" ht="11.25" customHeight="1">
      <c r="B46" s="37"/>
      <c r="C46" s="149">
        <v>17.440000000000001</v>
      </c>
      <c r="D46" s="37"/>
      <c r="E46" s="37"/>
      <c r="F46" s="37"/>
      <c r="G46" s="150">
        <v>19.739999999999998</v>
      </c>
      <c r="H46" s="37"/>
      <c r="I46" s="37"/>
      <c r="J46" s="37"/>
      <c r="K46" s="150">
        <v>20.7</v>
      </c>
      <c r="L46" s="150">
        <v>19.899999999999999</v>
      </c>
    </row>
    <row r="47" spans="1:17" ht="11.25" customHeight="1">
      <c r="B47" s="37"/>
      <c r="C47" s="149">
        <v>16.829999999999998</v>
      </c>
      <c r="D47" s="37"/>
      <c r="E47" s="37"/>
      <c r="F47" s="37"/>
      <c r="G47" s="150">
        <v>19.399999999999999</v>
      </c>
      <c r="H47" s="37"/>
      <c r="I47" s="37"/>
      <c r="J47" s="37"/>
      <c r="K47" s="150">
        <v>20.329999999999998</v>
      </c>
      <c r="L47" s="150">
        <v>19.55</v>
      </c>
    </row>
    <row r="48" spans="1:17" ht="11.25" customHeight="1">
      <c r="B48" s="37"/>
      <c r="C48" s="149">
        <v>16.07</v>
      </c>
      <c r="D48" s="37"/>
      <c r="E48" s="37"/>
      <c r="F48" s="37"/>
      <c r="G48" s="150">
        <v>18.29</v>
      </c>
      <c r="H48" s="37"/>
      <c r="I48" s="37"/>
      <c r="J48" s="37"/>
      <c r="K48" s="150">
        <v>19.18</v>
      </c>
      <c r="L48" s="150">
        <v>18.45</v>
      </c>
    </row>
    <row r="49" spans="1:12" ht="11.25" customHeight="1">
      <c r="B49" s="37"/>
      <c r="C49" s="149">
        <v>15.81</v>
      </c>
      <c r="D49" s="37"/>
      <c r="E49" s="37"/>
      <c r="F49" s="37"/>
      <c r="G49" s="150">
        <v>17.75</v>
      </c>
      <c r="H49" s="37"/>
      <c r="I49" s="37"/>
      <c r="J49" s="37"/>
      <c r="K49" s="150">
        <v>18.600000000000001</v>
      </c>
      <c r="L49" s="150">
        <v>17.899999999999999</v>
      </c>
    </row>
    <row r="50" spans="1:12" ht="11.25" customHeight="1">
      <c r="B50" s="37"/>
      <c r="C50" s="149">
        <v>15.1</v>
      </c>
      <c r="D50" s="37"/>
      <c r="E50" s="37"/>
      <c r="F50" s="37"/>
      <c r="G50" s="150">
        <v>17.09</v>
      </c>
      <c r="H50" s="37"/>
      <c r="I50" s="37"/>
      <c r="J50" s="37"/>
      <c r="K50" s="150">
        <v>17.91</v>
      </c>
      <c r="L50" s="150">
        <v>17.23</v>
      </c>
    </row>
    <row r="51" spans="1:12" ht="11.25" customHeight="1">
      <c r="B51" s="37"/>
      <c r="C51" s="149">
        <v>14.48</v>
      </c>
      <c r="D51" s="37"/>
      <c r="E51" s="37"/>
      <c r="F51" s="37"/>
      <c r="G51" s="150">
        <v>16.63</v>
      </c>
      <c r="H51" s="37"/>
      <c r="I51" s="37"/>
      <c r="J51" s="37"/>
      <c r="K51" s="150">
        <v>17.43</v>
      </c>
      <c r="L51" s="150">
        <v>16.760000000000002</v>
      </c>
    </row>
    <row r="52" spans="1:12" ht="11.25" customHeight="1">
      <c r="B52" s="37"/>
      <c r="C52" s="149">
        <v>13.41</v>
      </c>
      <c r="D52" s="37"/>
      <c r="E52" s="37"/>
      <c r="F52" s="37"/>
      <c r="G52" s="150">
        <v>15.8</v>
      </c>
      <c r="H52" s="37"/>
      <c r="I52" s="37"/>
      <c r="J52" s="37"/>
      <c r="K52" s="150">
        <v>16.57</v>
      </c>
      <c r="L52" s="150">
        <v>15.93</v>
      </c>
    </row>
    <row r="53" spans="1:12" ht="11.25" customHeight="1">
      <c r="B53" s="37"/>
      <c r="C53" s="149">
        <v>12.43</v>
      </c>
      <c r="D53" s="37"/>
      <c r="E53" s="37"/>
      <c r="F53" s="37"/>
      <c r="G53" s="150">
        <v>14.98</v>
      </c>
      <c r="H53" s="37"/>
      <c r="I53" s="37"/>
      <c r="J53" s="37"/>
      <c r="K53" s="150">
        <v>15.7</v>
      </c>
      <c r="L53" s="150">
        <v>15.12</v>
      </c>
    </row>
    <row r="54" spans="1:12" ht="11.25" customHeight="1">
      <c r="B54" s="37"/>
      <c r="C54" s="37"/>
      <c r="D54" s="37"/>
      <c r="E54" s="37"/>
      <c r="F54" s="37"/>
      <c r="G54" s="150">
        <v>14.25</v>
      </c>
      <c r="H54" s="37"/>
      <c r="I54" s="37"/>
      <c r="J54" s="37"/>
      <c r="K54" s="150">
        <v>14.94</v>
      </c>
      <c r="L54" s="150">
        <v>14.38</v>
      </c>
    </row>
    <row r="55" spans="1:12" ht="11.25" customHeight="1">
      <c r="B55" s="37"/>
      <c r="C55" s="37"/>
      <c r="D55" s="37"/>
      <c r="E55" s="37"/>
      <c r="F55" s="37"/>
      <c r="G55" s="150">
        <v>13.61</v>
      </c>
      <c r="H55" s="37"/>
      <c r="I55" s="37"/>
      <c r="J55" s="37"/>
      <c r="K55" s="150">
        <v>14.27</v>
      </c>
      <c r="L55" s="150">
        <v>13.73</v>
      </c>
    </row>
    <row r="56" spans="1:12" ht="11.25" customHeight="1">
      <c r="B56" s="37"/>
      <c r="C56" s="37"/>
      <c r="D56" s="37"/>
      <c r="E56" s="37"/>
      <c r="F56" s="37"/>
      <c r="G56" s="37"/>
      <c r="H56" s="37"/>
      <c r="I56" s="37"/>
      <c r="J56" s="37"/>
      <c r="K56" s="37"/>
      <c r="L56" s="37"/>
    </row>
    <row r="57" spans="1:12" ht="11.25" customHeight="1" thickBot="1">
      <c r="B57" s="75" t="s">
        <v>202</v>
      </c>
      <c r="C57" s="230">
        <v>1.0349999999999999</v>
      </c>
      <c r="D57" s="37"/>
      <c r="E57" s="37"/>
      <c r="F57" s="75" t="s">
        <v>202</v>
      </c>
      <c r="G57" s="230">
        <v>1.0349999999999999</v>
      </c>
      <c r="H57" s="37"/>
      <c r="I57" s="37"/>
      <c r="J57" s="75" t="str">
        <f>'L Tab'!AH28</f>
        <v>ab 1.04.2011</v>
      </c>
      <c r="K57" s="230">
        <f>'L Tab'!AI23</f>
        <v>1.0149999999999999</v>
      </c>
      <c r="L57" s="37"/>
    </row>
    <row r="58" spans="1:12" ht="11.25" customHeight="1" thickBot="1">
      <c r="B58" s="151" t="s">
        <v>128</v>
      </c>
      <c r="C58" s="150" t="s">
        <v>130</v>
      </c>
      <c r="D58" s="150"/>
      <c r="E58" s="37"/>
      <c r="F58" s="151" t="s">
        <v>129</v>
      </c>
      <c r="G58" s="150" t="s">
        <v>185</v>
      </c>
      <c r="H58" s="150"/>
      <c r="I58" s="37"/>
      <c r="J58" s="151" t="s">
        <v>19</v>
      </c>
      <c r="K58" s="150" t="s">
        <v>186</v>
      </c>
      <c r="L58" s="37"/>
    </row>
    <row r="59" spans="1:12" ht="11.25" customHeight="1">
      <c r="A59" s="147" t="s">
        <v>276</v>
      </c>
      <c r="C59" s="149" t="s">
        <v>220</v>
      </c>
      <c r="D59" s="37"/>
      <c r="E59" s="98" t="s">
        <v>289</v>
      </c>
      <c r="G59" s="149" t="s">
        <v>220</v>
      </c>
      <c r="H59" s="37"/>
      <c r="I59" s="37"/>
      <c r="J59" s="37"/>
      <c r="K59" s="149" t="s">
        <v>56</v>
      </c>
      <c r="L59" s="149" t="s">
        <v>57</v>
      </c>
    </row>
    <row r="60" spans="1:12" ht="11.25" customHeight="1">
      <c r="A60" s="74" t="s">
        <v>66</v>
      </c>
      <c r="B60" s="277" t="s">
        <v>279</v>
      </c>
      <c r="C60" s="149">
        <f>ROUND(C42*$C$57,2)</f>
        <v>22.67</v>
      </c>
      <c r="D60" s="37"/>
      <c r="E60" s="98" t="s">
        <v>131</v>
      </c>
      <c r="F60" s="100" t="s">
        <v>290</v>
      </c>
      <c r="G60" s="150">
        <f t="shared" ref="G60:G73" si="6">ROUND(G42*$C$57,2)</f>
        <v>26.55</v>
      </c>
      <c r="H60" s="37"/>
      <c r="I60" s="37"/>
      <c r="J60" s="37"/>
      <c r="K60" s="150">
        <f>ROUND(K42*$K$57,2)</f>
        <v>27.29</v>
      </c>
      <c r="L60" s="150">
        <f>ROUND(L42*$K$57,2)</f>
        <v>26.27</v>
      </c>
    </row>
    <row r="61" spans="1:12" ht="11.25" customHeight="1">
      <c r="A61" s="74" t="s">
        <v>66</v>
      </c>
      <c r="B61" s="277" t="s">
        <v>280</v>
      </c>
      <c r="C61" s="149">
        <f t="shared" ref="C61:C71" si="7">ROUND(C43*$C$57,2)</f>
        <v>21.18</v>
      </c>
      <c r="D61" s="37"/>
      <c r="E61" s="98" t="s">
        <v>131</v>
      </c>
      <c r="F61" s="100" t="s">
        <v>291</v>
      </c>
      <c r="G61" s="150">
        <f t="shared" si="6"/>
        <v>24.47</v>
      </c>
      <c r="H61" s="37"/>
      <c r="I61" s="37"/>
      <c r="J61" s="37"/>
      <c r="K61" s="150">
        <f t="shared" ref="K61:L73" si="8">ROUND(K43*$K$57,2)</f>
        <v>25.14</v>
      </c>
      <c r="L61" s="150">
        <f t="shared" si="8"/>
        <v>24.2</v>
      </c>
    </row>
    <row r="62" spans="1:12" ht="11.25" customHeight="1">
      <c r="A62" s="74" t="s">
        <v>66</v>
      </c>
      <c r="B62" s="277" t="s">
        <v>281</v>
      </c>
      <c r="C62" s="149">
        <f t="shared" si="7"/>
        <v>20.02</v>
      </c>
      <c r="D62" s="37"/>
      <c r="E62" s="98" t="s">
        <v>131</v>
      </c>
      <c r="F62" s="100" t="s">
        <v>292</v>
      </c>
      <c r="G62" s="150">
        <f t="shared" si="6"/>
        <v>23.07</v>
      </c>
      <c r="H62" s="37"/>
      <c r="I62" s="37"/>
      <c r="J62" s="37"/>
      <c r="K62" s="150">
        <f t="shared" si="8"/>
        <v>23.72</v>
      </c>
      <c r="L62" s="150">
        <f t="shared" si="8"/>
        <v>22.84</v>
      </c>
    </row>
    <row r="63" spans="1:12" ht="11.25" customHeight="1">
      <c r="A63" s="74" t="s">
        <v>66</v>
      </c>
      <c r="B63" s="277" t="s">
        <v>282</v>
      </c>
      <c r="C63" s="149">
        <f t="shared" si="7"/>
        <v>18.739999999999998</v>
      </c>
      <c r="D63" s="37"/>
      <c r="E63" s="98" t="s">
        <v>131</v>
      </c>
      <c r="F63" s="100" t="s">
        <v>293</v>
      </c>
      <c r="G63" s="150">
        <f t="shared" si="6"/>
        <v>21.69</v>
      </c>
      <c r="H63" s="37"/>
      <c r="I63" s="37"/>
      <c r="J63" s="37"/>
      <c r="K63" s="150">
        <f t="shared" si="8"/>
        <v>22.3</v>
      </c>
      <c r="L63" s="150">
        <f t="shared" si="8"/>
        <v>21.46</v>
      </c>
    </row>
    <row r="64" spans="1:12" ht="11.25" customHeight="1">
      <c r="A64" s="74" t="s">
        <v>66</v>
      </c>
      <c r="B64" s="277" t="s">
        <v>283</v>
      </c>
      <c r="C64" s="149">
        <f t="shared" si="7"/>
        <v>18.05</v>
      </c>
      <c r="D64" s="37"/>
      <c r="E64" s="98" t="s">
        <v>131</v>
      </c>
      <c r="F64" s="100" t="s">
        <v>294</v>
      </c>
      <c r="G64" s="150">
        <f t="shared" si="6"/>
        <v>20.43</v>
      </c>
      <c r="H64" s="37"/>
      <c r="I64" s="37"/>
      <c r="J64" s="37"/>
      <c r="K64" s="150">
        <f t="shared" si="8"/>
        <v>21.01</v>
      </c>
      <c r="L64" s="150">
        <f t="shared" si="8"/>
        <v>20.2</v>
      </c>
    </row>
    <row r="65" spans="1:17" ht="11.25" customHeight="1">
      <c r="A65" s="74" t="s">
        <v>66</v>
      </c>
      <c r="B65" s="277" t="s">
        <v>284</v>
      </c>
      <c r="C65" s="149">
        <f t="shared" si="7"/>
        <v>17.420000000000002</v>
      </c>
      <c r="D65" s="37"/>
      <c r="E65" s="98" t="s">
        <v>131</v>
      </c>
      <c r="F65" s="100" t="s">
        <v>295</v>
      </c>
      <c r="G65" s="150">
        <f t="shared" si="6"/>
        <v>20.079999999999998</v>
      </c>
      <c r="H65" s="37"/>
      <c r="I65" s="37"/>
      <c r="J65" s="37"/>
      <c r="K65" s="150">
        <f t="shared" si="8"/>
        <v>20.63</v>
      </c>
      <c r="L65" s="150">
        <f t="shared" si="8"/>
        <v>19.84</v>
      </c>
    </row>
    <row r="66" spans="1:17" ht="11.25" customHeight="1">
      <c r="A66" s="74" t="s">
        <v>66</v>
      </c>
      <c r="B66" s="277" t="s">
        <v>251</v>
      </c>
      <c r="C66" s="149">
        <f t="shared" si="7"/>
        <v>16.63</v>
      </c>
      <c r="D66" s="37"/>
      <c r="E66" s="98" t="s">
        <v>131</v>
      </c>
      <c r="F66" s="100" t="s">
        <v>296</v>
      </c>
      <c r="G66" s="150">
        <f t="shared" si="6"/>
        <v>18.93</v>
      </c>
      <c r="H66" s="37"/>
      <c r="I66" s="37"/>
      <c r="J66" s="37"/>
      <c r="K66" s="150">
        <f t="shared" si="8"/>
        <v>19.47</v>
      </c>
      <c r="L66" s="150">
        <f t="shared" si="8"/>
        <v>18.73</v>
      </c>
    </row>
    <row r="67" spans="1:17" ht="11.25" customHeight="1">
      <c r="A67" s="74" t="s">
        <v>66</v>
      </c>
      <c r="B67" s="277" t="s">
        <v>252</v>
      </c>
      <c r="C67" s="149">
        <f t="shared" si="7"/>
        <v>16.36</v>
      </c>
      <c r="D67" s="37"/>
      <c r="E67" s="98" t="s">
        <v>131</v>
      </c>
      <c r="F67" s="100" t="s">
        <v>297</v>
      </c>
      <c r="G67" s="150">
        <f t="shared" si="6"/>
        <v>18.37</v>
      </c>
      <c r="H67" s="37"/>
      <c r="I67" s="37"/>
      <c r="J67" s="37"/>
      <c r="K67" s="150">
        <f t="shared" si="8"/>
        <v>18.88</v>
      </c>
      <c r="L67" s="150">
        <f t="shared" si="8"/>
        <v>18.170000000000002</v>
      </c>
    </row>
    <row r="68" spans="1:17" ht="11.25" customHeight="1">
      <c r="A68" s="74" t="s">
        <v>66</v>
      </c>
      <c r="B68" s="277" t="s">
        <v>285</v>
      </c>
      <c r="C68" s="149">
        <f t="shared" si="7"/>
        <v>15.63</v>
      </c>
      <c r="D68" s="37"/>
      <c r="E68" s="98" t="s">
        <v>131</v>
      </c>
      <c r="F68" s="100" t="s">
        <v>298</v>
      </c>
      <c r="G68" s="150">
        <f t="shared" si="6"/>
        <v>17.690000000000001</v>
      </c>
      <c r="H68" s="37"/>
      <c r="I68" s="37"/>
      <c r="J68" s="37"/>
      <c r="K68" s="150">
        <f t="shared" si="8"/>
        <v>18.18</v>
      </c>
      <c r="L68" s="150">
        <f t="shared" si="8"/>
        <v>17.489999999999998</v>
      </c>
    </row>
    <row r="69" spans="1:17" ht="11.25" customHeight="1">
      <c r="A69" s="74" t="s">
        <v>66</v>
      </c>
      <c r="B69" s="277" t="s">
        <v>286</v>
      </c>
      <c r="C69" s="149">
        <f t="shared" si="7"/>
        <v>14.99</v>
      </c>
      <c r="D69" s="37"/>
      <c r="E69" s="98" t="s">
        <v>131</v>
      </c>
      <c r="F69" s="100" t="s">
        <v>299</v>
      </c>
      <c r="G69" s="150">
        <f t="shared" si="6"/>
        <v>17.21</v>
      </c>
      <c r="H69" s="37"/>
      <c r="I69" s="37"/>
      <c r="J69" s="37"/>
      <c r="K69" s="150">
        <f t="shared" si="8"/>
        <v>17.690000000000001</v>
      </c>
      <c r="L69" s="150">
        <f t="shared" si="8"/>
        <v>17.010000000000002</v>
      </c>
    </row>
    <row r="70" spans="1:17" ht="11.25" customHeight="1">
      <c r="A70" s="74" t="s">
        <v>66</v>
      </c>
      <c r="B70" s="277" t="s">
        <v>287</v>
      </c>
      <c r="C70" s="149">
        <f t="shared" si="7"/>
        <v>13.88</v>
      </c>
      <c r="D70" s="37"/>
      <c r="E70" s="98" t="s">
        <v>131</v>
      </c>
      <c r="F70" s="100" t="s">
        <v>300</v>
      </c>
      <c r="G70" s="150">
        <f t="shared" si="6"/>
        <v>16.350000000000001</v>
      </c>
      <c r="H70" s="37"/>
      <c r="I70" s="37"/>
      <c r="J70" s="37"/>
      <c r="K70" s="150">
        <f t="shared" si="8"/>
        <v>16.82</v>
      </c>
      <c r="L70" s="150">
        <f t="shared" si="8"/>
        <v>16.170000000000002</v>
      </c>
    </row>
    <row r="71" spans="1:17" ht="11.25" customHeight="1">
      <c r="A71" s="74" t="s">
        <v>66</v>
      </c>
      <c r="B71" s="277" t="s">
        <v>288</v>
      </c>
      <c r="C71" s="149">
        <f t="shared" si="7"/>
        <v>12.87</v>
      </c>
      <c r="D71" s="37"/>
      <c r="E71" s="98" t="s">
        <v>131</v>
      </c>
      <c r="F71" s="100" t="s">
        <v>301</v>
      </c>
      <c r="G71" s="150">
        <f t="shared" si="6"/>
        <v>15.5</v>
      </c>
      <c r="H71" s="37"/>
      <c r="I71" s="37"/>
      <c r="J71" s="37"/>
      <c r="K71" s="150">
        <f t="shared" si="8"/>
        <v>15.94</v>
      </c>
      <c r="L71" s="150">
        <f t="shared" si="8"/>
        <v>15.35</v>
      </c>
    </row>
    <row r="72" spans="1:17" ht="11.25" customHeight="1">
      <c r="B72" s="37"/>
      <c r="C72" s="37"/>
      <c r="D72" s="37"/>
      <c r="E72" s="98" t="s">
        <v>131</v>
      </c>
      <c r="F72" s="100" t="s">
        <v>302</v>
      </c>
      <c r="G72" s="150">
        <f t="shared" si="6"/>
        <v>14.75</v>
      </c>
      <c r="H72" s="37"/>
      <c r="I72" s="37"/>
      <c r="J72" s="37"/>
      <c r="K72" s="150">
        <f t="shared" si="8"/>
        <v>15.16</v>
      </c>
      <c r="L72" s="150">
        <f t="shared" si="8"/>
        <v>14.6</v>
      </c>
    </row>
    <row r="73" spans="1:17" ht="11.25" customHeight="1">
      <c r="B73" s="37"/>
      <c r="C73" s="37"/>
      <c r="D73" s="37"/>
      <c r="E73" s="98" t="s">
        <v>131</v>
      </c>
      <c r="F73" s="100" t="s">
        <v>243</v>
      </c>
      <c r="G73" s="150">
        <f t="shared" si="6"/>
        <v>14.09</v>
      </c>
      <c r="H73" s="37"/>
      <c r="I73" s="37"/>
      <c r="J73" s="37"/>
      <c r="K73" s="150">
        <f t="shared" si="8"/>
        <v>14.48</v>
      </c>
      <c r="L73" s="150">
        <f t="shared" si="8"/>
        <v>13.94</v>
      </c>
    </row>
    <row r="74" spans="1:17" ht="11.25" customHeight="1">
      <c r="B74" s="37"/>
      <c r="C74" s="37"/>
      <c r="D74" s="37"/>
      <c r="E74" s="37"/>
      <c r="F74" s="37"/>
      <c r="G74" s="37"/>
      <c r="H74" s="37"/>
      <c r="I74" s="37"/>
      <c r="J74" s="37"/>
      <c r="K74" s="37"/>
      <c r="L74" s="37"/>
    </row>
    <row r="75" spans="1:17" ht="11.25" customHeight="1" thickBot="1">
      <c r="B75" s="75" t="s">
        <v>215</v>
      </c>
      <c r="C75" s="230">
        <v>1.014</v>
      </c>
      <c r="D75" s="37"/>
      <c r="E75" s="37"/>
      <c r="F75" s="75" t="s">
        <v>215</v>
      </c>
      <c r="G75" s="230">
        <v>1.014</v>
      </c>
      <c r="H75" s="37"/>
      <c r="I75" s="37"/>
      <c r="J75" s="75" t="str">
        <f>'L Tab'!AP28</f>
        <v>ab 1.01.2012</v>
      </c>
      <c r="K75" s="230">
        <f>'L Tab'!AQ23</f>
        <v>1.0189999999999999</v>
      </c>
      <c r="L75" s="37"/>
      <c r="N75" s="115" t="str">
        <f>'L Tab'!AP41</f>
        <v>ab 1.03.2012</v>
      </c>
      <c r="O75" s="402">
        <f>'L Tab'!AQ36</f>
        <v>1.026</v>
      </c>
      <c r="P75" s="403"/>
      <c r="Q75" s="403"/>
    </row>
    <row r="76" spans="1:17" ht="11.25" customHeight="1" thickBot="1">
      <c r="B76" s="151" t="s">
        <v>128</v>
      </c>
      <c r="C76" s="150" t="s">
        <v>130</v>
      </c>
      <c r="D76" s="150"/>
      <c r="E76" s="37"/>
      <c r="F76" s="151" t="s">
        <v>129</v>
      </c>
      <c r="G76" s="150" t="s">
        <v>185</v>
      </c>
      <c r="H76" s="150"/>
      <c r="I76" s="37"/>
      <c r="J76" s="151" t="s">
        <v>19</v>
      </c>
      <c r="K76" s="150" t="s">
        <v>186</v>
      </c>
      <c r="L76" s="37"/>
      <c r="N76" s="404" t="s">
        <v>232</v>
      </c>
      <c r="O76" s="405"/>
      <c r="P76" s="403"/>
      <c r="Q76" s="403"/>
    </row>
    <row r="77" spans="1:17" ht="11.25" customHeight="1">
      <c r="A77" s="147" t="s">
        <v>276</v>
      </c>
      <c r="C77" s="149" t="s">
        <v>220</v>
      </c>
      <c r="D77" s="37"/>
      <c r="E77" s="98" t="s">
        <v>289</v>
      </c>
      <c r="G77" s="149" t="s">
        <v>220</v>
      </c>
      <c r="H77" s="37"/>
      <c r="I77" s="37"/>
      <c r="J77" s="37"/>
      <c r="K77" s="149" t="s">
        <v>56</v>
      </c>
      <c r="L77" s="149" t="s">
        <v>57</v>
      </c>
      <c r="N77" s="116"/>
      <c r="O77" s="406" t="s">
        <v>201</v>
      </c>
      <c r="P77" s="403"/>
      <c r="Q77" s="403"/>
    </row>
    <row r="78" spans="1:17" ht="11.25" customHeight="1">
      <c r="A78" s="74" t="s">
        <v>66</v>
      </c>
      <c r="B78" s="277" t="s">
        <v>279</v>
      </c>
      <c r="C78" s="149">
        <f>ROUND(C60*$C$75,2)</f>
        <v>22.99</v>
      </c>
      <c r="D78" s="37"/>
      <c r="E78" s="98" t="s">
        <v>131</v>
      </c>
      <c r="F78" s="100" t="s">
        <v>290</v>
      </c>
      <c r="G78" s="150">
        <f t="shared" ref="G78:G91" si="9">ROUND(G60*$C$75,2)</f>
        <v>26.92</v>
      </c>
      <c r="H78" s="37"/>
      <c r="I78" s="37"/>
      <c r="J78" s="37"/>
      <c r="K78" s="150">
        <f>ROUND(K60*$K$75,2)</f>
        <v>27.81</v>
      </c>
      <c r="L78" s="150">
        <f>ROUND(L60*$K$75,2)</f>
        <v>26.77</v>
      </c>
      <c r="N78" s="116"/>
      <c r="O78" s="405">
        <f>ROUND(K60*$O$75,2)</f>
        <v>28</v>
      </c>
      <c r="P78" s="403"/>
      <c r="Q78" s="403"/>
    </row>
    <row r="79" spans="1:17" ht="11.25" customHeight="1">
      <c r="A79" s="74" t="s">
        <v>66</v>
      </c>
      <c r="B79" s="277" t="s">
        <v>280</v>
      </c>
      <c r="C79" s="149">
        <f t="shared" ref="C79:C89" si="10">ROUND(C61*$C$75,2)</f>
        <v>21.48</v>
      </c>
      <c r="D79" s="37"/>
      <c r="E79" s="98" t="s">
        <v>131</v>
      </c>
      <c r="F79" s="100" t="s">
        <v>291</v>
      </c>
      <c r="G79" s="150">
        <f t="shared" si="9"/>
        <v>24.81</v>
      </c>
      <c r="H79" s="37"/>
      <c r="I79" s="37"/>
      <c r="J79" s="37"/>
      <c r="K79" s="150">
        <f t="shared" ref="K79:K91" si="11">ROUND(K61*$K$75,2)</f>
        <v>25.62</v>
      </c>
      <c r="L79" s="150">
        <f t="shared" ref="L79:L91" si="12">ROUND(L61*$K$75,2)</f>
        <v>24.66</v>
      </c>
      <c r="N79" s="116"/>
      <c r="O79" s="405">
        <f t="shared" ref="O79:O91" si="13">ROUND(K61*$O$75,2)</f>
        <v>25.79</v>
      </c>
      <c r="P79" s="403"/>
      <c r="Q79" s="403"/>
    </row>
    <row r="80" spans="1:17" ht="11.25" customHeight="1">
      <c r="A80" s="74" t="s">
        <v>66</v>
      </c>
      <c r="B80" s="277" t="s">
        <v>281</v>
      </c>
      <c r="C80" s="149">
        <f t="shared" si="10"/>
        <v>20.3</v>
      </c>
      <c r="D80" s="37"/>
      <c r="E80" s="98" t="s">
        <v>131</v>
      </c>
      <c r="F80" s="100" t="s">
        <v>292</v>
      </c>
      <c r="G80" s="150">
        <f t="shared" si="9"/>
        <v>23.39</v>
      </c>
      <c r="H80" s="37"/>
      <c r="I80" s="37"/>
      <c r="J80" s="37"/>
      <c r="K80" s="150">
        <f t="shared" si="11"/>
        <v>24.17</v>
      </c>
      <c r="L80" s="150">
        <f t="shared" si="12"/>
        <v>23.27</v>
      </c>
      <c r="N80" s="116"/>
      <c r="O80" s="405">
        <f t="shared" si="13"/>
        <v>24.34</v>
      </c>
      <c r="P80" s="403"/>
      <c r="Q80" s="403"/>
    </row>
    <row r="81" spans="1:17" ht="11.25" customHeight="1">
      <c r="A81" s="74" t="s">
        <v>66</v>
      </c>
      <c r="B81" s="277" t="s">
        <v>282</v>
      </c>
      <c r="C81" s="149">
        <f t="shared" si="10"/>
        <v>19</v>
      </c>
      <c r="D81" s="37"/>
      <c r="E81" s="98" t="s">
        <v>131</v>
      </c>
      <c r="F81" s="100" t="s">
        <v>293</v>
      </c>
      <c r="G81" s="150">
        <f t="shared" si="9"/>
        <v>21.99</v>
      </c>
      <c r="H81" s="37"/>
      <c r="I81" s="37"/>
      <c r="J81" s="37"/>
      <c r="K81" s="150">
        <f t="shared" si="11"/>
        <v>22.72</v>
      </c>
      <c r="L81" s="150">
        <f t="shared" si="12"/>
        <v>21.87</v>
      </c>
      <c r="N81" s="116"/>
      <c r="O81" s="405">
        <f t="shared" si="13"/>
        <v>22.88</v>
      </c>
      <c r="P81" s="403"/>
      <c r="Q81" s="403"/>
    </row>
    <row r="82" spans="1:17" ht="11.25" customHeight="1">
      <c r="A82" s="74" t="s">
        <v>66</v>
      </c>
      <c r="B82" s="277" t="s">
        <v>283</v>
      </c>
      <c r="C82" s="149">
        <f t="shared" si="10"/>
        <v>18.3</v>
      </c>
      <c r="D82" s="37"/>
      <c r="E82" s="98" t="s">
        <v>131</v>
      </c>
      <c r="F82" s="100" t="s">
        <v>294</v>
      </c>
      <c r="G82" s="150">
        <f t="shared" si="9"/>
        <v>20.72</v>
      </c>
      <c r="H82" s="37"/>
      <c r="I82" s="37"/>
      <c r="J82" s="37"/>
      <c r="K82" s="150">
        <f t="shared" si="11"/>
        <v>21.41</v>
      </c>
      <c r="L82" s="150">
        <f t="shared" si="12"/>
        <v>20.58</v>
      </c>
      <c r="N82" s="116"/>
      <c r="O82" s="405">
        <f t="shared" si="13"/>
        <v>21.56</v>
      </c>
      <c r="P82" s="403"/>
      <c r="Q82" s="403"/>
    </row>
    <row r="83" spans="1:17" ht="11.25" customHeight="1">
      <c r="A83" s="74" t="s">
        <v>66</v>
      </c>
      <c r="B83" s="277" t="s">
        <v>284</v>
      </c>
      <c r="C83" s="149">
        <f t="shared" si="10"/>
        <v>17.66</v>
      </c>
      <c r="D83" s="37"/>
      <c r="E83" s="98" t="s">
        <v>131</v>
      </c>
      <c r="F83" s="100" t="s">
        <v>295</v>
      </c>
      <c r="G83" s="150">
        <f t="shared" si="9"/>
        <v>20.36</v>
      </c>
      <c r="H83" s="37"/>
      <c r="I83" s="37"/>
      <c r="J83" s="37"/>
      <c r="K83" s="150">
        <f t="shared" si="11"/>
        <v>21.02</v>
      </c>
      <c r="L83" s="150">
        <f t="shared" si="12"/>
        <v>20.22</v>
      </c>
      <c r="N83" s="116"/>
      <c r="O83" s="405">
        <f t="shared" si="13"/>
        <v>21.17</v>
      </c>
      <c r="P83" s="403"/>
      <c r="Q83" s="403"/>
    </row>
    <row r="84" spans="1:17" ht="11.25" customHeight="1">
      <c r="A84" s="74" t="s">
        <v>66</v>
      </c>
      <c r="B84" s="277" t="s">
        <v>251</v>
      </c>
      <c r="C84" s="149">
        <f t="shared" si="10"/>
        <v>16.86</v>
      </c>
      <c r="D84" s="37"/>
      <c r="E84" s="98" t="s">
        <v>131</v>
      </c>
      <c r="F84" s="100" t="s">
        <v>296</v>
      </c>
      <c r="G84" s="150">
        <f t="shared" si="9"/>
        <v>19.2</v>
      </c>
      <c r="H84" s="37"/>
      <c r="I84" s="37"/>
      <c r="J84" s="37"/>
      <c r="K84" s="150">
        <f t="shared" si="11"/>
        <v>19.84</v>
      </c>
      <c r="L84" s="150">
        <f t="shared" si="12"/>
        <v>19.09</v>
      </c>
      <c r="N84" s="116"/>
      <c r="O84" s="405">
        <f t="shared" si="13"/>
        <v>19.98</v>
      </c>
      <c r="P84" s="403"/>
      <c r="Q84" s="403"/>
    </row>
    <row r="85" spans="1:17" ht="11.25" customHeight="1">
      <c r="A85" s="74" t="s">
        <v>66</v>
      </c>
      <c r="B85" s="277" t="s">
        <v>252</v>
      </c>
      <c r="C85" s="149">
        <f t="shared" si="10"/>
        <v>16.59</v>
      </c>
      <c r="D85" s="37"/>
      <c r="E85" s="98" t="s">
        <v>131</v>
      </c>
      <c r="F85" s="100" t="s">
        <v>297</v>
      </c>
      <c r="G85" s="150">
        <f t="shared" si="9"/>
        <v>18.63</v>
      </c>
      <c r="H85" s="37"/>
      <c r="I85" s="37"/>
      <c r="J85" s="37"/>
      <c r="K85" s="150">
        <f t="shared" si="11"/>
        <v>19.239999999999998</v>
      </c>
      <c r="L85" s="150">
        <f t="shared" si="12"/>
        <v>18.52</v>
      </c>
      <c r="N85" s="116"/>
      <c r="O85" s="405">
        <f t="shared" si="13"/>
        <v>19.37</v>
      </c>
      <c r="P85" s="403"/>
      <c r="Q85" s="403"/>
    </row>
    <row r="86" spans="1:17" ht="11.25" customHeight="1">
      <c r="A86" s="74" t="s">
        <v>66</v>
      </c>
      <c r="B86" s="277" t="s">
        <v>285</v>
      </c>
      <c r="C86" s="149">
        <f t="shared" si="10"/>
        <v>15.85</v>
      </c>
      <c r="D86" s="37"/>
      <c r="E86" s="98" t="s">
        <v>131</v>
      </c>
      <c r="F86" s="100" t="s">
        <v>298</v>
      </c>
      <c r="G86" s="150">
        <f t="shared" si="9"/>
        <v>17.940000000000001</v>
      </c>
      <c r="H86" s="37"/>
      <c r="I86" s="37"/>
      <c r="J86" s="37"/>
      <c r="K86" s="150">
        <f t="shared" si="11"/>
        <v>18.53</v>
      </c>
      <c r="L86" s="150">
        <f t="shared" si="12"/>
        <v>17.82</v>
      </c>
      <c r="N86" s="116"/>
      <c r="O86" s="405">
        <f t="shared" si="13"/>
        <v>18.649999999999999</v>
      </c>
      <c r="P86" s="403"/>
      <c r="Q86" s="403"/>
    </row>
    <row r="87" spans="1:17" ht="11.25" customHeight="1">
      <c r="A87" s="74" t="s">
        <v>66</v>
      </c>
      <c r="B87" s="277" t="s">
        <v>286</v>
      </c>
      <c r="C87" s="149">
        <f t="shared" si="10"/>
        <v>15.2</v>
      </c>
      <c r="D87" s="37"/>
      <c r="E87" s="98" t="s">
        <v>131</v>
      </c>
      <c r="F87" s="100" t="s">
        <v>299</v>
      </c>
      <c r="G87" s="150">
        <f t="shared" si="9"/>
        <v>17.45</v>
      </c>
      <c r="H87" s="37"/>
      <c r="I87" s="37"/>
      <c r="J87" s="37"/>
      <c r="K87" s="150">
        <f t="shared" si="11"/>
        <v>18.03</v>
      </c>
      <c r="L87" s="150">
        <f t="shared" si="12"/>
        <v>17.329999999999998</v>
      </c>
      <c r="N87" s="116"/>
      <c r="O87" s="405">
        <f t="shared" si="13"/>
        <v>18.149999999999999</v>
      </c>
      <c r="P87" s="403"/>
      <c r="Q87" s="403"/>
    </row>
    <row r="88" spans="1:17" ht="11.25" customHeight="1">
      <c r="A88" s="74" t="s">
        <v>66</v>
      </c>
      <c r="B88" s="277" t="s">
        <v>287</v>
      </c>
      <c r="C88" s="149">
        <f t="shared" si="10"/>
        <v>14.07</v>
      </c>
      <c r="D88" s="37"/>
      <c r="E88" s="98" t="s">
        <v>131</v>
      </c>
      <c r="F88" s="100" t="s">
        <v>300</v>
      </c>
      <c r="G88" s="150">
        <f t="shared" si="9"/>
        <v>16.579999999999998</v>
      </c>
      <c r="H88" s="37"/>
      <c r="I88" s="37"/>
      <c r="J88" s="37"/>
      <c r="K88" s="150">
        <f t="shared" si="11"/>
        <v>17.14</v>
      </c>
      <c r="L88" s="150">
        <f t="shared" si="12"/>
        <v>16.48</v>
      </c>
      <c r="N88" s="116"/>
      <c r="O88" s="405">
        <f t="shared" si="13"/>
        <v>17.260000000000002</v>
      </c>
      <c r="P88" s="403"/>
      <c r="Q88" s="403"/>
    </row>
    <row r="89" spans="1:17" ht="11.25" customHeight="1">
      <c r="A89" s="74" t="s">
        <v>66</v>
      </c>
      <c r="B89" s="277" t="s">
        <v>288</v>
      </c>
      <c r="C89" s="149">
        <f t="shared" si="10"/>
        <v>13.05</v>
      </c>
      <c r="D89" s="37"/>
      <c r="E89" s="98" t="s">
        <v>131</v>
      </c>
      <c r="F89" s="100" t="s">
        <v>301</v>
      </c>
      <c r="G89" s="150">
        <f t="shared" si="9"/>
        <v>15.72</v>
      </c>
      <c r="H89" s="37"/>
      <c r="I89" s="37"/>
      <c r="J89" s="37"/>
      <c r="K89" s="150">
        <f t="shared" si="11"/>
        <v>16.239999999999998</v>
      </c>
      <c r="L89" s="150">
        <f t="shared" si="12"/>
        <v>15.64</v>
      </c>
      <c r="N89" s="116"/>
      <c r="O89" s="405">
        <f t="shared" si="13"/>
        <v>16.350000000000001</v>
      </c>
      <c r="P89" s="403"/>
      <c r="Q89" s="403"/>
    </row>
    <row r="90" spans="1:17" ht="11.25" customHeight="1">
      <c r="B90" s="37"/>
      <c r="C90" s="37"/>
      <c r="D90" s="37"/>
      <c r="E90" s="98" t="s">
        <v>131</v>
      </c>
      <c r="F90" s="100" t="s">
        <v>302</v>
      </c>
      <c r="G90" s="150">
        <f t="shared" si="9"/>
        <v>14.96</v>
      </c>
      <c r="H90" s="37"/>
      <c r="I90" s="37"/>
      <c r="J90" s="37"/>
      <c r="K90" s="150">
        <f t="shared" si="11"/>
        <v>15.45</v>
      </c>
      <c r="L90" s="150">
        <f t="shared" si="12"/>
        <v>14.88</v>
      </c>
      <c r="N90" s="116"/>
      <c r="O90" s="405">
        <f t="shared" si="13"/>
        <v>15.55</v>
      </c>
      <c r="P90" s="403"/>
      <c r="Q90" s="403"/>
    </row>
    <row r="91" spans="1:17" ht="11.25" customHeight="1">
      <c r="B91" s="37"/>
      <c r="C91" s="37"/>
      <c r="D91" s="37"/>
      <c r="E91" s="98" t="s">
        <v>131</v>
      </c>
      <c r="F91" s="100" t="s">
        <v>243</v>
      </c>
      <c r="G91" s="150">
        <f t="shared" si="9"/>
        <v>14.29</v>
      </c>
      <c r="H91" s="37"/>
      <c r="I91" s="37"/>
      <c r="J91" s="37"/>
      <c r="K91" s="150">
        <f t="shared" si="11"/>
        <v>14.76</v>
      </c>
      <c r="L91" s="150">
        <f t="shared" si="12"/>
        <v>14.2</v>
      </c>
      <c r="N91" s="116"/>
      <c r="O91" s="405">
        <f t="shared" si="13"/>
        <v>14.86</v>
      </c>
      <c r="P91" s="403"/>
      <c r="Q91" s="403"/>
    </row>
    <row r="92" spans="1:17" ht="11.25" customHeight="1">
      <c r="B92" s="37"/>
      <c r="C92" s="37"/>
      <c r="D92" s="37"/>
      <c r="E92" s="37"/>
      <c r="F92" s="37"/>
      <c r="G92" s="37"/>
      <c r="H92" s="37"/>
      <c r="I92" s="37"/>
      <c r="J92" s="37"/>
      <c r="K92" s="37"/>
      <c r="L92" s="37"/>
      <c r="N92" s="116"/>
      <c r="O92" s="116"/>
      <c r="P92" s="403"/>
      <c r="Q92" s="403"/>
    </row>
    <row r="93" spans="1:17" ht="11.25" customHeight="1" thickBot="1">
      <c r="B93" s="75" t="s">
        <v>216</v>
      </c>
      <c r="C93" s="230">
        <v>1.014</v>
      </c>
      <c r="D93" s="37"/>
      <c r="E93" s="37"/>
      <c r="F93" s="75" t="s">
        <v>216</v>
      </c>
      <c r="G93" s="230">
        <v>1.014</v>
      </c>
      <c r="H93" s="37"/>
      <c r="I93" s="37"/>
      <c r="J93" s="75" t="str">
        <f>'L Tab'!AX28</f>
        <v>ab 1.01.2013</v>
      </c>
      <c r="K93" s="230">
        <f>'L Tab'!AY23</f>
        <v>1.0265</v>
      </c>
      <c r="L93" s="37"/>
      <c r="N93" s="115" t="str">
        <f>'L Tab'!AX41</f>
        <v>ab 1.07.2013</v>
      </c>
      <c r="O93" s="402">
        <f>'L Tab'!AY36</f>
        <v>1.028</v>
      </c>
      <c r="P93" s="403"/>
      <c r="Q93" s="403"/>
    </row>
    <row r="94" spans="1:17" ht="11.25" customHeight="1" thickBot="1">
      <c r="B94" s="151" t="s">
        <v>128</v>
      </c>
      <c r="C94" s="150" t="s">
        <v>130</v>
      </c>
      <c r="D94" s="150"/>
      <c r="E94" s="37"/>
      <c r="F94" s="151" t="s">
        <v>129</v>
      </c>
      <c r="G94" s="150" t="s">
        <v>185</v>
      </c>
      <c r="H94" s="150"/>
      <c r="I94" s="37"/>
      <c r="J94" s="151" t="s">
        <v>19</v>
      </c>
      <c r="K94" s="150" t="s">
        <v>186</v>
      </c>
      <c r="L94" s="37"/>
      <c r="N94" s="404" t="s">
        <v>232</v>
      </c>
      <c r="O94" s="405"/>
      <c r="P94" s="403"/>
      <c r="Q94" s="403"/>
    </row>
    <row r="95" spans="1:17" ht="11.25" customHeight="1">
      <c r="A95" s="147" t="s">
        <v>276</v>
      </c>
      <c r="C95" s="149" t="s">
        <v>220</v>
      </c>
      <c r="D95" s="37"/>
      <c r="E95" s="98" t="s">
        <v>289</v>
      </c>
      <c r="G95" s="149" t="s">
        <v>220</v>
      </c>
      <c r="H95" s="37"/>
      <c r="I95" s="37"/>
      <c r="J95" s="37"/>
      <c r="K95" s="149" t="s">
        <v>56</v>
      </c>
      <c r="L95" s="149" t="s">
        <v>57</v>
      </c>
      <c r="N95" s="116"/>
      <c r="O95" s="406" t="s">
        <v>201</v>
      </c>
      <c r="P95" s="403"/>
      <c r="Q95" s="403"/>
    </row>
    <row r="96" spans="1:17" ht="11.25" customHeight="1">
      <c r="A96" s="74" t="s">
        <v>66</v>
      </c>
      <c r="B96" s="277" t="s">
        <v>279</v>
      </c>
      <c r="C96" s="149">
        <f>ROUND(C78*$C$93,2)</f>
        <v>23.31</v>
      </c>
      <c r="D96" s="37"/>
      <c r="E96" s="98" t="s">
        <v>131</v>
      </c>
      <c r="F96" s="100" t="s">
        <v>290</v>
      </c>
      <c r="G96" s="150">
        <f t="shared" ref="G96:G109" si="14">ROUND(G78*$C$93,2)</f>
        <v>27.3</v>
      </c>
      <c r="H96" s="37"/>
      <c r="I96" s="37"/>
      <c r="J96" s="37"/>
      <c r="K96" s="150">
        <f>ROUND(K78*$K$93,2)</f>
        <v>28.55</v>
      </c>
      <c r="L96" s="150">
        <f>ROUND(L78*$K$93,2)</f>
        <v>27.48</v>
      </c>
      <c r="N96" s="116"/>
      <c r="O96" s="405">
        <f>ROUND(O78*$O$93,2)</f>
        <v>28.78</v>
      </c>
      <c r="P96" s="403"/>
      <c r="Q96" s="403"/>
    </row>
    <row r="97" spans="1:17" ht="11.25" customHeight="1">
      <c r="A97" s="74" t="s">
        <v>66</v>
      </c>
      <c r="B97" s="277" t="s">
        <v>280</v>
      </c>
      <c r="C97" s="149">
        <f t="shared" ref="C97:C107" si="15">ROUND(C79*$C$93,2)</f>
        <v>21.78</v>
      </c>
      <c r="D97" s="37"/>
      <c r="E97" s="98" t="s">
        <v>131</v>
      </c>
      <c r="F97" s="100" t="s">
        <v>291</v>
      </c>
      <c r="G97" s="150">
        <f t="shared" si="14"/>
        <v>25.16</v>
      </c>
      <c r="H97" s="37"/>
      <c r="I97" s="37"/>
      <c r="J97" s="37"/>
      <c r="K97" s="150">
        <f t="shared" ref="K97:L109" si="16">ROUND(K79*$K$93,2)</f>
        <v>26.3</v>
      </c>
      <c r="L97" s="150">
        <f t="shared" si="16"/>
        <v>25.31</v>
      </c>
      <c r="N97" s="116"/>
      <c r="O97" s="405">
        <f t="shared" ref="O97:O109" si="17">ROUND(O79*$O$93,2)</f>
        <v>26.51</v>
      </c>
      <c r="P97" s="403"/>
      <c r="Q97" s="403"/>
    </row>
    <row r="98" spans="1:17" ht="11.25" customHeight="1">
      <c r="A98" s="74" t="s">
        <v>66</v>
      </c>
      <c r="B98" s="277" t="s">
        <v>281</v>
      </c>
      <c r="C98" s="149">
        <f t="shared" si="15"/>
        <v>20.58</v>
      </c>
      <c r="D98" s="37"/>
      <c r="E98" s="98" t="s">
        <v>131</v>
      </c>
      <c r="F98" s="100" t="s">
        <v>292</v>
      </c>
      <c r="G98" s="150">
        <f t="shared" si="14"/>
        <v>23.72</v>
      </c>
      <c r="H98" s="37"/>
      <c r="I98" s="37"/>
      <c r="J98" s="37"/>
      <c r="K98" s="150">
        <f t="shared" si="16"/>
        <v>24.81</v>
      </c>
      <c r="L98" s="150">
        <f t="shared" si="16"/>
        <v>23.89</v>
      </c>
      <c r="N98" s="116"/>
      <c r="O98" s="405">
        <f t="shared" si="17"/>
        <v>25.02</v>
      </c>
      <c r="P98" s="403"/>
      <c r="Q98" s="403"/>
    </row>
    <row r="99" spans="1:17" ht="11.25" customHeight="1">
      <c r="A99" s="74" t="s">
        <v>66</v>
      </c>
      <c r="B99" s="277" t="s">
        <v>282</v>
      </c>
      <c r="C99" s="149">
        <f t="shared" si="15"/>
        <v>19.27</v>
      </c>
      <c r="D99" s="37"/>
      <c r="E99" s="98" t="s">
        <v>131</v>
      </c>
      <c r="F99" s="100" t="s">
        <v>293</v>
      </c>
      <c r="G99" s="150">
        <f t="shared" si="14"/>
        <v>22.3</v>
      </c>
      <c r="H99" s="37"/>
      <c r="I99" s="37"/>
      <c r="J99" s="37"/>
      <c r="K99" s="150">
        <f t="shared" si="16"/>
        <v>23.32</v>
      </c>
      <c r="L99" s="150">
        <f t="shared" si="16"/>
        <v>22.45</v>
      </c>
      <c r="N99" s="116"/>
      <c r="O99" s="405">
        <f t="shared" si="17"/>
        <v>23.52</v>
      </c>
      <c r="P99" s="403"/>
      <c r="Q99" s="403"/>
    </row>
    <row r="100" spans="1:17" ht="11.25" customHeight="1">
      <c r="A100" s="74" t="s">
        <v>66</v>
      </c>
      <c r="B100" s="277" t="s">
        <v>283</v>
      </c>
      <c r="C100" s="149">
        <f t="shared" si="15"/>
        <v>18.559999999999999</v>
      </c>
      <c r="D100" s="37"/>
      <c r="E100" s="98" t="s">
        <v>131</v>
      </c>
      <c r="F100" s="100" t="s">
        <v>294</v>
      </c>
      <c r="G100" s="150">
        <f t="shared" si="14"/>
        <v>21.01</v>
      </c>
      <c r="H100" s="37"/>
      <c r="I100" s="37"/>
      <c r="J100" s="37"/>
      <c r="K100" s="150">
        <f t="shared" si="16"/>
        <v>21.98</v>
      </c>
      <c r="L100" s="150">
        <f t="shared" si="16"/>
        <v>21.13</v>
      </c>
      <c r="N100" s="116"/>
      <c r="O100" s="405">
        <f t="shared" si="17"/>
        <v>22.16</v>
      </c>
      <c r="P100" s="403"/>
      <c r="Q100" s="403"/>
    </row>
    <row r="101" spans="1:17" ht="11.25" customHeight="1">
      <c r="A101" s="74" t="s">
        <v>66</v>
      </c>
      <c r="B101" s="277" t="s">
        <v>284</v>
      </c>
      <c r="C101" s="149">
        <f t="shared" si="15"/>
        <v>17.91</v>
      </c>
      <c r="D101" s="37"/>
      <c r="E101" s="98" t="s">
        <v>131</v>
      </c>
      <c r="F101" s="100" t="s">
        <v>295</v>
      </c>
      <c r="G101" s="150">
        <f t="shared" si="14"/>
        <v>20.65</v>
      </c>
      <c r="H101" s="37"/>
      <c r="I101" s="37"/>
      <c r="J101" s="37"/>
      <c r="K101" s="150">
        <f t="shared" si="16"/>
        <v>21.58</v>
      </c>
      <c r="L101" s="150">
        <f t="shared" si="16"/>
        <v>20.76</v>
      </c>
      <c r="N101" s="116"/>
      <c r="O101" s="405">
        <f t="shared" si="17"/>
        <v>21.76</v>
      </c>
      <c r="P101" s="403"/>
      <c r="Q101" s="403"/>
    </row>
    <row r="102" spans="1:17" ht="11.25" customHeight="1">
      <c r="A102" s="74" t="s">
        <v>66</v>
      </c>
      <c r="B102" s="277" t="s">
        <v>251</v>
      </c>
      <c r="C102" s="149">
        <f t="shared" si="15"/>
        <v>17.100000000000001</v>
      </c>
      <c r="D102" s="37"/>
      <c r="E102" s="98" t="s">
        <v>131</v>
      </c>
      <c r="F102" s="100" t="s">
        <v>296</v>
      </c>
      <c r="G102" s="150">
        <f t="shared" si="14"/>
        <v>19.47</v>
      </c>
      <c r="H102" s="37"/>
      <c r="I102" s="37"/>
      <c r="J102" s="37"/>
      <c r="K102" s="150">
        <f t="shared" si="16"/>
        <v>20.37</v>
      </c>
      <c r="L102" s="150">
        <f t="shared" si="16"/>
        <v>19.600000000000001</v>
      </c>
      <c r="N102" s="116"/>
      <c r="O102" s="405">
        <f t="shared" si="17"/>
        <v>20.54</v>
      </c>
      <c r="P102" s="403"/>
      <c r="Q102" s="403"/>
    </row>
    <row r="103" spans="1:17" ht="11.25" customHeight="1">
      <c r="A103" s="74" t="s">
        <v>66</v>
      </c>
      <c r="B103" s="277" t="s">
        <v>252</v>
      </c>
      <c r="C103" s="149">
        <f t="shared" si="15"/>
        <v>16.82</v>
      </c>
      <c r="D103" s="37"/>
      <c r="E103" s="98" t="s">
        <v>131</v>
      </c>
      <c r="F103" s="100" t="s">
        <v>297</v>
      </c>
      <c r="G103" s="150">
        <f t="shared" si="14"/>
        <v>18.89</v>
      </c>
      <c r="H103" s="37"/>
      <c r="I103" s="37"/>
      <c r="J103" s="37"/>
      <c r="K103" s="150">
        <f t="shared" si="16"/>
        <v>19.75</v>
      </c>
      <c r="L103" s="150">
        <f t="shared" si="16"/>
        <v>19.010000000000002</v>
      </c>
      <c r="N103" s="116"/>
      <c r="O103" s="405">
        <f t="shared" si="17"/>
        <v>19.91</v>
      </c>
      <c r="P103" s="403"/>
      <c r="Q103" s="403"/>
    </row>
    <row r="104" spans="1:17" ht="11.25" customHeight="1">
      <c r="A104" s="74" t="s">
        <v>66</v>
      </c>
      <c r="B104" s="277" t="s">
        <v>285</v>
      </c>
      <c r="C104" s="149">
        <f t="shared" si="15"/>
        <v>16.07</v>
      </c>
      <c r="D104" s="37"/>
      <c r="E104" s="98" t="s">
        <v>131</v>
      </c>
      <c r="F104" s="100" t="s">
        <v>298</v>
      </c>
      <c r="G104" s="150">
        <f t="shared" si="14"/>
        <v>18.190000000000001</v>
      </c>
      <c r="H104" s="37"/>
      <c r="I104" s="37"/>
      <c r="J104" s="37"/>
      <c r="K104" s="150">
        <f t="shared" si="16"/>
        <v>19.02</v>
      </c>
      <c r="L104" s="150">
        <f t="shared" si="16"/>
        <v>18.29</v>
      </c>
      <c r="N104" s="116"/>
      <c r="O104" s="405">
        <f t="shared" si="17"/>
        <v>19.170000000000002</v>
      </c>
      <c r="P104" s="403"/>
      <c r="Q104" s="403"/>
    </row>
    <row r="105" spans="1:17" ht="11.25" customHeight="1">
      <c r="A105" s="74" t="s">
        <v>66</v>
      </c>
      <c r="B105" s="277" t="s">
        <v>286</v>
      </c>
      <c r="C105" s="149">
        <f t="shared" si="15"/>
        <v>15.41</v>
      </c>
      <c r="D105" s="37"/>
      <c r="E105" s="98" t="s">
        <v>131</v>
      </c>
      <c r="F105" s="100" t="s">
        <v>299</v>
      </c>
      <c r="G105" s="150">
        <f t="shared" si="14"/>
        <v>17.690000000000001</v>
      </c>
      <c r="H105" s="37"/>
      <c r="I105" s="37"/>
      <c r="J105" s="37"/>
      <c r="K105" s="150">
        <f t="shared" si="16"/>
        <v>18.510000000000002</v>
      </c>
      <c r="L105" s="150">
        <f t="shared" si="16"/>
        <v>17.79</v>
      </c>
      <c r="N105" s="116"/>
      <c r="O105" s="405">
        <f t="shared" si="17"/>
        <v>18.66</v>
      </c>
      <c r="P105" s="403"/>
      <c r="Q105" s="403"/>
    </row>
    <row r="106" spans="1:17" ht="11.25" customHeight="1">
      <c r="A106" s="74" t="s">
        <v>66</v>
      </c>
      <c r="B106" s="277" t="s">
        <v>287</v>
      </c>
      <c r="C106" s="149">
        <f t="shared" si="15"/>
        <v>14.27</v>
      </c>
      <c r="D106" s="37"/>
      <c r="E106" s="98" t="s">
        <v>131</v>
      </c>
      <c r="F106" s="100" t="s">
        <v>300</v>
      </c>
      <c r="G106" s="150">
        <f t="shared" si="14"/>
        <v>16.809999999999999</v>
      </c>
      <c r="H106" s="37"/>
      <c r="I106" s="37"/>
      <c r="J106" s="37"/>
      <c r="K106" s="150">
        <f t="shared" si="16"/>
        <v>17.59</v>
      </c>
      <c r="L106" s="150">
        <f t="shared" si="16"/>
        <v>16.920000000000002</v>
      </c>
      <c r="N106" s="116"/>
      <c r="O106" s="405">
        <f t="shared" si="17"/>
        <v>17.739999999999998</v>
      </c>
      <c r="P106" s="403"/>
      <c r="Q106" s="403"/>
    </row>
    <row r="107" spans="1:17" ht="11.25" customHeight="1">
      <c r="A107" s="74" t="s">
        <v>66</v>
      </c>
      <c r="B107" s="277" t="s">
        <v>288</v>
      </c>
      <c r="C107" s="149">
        <f t="shared" si="15"/>
        <v>13.23</v>
      </c>
      <c r="D107" s="37"/>
      <c r="E107" s="98" t="s">
        <v>131</v>
      </c>
      <c r="F107" s="100" t="s">
        <v>301</v>
      </c>
      <c r="G107" s="150">
        <f t="shared" si="14"/>
        <v>15.94</v>
      </c>
      <c r="H107" s="37"/>
      <c r="I107" s="37"/>
      <c r="J107" s="37"/>
      <c r="K107" s="150">
        <f t="shared" si="16"/>
        <v>16.670000000000002</v>
      </c>
      <c r="L107" s="150">
        <f t="shared" si="16"/>
        <v>16.05</v>
      </c>
      <c r="N107" s="116"/>
      <c r="O107" s="405">
        <f t="shared" si="17"/>
        <v>16.809999999999999</v>
      </c>
      <c r="P107" s="403"/>
      <c r="Q107" s="403"/>
    </row>
    <row r="108" spans="1:17" ht="11.25" customHeight="1">
      <c r="B108" s="37"/>
      <c r="C108" s="37"/>
      <c r="D108" s="37"/>
      <c r="E108" s="98" t="s">
        <v>131</v>
      </c>
      <c r="F108" s="100" t="s">
        <v>302</v>
      </c>
      <c r="G108" s="150">
        <f t="shared" si="14"/>
        <v>15.17</v>
      </c>
      <c r="H108" s="37"/>
      <c r="I108" s="37"/>
      <c r="J108" s="37"/>
      <c r="K108" s="150">
        <f t="shared" si="16"/>
        <v>15.86</v>
      </c>
      <c r="L108" s="150">
        <f t="shared" si="16"/>
        <v>15.27</v>
      </c>
      <c r="N108" s="116"/>
      <c r="O108" s="405">
        <f t="shared" si="17"/>
        <v>15.99</v>
      </c>
      <c r="P108" s="403"/>
      <c r="Q108" s="403"/>
    </row>
    <row r="109" spans="1:17" ht="11.25" customHeight="1">
      <c r="B109" s="37"/>
      <c r="C109" s="37"/>
      <c r="D109" s="37"/>
      <c r="E109" s="98" t="s">
        <v>131</v>
      </c>
      <c r="F109" s="100" t="s">
        <v>243</v>
      </c>
      <c r="G109" s="150">
        <f t="shared" si="14"/>
        <v>14.49</v>
      </c>
      <c r="H109" s="37"/>
      <c r="I109" s="37"/>
      <c r="J109" s="37"/>
      <c r="K109" s="150">
        <f t="shared" si="16"/>
        <v>15.15</v>
      </c>
      <c r="L109" s="150">
        <f t="shared" si="16"/>
        <v>14.58</v>
      </c>
      <c r="N109" s="116"/>
      <c r="O109" s="405">
        <f t="shared" si="17"/>
        <v>15.28</v>
      </c>
      <c r="P109" s="403"/>
      <c r="Q109" s="403"/>
    </row>
    <row r="110" spans="1:17" ht="11.25" customHeight="1">
      <c r="B110" s="37"/>
      <c r="C110" s="37"/>
      <c r="D110" s="37"/>
      <c r="E110" s="37"/>
      <c r="F110" s="37"/>
      <c r="G110" s="37"/>
      <c r="H110" s="37"/>
      <c r="I110" s="37"/>
      <c r="J110" s="37"/>
      <c r="K110" s="37"/>
      <c r="L110" s="37"/>
      <c r="N110" s="116"/>
      <c r="O110" s="116"/>
      <c r="P110" s="403"/>
      <c r="Q110" s="403"/>
    </row>
    <row r="111" spans="1:17" ht="11.25" customHeight="1" thickBot="1">
      <c r="B111" s="75" t="s">
        <v>265</v>
      </c>
      <c r="C111" s="230">
        <v>1.03</v>
      </c>
      <c r="D111" s="37"/>
      <c r="E111" s="37"/>
      <c r="F111" s="75" t="s">
        <v>265</v>
      </c>
      <c r="G111" s="230">
        <v>1.03</v>
      </c>
      <c r="H111" s="37"/>
      <c r="J111" s="75" t="str">
        <f>'L Tab'!BF28</f>
        <v>ab 1.01.2014</v>
      </c>
      <c r="K111" s="230">
        <f>'L Tab'!BG23</f>
        <v>1.0295000000000001</v>
      </c>
      <c r="L111" s="37"/>
      <c r="N111" s="115" t="str">
        <f>'L Tab'!BF41</f>
        <v>ab 1.04.2014</v>
      </c>
      <c r="O111" s="402">
        <f>'L Tab'!BG36</f>
        <v>1.028</v>
      </c>
      <c r="P111" s="403"/>
      <c r="Q111" s="403"/>
    </row>
    <row r="112" spans="1:17" ht="11.25" customHeight="1" thickBot="1">
      <c r="B112" s="151" t="s">
        <v>128</v>
      </c>
      <c r="C112" s="150" t="s">
        <v>130</v>
      </c>
      <c r="D112" s="150"/>
      <c r="E112" s="37"/>
      <c r="F112" s="151" t="s">
        <v>129</v>
      </c>
      <c r="G112" s="150" t="s">
        <v>185</v>
      </c>
      <c r="H112" s="150"/>
      <c r="J112" s="151" t="s">
        <v>19</v>
      </c>
      <c r="K112" s="150" t="s">
        <v>186</v>
      </c>
      <c r="L112" s="37"/>
      <c r="N112" s="404" t="s">
        <v>232</v>
      </c>
      <c r="O112" s="405" t="s">
        <v>328</v>
      </c>
      <c r="P112" s="403"/>
      <c r="Q112" s="403" t="s">
        <v>241</v>
      </c>
    </row>
    <row r="113" spans="1:17" ht="11.25" customHeight="1">
      <c r="A113" s="147" t="s">
        <v>276</v>
      </c>
      <c r="C113" s="149" t="s">
        <v>220</v>
      </c>
      <c r="D113" s="37"/>
      <c r="E113" s="98" t="s">
        <v>289</v>
      </c>
      <c r="G113" s="149" t="s">
        <v>220</v>
      </c>
      <c r="H113" s="37"/>
      <c r="J113" s="37"/>
      <c r="K113" s="149" t="s">
        <v>56</v>
      </c>
      <c r="L113" s="149" t="s">
        <v>57</v>
      </c>
      <c r="N113" s="116"/>
      <c r="O113" s="406" t="s">
        <v>201</v>
      </c>
      <c r="P113" s="403"/>
      <c r="Q113" s="403"/>
    </row>
    <row r="114" spans="1:17" ht="11.25" customHeight="1">
      <c r="A114" s="74" t="s">
        <v>66</v>
      </c>
      <c r="B114" s="277" t="s">
        <v>279</v>
      </c>
      <c r="C114" s="149">
        <f>ROUND(C96*$C$111,2)</f>
        <v>24.01</v>
      </c>
      <c r="D114" s="37"/>
      <c r="E114" s="98" t="s">
        <v>131</v>
      </c>
      <c r="F114" s="100" t="s">
        <v>290</v>
      </c>
      <c r="G114" s="150">
        <f>ROUND(G96*$C$111,2)</f>
        <v>28.12</v>
      </c>
      <c r="H114" s="37"/>
      <c r="J114" s="37"/>
      <c r="K114" s="150">
        <f t="shared" ref="K114:L127" si="18">ROUND(K96*$K$111,2)</f>
        <v>29.39</v>
      </c>
      <c r="L114" s="150">
        <f t="shared" si="18"/>
        <v>28.29</v>
      </c>
      <c r="N114" s="116"/>
      <c r="O114" s="405">
        <f>ROUND(O96*$O$111,2)</f>
        <v>29.59</v>
      </c>
      <c r="P114" s="403"/>
      <c r="Q114" s="403"/>
    </row>
    <row r="115" spans="1:17" ht="11.25" customHeight="1">
      <c r="A115" s="74" t="s">
        <v>66</v>
      </c>
      <c r="B115" s="277" t="s">
        <v>280</v>
      </c>
      <c r="C115" s="149">
        <f t="shared" ref="C115:C125" si="19">ROUND(C97*$C$111,2)</f>
        <v>22.43</v>
      </c>
      <c r="D115" s="37"/>
      <c r="E115" s="98" t="s">
        <v>131</v>
      </c>
      <c r="F115" s="100" t="s">
        <v>291</v>
      </c>
      <c r="G115" s="150">
        <f t="shared" ref="G115:G127" si="20">ROUND(G97*$C$111,2)</f>
        <v>25.91</v>
      </c>
      <c r="H115" s="37"/>
      <c r="J115" s="37"/>
      <c r="K115" s="150">
        <f t="shared" si="18"/>
        <v>27.08</v>
      </c>
      <c r="L115" s="150">
        <f t="shared" si="18"/>
        <v>26.06</v>
      </c>
      <c r="N115" s="116"/>
      <c r="O115" s="405">
        <f t="shared" ref="O115:O127" si="21">ROUND(O97*$O$111,2)</f>
        <v>27.25</v>
      </c>
      <c r="P115" s="403"/>
      <c r="Q115" s="403"/>
    </row>
    <row r="116" spans="1:17" ht="11.25" customHeight="1">
      <c r="A116" s="74" t="s">
        <v>66</v>
      </c>
      <c r="B116" s="277" t="s">
        <v>281</v>
      </c>
      <c r="C116" s="149">
        <f t="shared" si="19"/>
        <v>21.2</v>
      </c>
      <c r="D116" s="37"/>
      <c r="E116" s="98" t="s">
        <v>131</v>
      </c>
      <c r="F116" s="100" t="s">
        <v>292</v>
      </c>
      <c r="G116" s="150">
        <f t="shared" si="20"/>
        <v>24.43</v>
      </c>
      <c r="H116" s="37"/>
      <c r="J116" s="37"/>
      <c r="K116" s="150">
        <f t="shared" si="18"/>
        <v>25.54</v>
      </c>
      <c r="L116" s="150">
        <f t="shared" si="18"/>
        <v>24.59</v>
      </c>
      <c r="N116" s="116"/>
      <c r="O116" s="405">
        <f t="shared" si="21"/>
        <v>25.72</v>
      </c>
      <c r="P116" s="403"/>
      <c r="Q116" s="403"/>
    </row>
    <row r="117" spans="1:17" ht="11.25" customHeight="1">
      <c r="A117" s="74" t="s">
        <v>66</v>
      </c>
      <c r="B117" s="277" t="s">
        <v>282</v>
      </c>
      <c r="C117" s="149">
        <f t="shared" si="19"/>
        <v>19.850000000000001</v>
      </c>
      <c r="D117" s="37"/>
      <c r="E117" s="98" t="s">
        <v>131</v>
      </c>
      <c r="F117" s="100" t="s">
        <v>293</v>
      </c>
      <c r="G117" s="150">
        <f t="shared" si="20"/>
        <v>22.97</v>
      </c>
      <c r="H117" s="37"/>
      <c r="J117" s="37"/>
      <c r="K117" s="150">
        <f t="shared" si="18"/>
        <v>24.01</v>
      </c>
      <c r="L117" s="150">
        <f t="shared" si="18"/>
        <v>23.11</v>
      </c>
      <c r="N117" s="116"/>
      <c r="O117" s="405">
        <f t="shared" si="21"/>
        <v>24.18</v>
      </c>
      <c r="P117" s="403"/>
      <c r="Q117" s="403"/>
    </row>
    <row r="118" spans="1:17" ht="11.25" customHeight="1">
      <c r="A118" s="74" t="s">
        <v>66</v>
      </c>
      <c r="B118" s="277" t="s">
        <v>283</v>
      </c>
      <c r="C118" s="149">
        <f t="shared" si="19"/>
        <v>19.12</v>
      </c>
      <c r="D118" s="37"/>
      <c r="E118" s="98" t="s">
        <v>131</v>
      </c>
      <c r="F118" s="100" t="s">
        <v>294</v>
      </c>
      <c r="G118" s="150">
        <f t="shared" si="20"/>
        <v>21.64</v>
      </c>
      <c r="H118" s="37"/>
      <c r="J118" s="37"/>
      <c r="K118" s="150">
        <f t="shared" si="18"/>
        <v>22.63</v>
      </c>
      <c r="L118" s="150">
        <f t="shared" si="18"/>
        <v>21.75</v>
      </c>
      <c r="N118" s="116"/>
      <c r="O118" s="405">
        <f t="shared" si="21"/>
        <v>22.78</v>
      </c>
      <c r="P118" s="403"/>
      <c r="Q118" s="403"/>
    </row>
    <row r="119" spans="1:17" ht="11.25" customHeight="1">
      <c r="A119" s="74" t="s">
        <v>66</v>
      </c>
      <c r="B119" s="277" t="s">
        <v>284</v>
      </c>
      <c r="C119" s="149">
        <f t="shared" si="19"/>
        <v>18.45</v>
      </c>
      <c r="D119" s="37"/>
      <c r="E119" s="98" t="s">
        <v>131</v>
      </c>
      <c r="F119" s="100" t="s">
        <v>295</v>
      </c>
      <c r="G119" s="150">
        <f t="shared" si="20"/>
        <v>21.27</v>
      </c>
      <c r="H119" s="37"/>
      <c r="J119" s="37"/>
      <c r="K119" s="150">
        <f t="shared" si="18"/>
        <v>22.22</v>
      </c>
      <c r="L119" s="150">
        <f t="shared" si="18"/>
        <v>21.37</v>
      </c>
      <c r="N119" s="116"/>
      <c r="O119" s="405">
        <f t="shared" si="21"/>
        <v>22.37</v>
      </c>
      <c r="P119" s="403"/>
      <c r="Q119" s="403"/>
    </row>
    <row r="120" spans="1:17" ht="11.25" customHeight="1">
      <c r="A120" s="74" t="s">
        <v>66</v>
      </c>
      <c r="B120" s="277" t="s">
        <v>251</v>
      </c>
      <c r="C120" s="149">
        <f t="shared" si="19"/>
        <v>17.61</v>
      </c>
      <c r="D120" s="37"/>
      <c r="E120" s="98" t="s">
        <v>131</v>
      </c>
      <c r="F120" s="100" t="s">
        <v>296</v>
      </c>
      <c r="G120" s="150">
        <f t="shared" si="20"/>
        <v>20.05</v>
      </c>
      <c r="H120" s="37"/>
      <c r="J120" s="37"/>
      <c r="K120" s="150">
        <f t="shared" si="18"/>
        <v>20.97</v>
      </c>
      <c r="L120" s="150">
        <f t="shared" si="18"/>
        <v>20.18</v>
      </c>
      <c r="N120" s="116"/>
      <c r="O120" s="405">
        <f t="shared" si="21"/>
        <v>21.12</v>
      </c>
      <c r="P120" s="403"/>
      <c r="Q120" s="403"/>
    </row>
    <row r="121" spans="1:17" ht="11.25" customHeight="1">
      <c r="A121" s="74" t="s">
        <v>66</v>
      </c>
      <c r="B121" s="277" t="s">
        <v>252</v>
      </c>
      <c r="C121" s="149">
        <f t="shared" si="19"/>
        <v>17.32</v>
      </c>
      <c r="D121" s="37"/>
      <c r="E121" s="98" t="s">
        <v>131</v>
      </c>
      <c r="F121" s="100" t="s">
        <v>297</v>
      </c>
      <c r="G121" s="150">
        <f t="shared" si="20"/>
        <v>19.46</v>
      </c>
      <c r="H121" s="37"/>
      <c r="J121" s="37"/>
      <c r="K121" s="150">
        <f t="shared" si="18"/>
        <v>20.329999999999998</v>
      </c>
      <c r="L121" s="150">
        <f t="shared" si="18"/>
        <v>19.57</v>
      </c>
      <c r="N121" s="116"/>
      <c r="O121" s="405">
        <f t="shared" si="21"/>
        <v>20.47</v>
      </c>
      <c r="P121" s="403"/>
      <c r="Q121" s="403"/>
    </row>
    <row r="122" spans="1:17" ht="11.25" customHeight="1">
      <c r="A122" s="74" t="s">
        <v>66</v>
      </c>
      <c r="B122" s="277" t="s">
        <v>285</v>
      </c>
      <c r="C122" s="149">
        <f t="shared" si="19"/>
        <v>16.55</v>
      </c>
      <c r="D122" s="37"/>
      <c r="E122" s="98" t="s">
        <v>131</v>
      </c>
      <c r="F122" s="100" t="s">
        <v>298</v>
      </c>
      <c r="G122" s="150">
        <f t="shared" si="20"/>
        <v>18.739999999999998</v>
      </c>
      <c r="H122" s="37"/>
      <c r="J122" s="37"/>
      <c r="K122" s="150">
        <f t="shared" si="18"/>
        <v>19.579999999999998</v>
      </c>
      <c r="L122" s="150">
        <f t="shared" si="18"/>
        <v>18.829999999999998</v>
      </c>
      <c r="N122" s="116"/>
      <c r="O122" s="405">
        <f t="shared" si="21"/>
        <v>19.71</v>
      </c>
      <c r="P122" s="403"/>
      <c r="Q122" s="403"/>
    </row>
    <row r="123" spans="1:17" ht="11.25" customHeight="1">
      <c r="A123" s="74" t="s">
        <v>66</v>
      </c>
      <c r="B123" s="277" t="s">
        <v>286</v>
      </c>
      <c r="C123" s="149">
        <f t="shared" si="19"/>
        <v>15.87</v>
      </c>
      <c r="D123" s="37"/>
      <c r="E123" s="98" t="s">
        <v>131</v>
      </c>
      <c r="F123" s="100" t="s">
        <v>299</v>
      </c>
      <c r="G123" s="150">
        <f t="shared" si="20"/>
        <v>18.22</v>
      </c>
      <c r="H123" s="37"/>
      <c r="J123" s="37"/>
      <c r="K123" s="150">
        <f t="shared" si="18"/>
        <v>19.059999999999999</v>
      </c>
      <c r="L123" s="150">
        <f t="shared" si="18"/>
        <v>18.309999999999999</v>
      </c>
      <c r="N123" s="116"/>
      <c r="O123" s="405">
        <f t="shared" si="21"/>
        <v>19.18</v>
      </c>
      <c r="P123" s="403"/>
      <c r="Q123" s="403"/>
    </row>
    <row r="124" spans="1:17" ht="11.25" customHeight="1">
      <c r="A124" s="74" t="s">
        <v>66</v>
      </c>
      <c r="B124" s="277" t="s">
        <v>287</v>
      </c>
      <c r="C124" s="149">
        <f t="shared" si="19"/>
        <v>14.7</v>
      </c>
      <c r="D124" s="37"/>
      <c r="E124" s="98" t="s">
        <v>131</v>
      </c>
      <c r="F124" s="100" t="s">
        <v>300</v>
      </c>
      <c r="G124" s="150">
        <f t="shared" si="20"/>
        <v>17.309999999999999</v>
      </c>
      <c r="H124" s="37"/>
      <c r="J124" s="37"/>
      <c r="K124" s="150">
        <f t="shared" si="18"/>
        <v>18.11</v>
      </c>
      <c r="L124" s="150">
        <f t="shared" si="18"/>
        <v>17.420000000000002</v>
      </c>
      <c r="N124" s="116"/>
      <c r="O124" s="405">
        <f t="shared" si="21"/>
        <v>18.239999999999998</v>
      </c>
      <c r="P124" s="403"/>
      <c r="Q124" s="403"/>
    </row>
    <row r="125" spans="1:17" ht="11.25" customHeight="1">
      <c r="A125" s="74" t="s">
        <v>66</v>
      </c>
      <c r="B125" s="277" t="s">
        <v>288</v>
      </c>
      <c r="C125" s="149">
        <f t="shared" si="19"/>
        <v>13.63</v>
      </c>
      <c r="D125" s="37"/>
      <c r="E125" s="98" t="s">
        <v>131</v>
      </c>
      <c r="F125" s="100" t="s">
        <v>301</v>
      </c>
      <c r="G125" s="150">
        <f t="shared" si="20"/>
        <v>16.420000000000002</v>
      </c>
      <c r="H125" s="37"/>
      <c r="J125" s="37"/>
      <c r="K125" s="150">
        <f t="shared" si="18"/>
        <v>17.16</v>
      </c>
      <c r="L125" s="150">
        <f t="shared" si="18"/>
        <v>16.52</v>
      </c>
      <c r="N125" s="116"/>
      <c r="O125" s="405">
        <f t="shared" si="21"/>
        <v>17.28</v>
      </c>
      <c r="P125" s="403"/>
      <c r="Q125" s="403"/>
    </row>
    <row r="126" spans="1:17" ht="11.25" customHeight="1">
      <c r="B126" s="37"/>
      <c r="C126" s="37"/>
      <c r="D126" s="37"/>
      <c r="E126" s="98" t="s">
        <v>131</v>
      </c>
      <c r="F126" s="100" t="s">
        <v>302</v>
      </c>
      <c r="G126" s="150">
        <f t="shared" si="20"/>
        <v>15.63</v>
      </c>
      <c r="H126" s="37"/>
      <c r="J126" s="37"/>
      <c r="K126" s="150">
        <f t="shared" si="18"/>
        <v>16.329999999999998</v>
      </c>
      <c r="L126" s="150">
        <f t="shared" si="18"/>
        <v>15.72</v>
      </c>
      <c r="N126" s="116"/>
      <c r="O126" s="405">
        <f t="shared" si="21"/>
        <v>16.440000000000001</v>
      </c>
      <c r="P126" s="403"/>
      <c r="Q126" s="403"/>
    </row>
    <row r="127" spans="1:17" ht="11.25" customHeight="1">
      <c r="B127" s="37"/>
      <c r="C127" s="37"/>
      <c r="D127" s="37"/>
      <c r="E127" s="98" t="s">
        <v>131</v>
      </c>
      <c r="F127" s="100" t="s">
        <v>243</v>
      </c>
      <c r="G127" s="150">
        <f t="shared" si="20"/>
        <v>14.92</v>
      </c>
      <c r="H127" s="37"/>
      <c r="J127" s="37"/>
      <c r="K127" s="150">
        <f t="shared" si="18"/>
        <v>15.6</v>
      </c>
      <c r="L127" s="150">
        <f t="shared" si="18"/>
        <v>15.01</v>
      </c>
      <c r="N127" s="116"/>
      <c r="O127" s="405">
        <f t="shared" si="21"/>
        <v>15.71</v>
      </c>
      <c r="P127" s="403"/>
      <c r="Q127" s="403"/>
    </row>
    <row r="128" spans="1:17" ht="11.25" customHeight="1">
      <c r="B128" s="37"/>
      <c r="C128" s="37"/>
      <c r="D128" s="37"/>
      <c r="E128" s="37"/>
      <c r="F128" s="37"/>
      <c r="G128" s="37"/>
      <c r="H128" s="37"/>
      <c r="N128" s="403"/>
      <c r="O128" s="403"/>
      <c r="P128" s="403"/>
      <c r="Q128" s="403"/>
    </row>
    <row r="129" spans="1:17" ht="11.25" customHeight="1" thickBot="1">
      <c r="B129" s="75" t="s">
        <v>268</v>
      </c>
      <c r="C129" s="230">
        <v>1.024</v>
      </c>
      <c r="D129" s="37"/>
      <c r="E129" s="37"/>
      <c r="F129" s="75" t="s">
        <v>268</v>
      </c>
      <c r="G129" s="230">
        <v>1.024</v>
      </c>
      <c r="H129" s="37"/>
      <c r="J129" s="75" t="str">
        <f>'L Tab'!BN28</f>
        <v>ab 1.03.2015</v>
      </c>
      <c r="K129" s="230">
        <f>'L Tab'!BO23</f>
        <v>1.0209999999999999</v>
      </c>
      <c r="L129" s="37"/>
      <c r="N129" s="115" t="str">
        <f>'L Tab'!BN41</f>
        <v>ab 1.03.2015</v>
      </c>
      <c r="O129" s="402">
        <f>'L Tab'!BO36</f>
        <v>1.02</v>
      </c>
      <c r="P129" s="407"/>
      <c r="Q129" s="403"/>
    </row>
    <row r="130" spans="1:17" ht="11.25" customHeight="1" thickBot="1">
      <c r="B130" s="151" t="s">
        <v>128</v>
      </c>
      <c r="C130" s="150" t="s">
        <v>130</v>
      </c>
      <c r="D130" s="150"/>
      <c r="E130" s="37"/>
      <c r="F130" s="151" t="s">
        <v>129</v>
      </c>
      <c r="G130" s="150" t="s">
        <v>185</v>
      </c>
      <c r="H130" s="150"/>
      <c r="J130" s="151" t="s">
        <v>19</v>
      </c>
      <c r="K130" s="150" t="s">
        <v>186</v>
      </c>
      <c r="L130" s="37"/>
      <c r="N130" s="404" t="s">
        <v>232</v>
      </c>
      <c r="O130" s="405" t="s">
        <v>328</v>
      </c>
      <c r="P130" s="407"/>
      <c r="Q130" s="403" t="s">
        <v>241</v>
      </c>
    </row>
    <row r="131" spans="1:17" ht="11.25" customHeight="1">
      <c r="A131" s="147" t="s">
        <v>276</v>
      </c>
      <c r="C131" s="149" t="s">
        <v>220</v>
      </c>
      <c r="D131" s="451" t="s">
        <v>388</v>
      </c>
      <c r="E131" s="98" t="s">
        <v>289</v>
      </c>
      <c r="G131" s="149" t="s">
        <v>220</v>
      </c>
      <c r="H131" s="451" t="s">
        <v>389</v>
      </c>
      <c r="J131" s="37"/>
      <c r="K131" s="149" t="s">
        <v>56</v>
      </c>
      <c r="L131" s="149" t="s">
        <v>57</v>
      </c>
      <c r="N131" s="116"/>
      <c r="O131" s="406" t="s">
        <v>201</v>
      </c>
      <c r="P131" s="407"/>
      <c r="Q131" s="403"/>
    </row>
    <row r="132" spans="1:17" ht="11.25" customHeight="1">
      <c r="A132" s="74" t="s">
        <v>66</v>
      </c>
      <c r="B132" s="277" t="s">
        <v>279</v>
      </c>
      <c r="C132" s="149">
        <f>ROUND(C114*$C$129,2)</f>
        <v>24.59</v>
      </c>
      <c r="D132" s="452">
        <v>24.59</v>
      </c>
      <c r="E132" s="98" t="s">
        <v>131</v>
      </c>
      <c r="F132" s="100" t="s">
        <v>290</v>
      </c>
      <c r="G132" s="150">
        <f>ROUND(G114*$C$129,2)</f>
        <v>28.79</v>
      </c>
      <c r="H132" s="452">
        <v>28.23</v>
      </c>
      <c r="J132" s="37"/>
      <c r="K132" s="150">
        <f>ROUND(K114*$K$129,2)</f>
        <v>30.01</v>
      </c>
      <c r="L132" s="150">
        <f>ROUND(L114*$K$129,2)</f>
        <v>28.88</v>
      </c>
      <c r="N132" s="116"/>
      <c r="O132" s="405">
        <f>ROUND(O114*$O$129,2)</f>
        <v>30.18</v>
      </c>
      <c r="P132" s="407"/>
      <c r="Q132" s="403"/>
    </row>
    <row r="133" spans="1:17" ht="11.25" customHeight="1">
      <c r="A133" s="74" t="s">
        <v>66</v>
      </c>
      <c r="B133" s="277" t="s">
        <v>280</v>
      </c>
      <c r="C133" s="149">
        <f t="shared" ref="C133:C143" si="22">ROUND(C115*$C$129,2)</f>
        <v>22.97</v>
      </c>
      <c r="D133" s="452">
        <v>22.97</v>
      </c>
      <c r="E133" s="98" t="s">
        <v>131</v>
      </c>
      <c r="F133" s="100" t="s">
        <v>291</v>
      </c>
      <c r="G133" s="150">
        <f t="shared" ref="G133:G145" si="23">ROUND(G115*$C$129,2)</f>
        <v>26.53</v>
      </c>
      <c r="H133" s="452">
        <v>26.15</v>
      </c>
      <c r="J133" s="37"/>
      <c r="K133" s="150">
        <f t="shared" ref="K133:L144" si="24">ROUND(K115*$K$129,2)</f>
        <v>27.65</v>
      </c>
      <c r="L133" s="150">
        <f t="shared" si="24"/>
        <v>26.61</v>
      </c>
      <c r="N133" s="116"/>
      <c r="O133" s="405">
        <f t="shared" ref="O133:O145" si="25">ROUND(O115*$O$129,2)</f>
        <v>27.8</v>
      </c>
      <c r="P133" s="407"/>
      <c r="Q133" s="403"/>
    </row>
    <row r="134" spans="1:17" ht="11.25" customHeight="1">
      <c r="A134" s="74" t="s">
        <v>66</v>
      </c>
      <c r="B134" s="277" t="s">
        <v>281</v>
      </c>
      <c r="C134" s="149">
        <f t="shared" si="22"/>
        <v>21.71</v>
      </c>
      <c r="D134" s="452">
        <v>21.71</v>
      </c>
      <c r="E134" s="98" t="s">
        <v>131</v>
      </c>
      <c r="F134" s="100" t="s">
        <v>292</v>
      </c>
      <c r="G134" s="150">
        <f t="shared" si="23"/>
        <v>25.02</v>
      </c>
      <c r="H134" s="452">
        <v>24.65</v>
      </c>
      <c r="J134" s="37"/>
      <c r="K134" s="150">
        <f t="shared" si="24"/>
        <v>26.08</v>
      </c>
      <c r="L134" s="150">
        <f t="shared" si="24"/>
        <v>25.11</v>
      </c>
      <c r="N134" s="116"/>
      <c r="O134" s="405">
        <f t="shared" si="25"/>
        <v>26.23</v>
      </c>
      <c r="P134" s="407"/>
      <c r="Q134" s="403"/>
    </row>
    <row r="135" spans="1:17" ht="11.25" customHeight="1">
      <c r="A135" s="74" t="s">
        <v>66</v>
      </c>
      <c r="B135" s="277" t="s">
        <v>282</v>
      </c>
      <c r="C135" s="149">
        <f t="shared" si="22"/>
        <v>20.329999999999998</v>
      </c>
      <c r="D135" s="452">
        <v>20.329999999999998</v>
      </c>
      <c r="E135" s="98" t="s">
        <v>131</v>
      </c>
      <c r="F135" s="100" t="s">
        <v>293</v>
      </c>
      <c r="G135" s="150">
        <f t="shared" si="23"/>
        <v>23.52</v>
      </c>
      <c r="H135" s="452">
        <v>23.18</v>
      </c>
      <c r="J135" s="37"/>
      <c r="K135" s="150">
        <f t="shared" si="24"/>
        <v>24.51</v>
      </c>
      <c r="L135" s="150">
        <f t="shared" si="24"/>
        <v>23.6</v>
      </c>
      <c r="N135" s="116"/>
      <c r="O135" s="405">
        <f t="shared" si="25"/>
        <v>24.66</v>
      </c>
      <c r="P135" s="407"/>
      <c r="Q135" s="403"/>
    </row>
    <row r="136" spans="1:17" ht="11.25" customHeight="1">
      <c r="A136" s="74" t="s">
        <v>66</v>
      </c>
      <c r="B136" s="277" t="s">
        <v>283</v>
      </c>
      <c r="C136" s="149">
        <f t="shared" si="22"/>
        <v>19.579999999999998</v>
      </c>
      <c r="D136" s="452">
        <v>19.579999999999998</v>
      </c>
      <c r="E136" s="98" t="s">
        <v>131</v>
      </c>
      <c r="F136" s="100" t="s">
        <v>294</v>
      </c>
      <c r="G136" s="150">
        <f t="shared" si="23"/>
        <v>22.16</v>
      </c>
      <c r="H136" s="452">
        <v>22.07</v>
      </c>
      <c r="J136" s="37"/>
      <c r="K136" s="150">
        <f t="shared" si="24"/>
        <v>23.11</v>
      </c>
      <c r="L136" s="150">
        <f t="shared" si="24"/>
        <v>22.21</v>
      </c>
      <c r="N136" s="116"/>
      <c r="O136" s="405">
        <f t="shared" si="25"/>
        <v>23.24</v>
      </c>
      <c r="P136" s="407"/>
      <c r="Q136" s="403"/>
    </row>
    <row r="137" spans="1:17" ht="11.25" customHeight="1">
      <c r="A137" s="74" t="s">
        <v>66</v>
      </c>
      <c r="B137" s="277" t="s">
        <v>284</v>
      </c>
      <c r="C137" s="149">
        <f t="shared" si="22"/>
        <v>18.89</v>
      </c>
      <c r="D137" s="452">
        <v>18.89</v>
      </c>
      <c r="E137" s="98" t="s">
        <v>131</v>
      </c>
      <c r="F137" s="100" t="s">
        <v>295</v>
      </c>
      <c r="G137" s="150">
        <f t="shared" si="23"/>
        <v>21.78</v>
      </c>
      <c r="H137" s="452">
        <v>21.47</v>
      </c>
      <c r="J137" s="37"/>
      <c r="K137" s="150">
        <f t="shared" si="24"/>
        <v>22.69</v>
      </c>
      <c r="L137" s="150">
        <f t="shared" si="24"/>
        <v>21.82</v>
      </c>
      <c r="N137" s="116"/>
      <c r="O137" s="405">
        <f t="shared" si="25"/>
        <v>22.82</v>
      </c>
      <c r="P137" s="407"/>
      <c r="Q137" s="403"/>
    </row>
    <row r="138" spans="1:17" ht="11.25" customHeight="1">
      <c r="A138" s="74" t="s">
        <v>66</v>
      </c>
      <c r="B138" s="277" t="s">
        <v>251</v>
      </c>
      <c r="C138" s="149">
        <f t="shared" si="22"/>
        <v>18.03</v>
      </c>
      <c r="D138" s="452">
        <v>18.03</v>
      </c>
      <c r="E138" s="98" t="s">
        <v>131</v>
      </c>
      <c r="F138" s="100" t="s">
        <v>296</v>
      </c>
      <c r="G138" s="150">
        <f t="shared" si="23"/>
        <v>20.53</v>
      </c>
      <c r="H138" s="452">
        <v>20.38</v>
      </c>
      <c r="J138" s="37"/>
      <c r="K138" s="150">
        <f t="shared" si="24"/>
        <v>21.41</v>
      </c>
      <c r="L138" s="150">
        <f t="shared" si="24"/>
        <v>20.6</v>
      </c>
      <c r="N138" s="116"/>
      <c r="O138" s="405">
        <f t="shared" si="25"/>
        <v>21.54</v>
      </c>
      <c r="P138" s="407"/>
      <c r="Q138" s="403"/>
    </row>
    <row r="139" spans="1:17" ht="11.25" customHeight="1">
      <c r="A139" s="74" t="s">
        <v>66</v>
      </c>
      <c r="B139" s="277" t="s">
        <v>252</v>
      </c>
      <c r="C139" s="149">
        <f t="shared" si="22"/>
        <v>17.739999999999998</v>
      </c>
      <c r="D139" s="452">
        <v>17.739999999999998</v>
      </c>
      <c r="E139" s="98" t="s">
        <v>131</v>
      </c>
      <c r="F139" s="100" t="s">
        <v>297</v>
      </c>
      <c r="G139" s="150">
        <f t="shared" si="23"/>
        <v>19.93</v>
      </c>
      <c r="H139" s="452">
        <v>19.93</v>
      </c>
      <c r="J139" s="37"/>
      <c r="K139" s="150">
        <f t="shared" si="24"/>
        <v>20.76</v>
      </c>
      <c r="L139" s="150">
        <f t="shared" si="24"/>
        <v>19.98</v>
      </c>
      <c r="N139" s="116"/>
      <c r="O139" s="405">
        <f t="shared" si="25"/>
        <v>20.88</v>
      </c>
      <c r="P139" s="407"/>
      <c r="Q139" s="403"/>
    </row>
    <row r="140" spans="1:17" ht="11.25" customHeight="1">
      <c r="A140" s="74" t="s">
        <v>66</v>
      </c>
      <c r="B140" s="277" t="s">
        <v>285</v>
      </c>
      <c r="C140" s="149">
        <f t="shared" si="22"/>
        <v>16.95</v>
      </c>
      <c r="D140" s="452">
        <v>16.95</v>
      </c>
      <c r="E140" s="98" t="s">
        <v>131</v>
      </c>
      <c r="F140" s="100" t="s">
        <v>298</v>
      </c>
      <c r="G140" s="150">
        <f t="shared" si="23"/>
        <v>19.190000000000001</v>
      </c>
      <c r="H140" s="452">
        <v>19.53</v>
      </c>
      <c r="J140" s="37"/>
      <c r="K140" s="150">
        <f t="shared" si="24"/>
        <v>19.989999999999998</v>
      </c>
      <c r="L140" s="150">
        <f t="shared" si="24"/>
        <v>19.23</v>
      </c>
      <c r="N140" s="116"/>
      <c r="O140" s="405">
        <f t="shared" si="25"/>
        <v>20.100000000000001</v>
      </c>
      <c r="P140" s="407"/>
      <c r="Q140" s="403"/>
    </row>
    <row r="141" spans="1:17" ht="11.25" customHeight="1">
      <c r="A141" s="74" t="s">
        <v>66</v>
      </c>
      <c r="B141" s="277" t="s">
        <v>286</v>
      </c>
      <c r="C141" s="149">
        <f t="shared" si="22"/>
        <v>16.25</v>
      </c>
      <c r="D141" s="452">
        <v>16.25</v>
      </c>
      <c r="E141" s="98" t="s">
        <v>131</v>
      </c>
      <c r="F141" s="100" t="s">
        <v>299</v>
      </c>
      <c r="G141" s="150">
        <f t="shared" si="23"/>
        <v>18.66</v>
      </c>
      <c r="H141" s="452">
        <v>18.79</v>
      </c>
      <c r="J141" s="37"/>
      <c r="K141" s="150">
        <f t="shared" si="24"/>
        <v>19.46</v>
      </c>
      <c r="L141" s="150">
        <f t="shared" si="24"/>
        <v>18.690000000000001</v>
      </c>
      <c r="N141" s="116"/>
      <c r="O141" s="405">
        <f t="shared" si="25"/>
        <v>19.559999999999999</v>
      </c>
      <c r="P141" s="407"/>
      <c r="Q141" s="403"/>
    </row>
    <row r="142" spans="1:17" ht="11.25" customHeight="1">
      <c r="A142" s="74" t="s">
        <v>66</v>
      </c>
      <c r="B142" s="277" t="s">
        <v>287</v>
      </c>
      <c r="C142" s="149">
        <f t="shared" si="22"/>
        <v>15.05</v>
      </c>
      <c r="D142" s="452">
        <v>15.05</v>
      </c>
      <c r="E142" s="98" t="s">
        <v>131</v>
      </c>
      <c r="F142" s="100" t="s">
        <v>300</v>
      </c>
      <c r="G142" s="150">
        <f t="shared" si="23"/>
        <v>17.73</v>
      </c>
      <c r="H142" s="452">
        <v>17.2</v>
      </c>
      <c r="J142" s="37"/>
      <c r="K142" s="150">
        <f t="shared" si="24"/>
        <v>18.489999999999998</v>
      </c>
      <c r="L142" s="150">
        <f t="shared" si="24"/>
        <v>17.79</v>
      </c>
      <c r="N142" s="116"/>
      <c r="O142" s="405">
        <f t="shared" si="25"/>
        <v>18.600000000000001</v>
      </c>
      <c r="P142" s="407"/>
      <c r="Q142" s="403"/>
    </row>
    <row r="143" spans="1:17" ht="11.25" customHeight="1">
      <c r="A143" s="74" t="s">
        <v>66</v>
      </c>
      <c r="B143" s="277" t="s">
        <v>288</v>
      </c>
      <c r="C143" s="149">
        <f t="shared" si="22"/>
        <v>13.96</v>
      </c>
      <c r="D143" s="452">
        <v>13.96</v>
      </c>
      <c r="E143" s="98" t="s">
        <v>131</v>
      </c>
      <c r="F143" s="100" t="s">
        <v>301</v>
      </c>
      <c r="G143" s="150">
        <f t="shared" si="23"/>
        <v>16.809999999999999</v>
      </c>
      <c r="H143" s="452">
        <v>15.83</v>
      </c>
      <c r="J143" s="37"/>
      <c r="K143" s="150">
        <f t="shared" si="24"/>
        <v>17.52</v>
      </c>
      <c r="L143" s="150">
        <f t="shared" si="24"/>
        <v>16.87</v>
      </c>
      <c r="N143" s="116"/>
      <c r="O143" s="405">
        <f t="shared" si="25"/>
        <v>17.63</v>
      </c>
      <c r="P143" s="407"/>
      <c r="Q143" s="403"/>
    </row>
    <row r="144" spans="1:17" ht="11.25" customHeight="1">
      <c r="B144" s="37"/>
      <c r="C144" s="37"/>
      <c r="D144" s="37"/>
      <c r="E144" s="98" t="s">
        <v>131</v>
      </c>
      <c r="F144" s="100" t="s">
        <v>302</v>
      </c>
      <c r="G144" s="150">
        <f t="shared" si="23"/>
        <v>16.010000000000002</v>
      </c>
      <c r="H144" s="37"/>
      <c r="J144" s="37"/>
      <c r="K144" s="150">
        <f t="shared" si="24"/>
        <v>16.670000000000002</v>
      </c>
      <c r="L144" s="150">
        <f t="shared" si="24"/>
        <v>16.05</v>
      </c>
      <c r="N144" s="116"/>
      <c r="O144" s="405">
        <f t="shared" si="25"/>
        <v>16.77</v>
      </c>
      <c r="P144" s="407"/>
      <c r="Q144" s="403"/>
    </row>
    <row r="145" spans="1:17" ht="11.25" customHeight="1">
      <c r="B145" s="37"/>
      <c r="C145" s="37"/>
      <c r="D145" s="37"/>
      <c r="E145" s="98" t="s">
        <v>131</v>
      </c>
      <c r="F145" s="100" t="s">
        <v>243</v>
      </c>
      <c r="G145" s="150">
        <f t="shared" si="23"/>
        <v>15.28</v>
      </c>
      <c r="H145" s="37"/>
      <c r="J145" s="37"/>
      <c r="K145" s="150">
        <f>ROUND(K127*$K$129,2)</f>
        <v>15.93</v>
      </c>
      <c r="L145" s="150">
        <f>ROUND(L127*$K$129,2)</f>
        <v>15.33</v>
      </c>
      <c r="N145" s="116"/>
      <c r="O145" s="405">
        <f t="shared" si="25"/>
        <v>16.02</v>
      </c>
      <c r="P145" s="407"/>
      <c r="Q145" s="403"/>
    </row>
    <row r="146" spans="1:17" ht="11.25" customHeight="1">
      <c r="B146" s="37"/>
      <c r="C146" s="37"/>
      <c r="D146" s="37"/>
      <c r="E146" s="37"/>
      <c r="F146" s="37"/>
      <c r="G146" s="37"/>
      <c r="H146" s="37"/>
      <c r="N146" s="403"/>
      <c r="O146" s="403"/>
      <c r="P146" s="403"/>
      <c r="Q146" s="403"/>
    </row>
    <row r="147" spans="1:17" ht="11.25" customHeight="1" thickBot="1">
      <c r="B147" s="75" t="s">
        <v>320</v>
      </c>
      <c r="C147" s="401">
        <v>1.024</v>
      </c>
      <c r="D147" s="37"/>
      <c r="E147" s="37"/>
      <c r="F147" s="75" t="s">
        <v>320</v>
      </c>
      <c r="G147" s="401">
        <v>1.024</v>
      </c>
      <c r="H147" s="37"/>
      <c r="J147" s="75" t="str">
        <f>'L Tab'!BV28</f>
        <v>ab 1.03.2016</v>
      </c>
      <c r="K147" s="401">
        <f>'L Tab'!BW24</f>
        <v>1.0245</v>
      </c>
      <c r="L147" s="37"/>
      <c r="N147" s="115" t="str">
        <f>'L Tab'!BV41</f>
        <v>ab 1.04.2016</v>
      </c>
      <c r="O147" s="401">
        <f>'L Tab'!BW37</f>
        <v>1.0255000000000001</v>
      </c>
      <c r="P147" s="403"/>
      <c r="Q147" s="403"/>
    </row>
    <row r="148" spans="1:17" ht="11.25" customHeight="1" thickBot="1">
      <c r="B148" s="151" t="s">
        <v>128</v>
      </c>
      <c r="C148" s="150" t="s">
        <v>130</v>
      </c>
      <c r="D148" s="150"/>
      <c r="E148" s="37"/>
      <c r="F148" s="151" t="s">
        <v>129</v>
      </c>
      <c r="G148" s="150" t="s">
        <v>185</v>
      </c>
      <c r="H148" s="150"/>
      <c r="J148" s="151" t="s">
        <v>19</v>
      </c>
      <c r="K148" s="150" t="s">
        <v>186</v>
      </c>
      <c r="L148" s="37"/>
      <c r="N148" s="404" t="s">
        <v>232</v>
      </c>
      <c r="O148" s="405" t="s">
        <v>328</v>
      </c>
      <c r="P148" s="403"/>
      <c r="Q148" s="403" t="s">
        <v>241</v>
      </c>
    </row>
    <row r="149" spans="1:17" ht="11.25" customHeight="1">
      <c r="A149" s="147" t="s">
        <v>277</v>
      </c>
      <c r="C149" s="149" t="s">
        <v>220</v>
      </c>
      <c r="D149" s="37"/>
      <c r="E149" s="98" t="s">
        <v>289</v>
      </c>
      <c r="G149" s="149" t="s">
        <v>220</v>
      </c>
      <c r="H149" s="37"/>
      <c r="J149" s="37"/>
      <c r="K149" s="149" t="s">
        <v>56</v>
      </c>
      <c r="L149" s="149" t="s">
        <v>57</v>
      </c>
      <c r="N149" s="116"/>
      <c r="O149" s="406" t="s">
        <v>201</v>
      </c>
      <c r="P149" s="403"/>
      <c r="Q149" s="403"/>
    </row>
    <row r="150" spans="1:17" ht="11.25" customHeight="1">
      <c r="A150" s="74" t="s">
        <v>66</v>
      </c>
      <c r="B150" s="277" t="s">
        <v>279</v>
      </c>
      <c r="C150" s="149">
        <f>ROUND(C132*$C$147,2)</f>
        <v>25.18</v>
      </c>
      <c r="D150" s="37"/>
      <c r="E150" s="98" t="s">
        <v>131</v>
      </c>
      <c r="F150" s="100" t="s">
        <v>290</v>
      </c>
      <c r="G150" s="150">
        <f>ROUND(G132*$C$147,2)</f>
        <v>29.48</v>
      </c>
      <c r="J150" s="37"/>
      <c r="K150" s="150">
        <f>ROUND(K132*$K$147,2)</f>
        <v>30.75</v>
      </c>
      <c r="L150" s="150">
        <f>ROUND(L132*$K$147,2)</f>
        <v>29.59</v>
      </c>
      <c r="N150" s="116"/>
      <c r="O150" s="405">
        <f>ROUND(O132*$O$147,2)</f>
        <v>30.95</v>
      </c>
      <c r="P150" s="403"/>
      <c r="Q150" s="403"/>
    </row>
    <row r="151" spans="1:17" ht="11.25" customHeight="1">
      <c r="A151" s="74" t="s">
        <v>66</v>
      </c>
      <c r="B151" s="277" t="s">
        <v>280</v>
      </c>
      <c r="C151" s="149">
        <f t="shared" ref="C151:C161" si="26">ROUND(C133*$C$147,2)</f>
        <v>23.52</v>
      </c>
      <c r="D151" s="37"/>
      <c r="E151" s="98" t="s">
        <v>131</v>
      </c>
      <c r="F151" s="100" t="s">
        <v>291</v>
      </c>
      <c r="G151" s="150">
        <f t="shared" ref="G151:G163" si="27">ROUND(G133*$C$147,2)</f>
        <v>27.17</v>
      </c>
      <c r="J151" s="37"/>
      <c r="K151" s="150">
        <f t="shared" ref="K151:L163" si="28">ROUND(K133*$K$147,2)</f>
        <v>28.33</v>
      </c>
      <c r="L151" s="150">
        <f t="shared" si="28"/>
        <v>27.26</v>
      </c>
      <c r="N151" s="116"/>
      <c r="O151" s="405">
        <f t="shared" ref="O151:O163" si="29">ROUND(O133*$O$147,2)</f>
        <v>28.51</v>
      </c>
      <c r="P151" s="403"/>
      <c r="Q151" s="403"/>
    </row>
    <row r="152" spans="1:17" ht="11.25" customHeight="1">
      <c r="A152" s="74" t="s">
        <v>66</v>
      </c>
      <c r="B152" s="277" t="s">
        <v>281</v>
      </c>
      <c r="C152" s="149">
        <f t="shared" si="26"/>
        <v>22.23</v>
      </c>
      <c r="D152" s="37"/>
      <c r="E152" s="98" t="s">
        <v>131</v>
      </c>
      <c r="F152" s="100" t="s">
        <v>292</v>
      </c>
      <c r="G152" s="150">
        <f t="shared" si="27"/>
        <v>25.62</v>
      </c>
      <c r="J152" s="37"/>
      <c r="K152" s="150">
        <f t="shared" si="28"/>
        <v>26.72</v>
      </c>
      <c r="L152" s="150">
        <f t="shared" si="28"/>
        <v>25.73</v>
      </c>
      <c r="N152" s="116"/>
      <c r="O152" s="405">
        <f t="shared" si="29"/>
        <v>26.9</v>
      </c>
      <c r="P152" s="403"/>
      <c r="Q152" s="403"/>
    </row>
    <row r="153" spans="1:17" ht="11.25" customHeight="1">
      <c r="A153" s="74" t="s">
        <v>66</v>
      </c>
      <c r="B153" s="277" t="s">
        <v>282</v>
      </c>
      <c r="C153" s="149">
        <f t="shared" si="26"/>
        <v>20.82</v>
      </c>
      <c r="D153" s="37"/>
      <c r="E153" s="98" t="s">
        <v>131</v>
      </c>
      <c r="F153" s="100" t="s">
        <v>293</v>
      </c>
      <c r="G153" s="150">
        <f t="shared" si="27"/>
        <v>24.08</v>
      </c>
      <c r="J153" s="37"/>
      <c r="K153" s="150">
        <f t="shared" si="28"/>
        <v>25.11</v>
      </c>
      <c r="L153" s="150">
        <f t="shared" si="28"/>
        <v>24.18</v>
      </c>
      <c r="N153" s="116"/>
      <c r="O153" s="405">
        <f t="shared" si="29"/>
        <v>25.29</v>
      </c>
      <c r="P153" s="403"/>
      <c r="Q153" s="403"/>
    </row>
    <row r="154" spans="1:17" ht="11.25" customHeight="1">
      <c r="A154" s="74" t="s">
        <v>66</v>
      </c>
      <c r="B154" s="277" t="s">
        <v>283</v>
      </c>
      <c r="C154" s="149">
        <f t="shared" si="26"/>
        <v>20.05</v>
      </c>
      <c r="D154" s="37"/>
      <c r="E154" s="98" t="s">
        <v>131</v>
      </c>
      <c r="F154" s="100" t="s">
        <v>294</v>
      </c>
      <c r="G154" s="150">
        <f t="shared" si="27"/>
        <v>22.69</v>
      </c>
      <c r="J154" s="37"/>
      <c r="K154" s="150">
        <f t="shared" si="28"/>
        <v>23.68</v>
      </c>
      <c r="L154" s="150">
        <f t="shared" si="28"/>
        <v>22.75</v>
      </c>
      <c r="N154" s="116"/>
      <c r="O154" s="405">
        <f t="shared" si="29"/>
        <v>23.83</v>
      </c>
      <c r="P154" s="403"/>
      <c r="Q154" s="403"/>
    </row>
    <row r="155" spans="1:17" ht="11.25" customHeight="1">
      <c r="A155" s="74" t="s">
        <v>66</v>
      </c>
      <c r="B155" s="277" t="s">
        <v>284</v>
      </c>
      <c r="C155" s="149">
        <f t="shared" si="26"/>
        <v>19.34</v>
      </c>
      <c r="D155" s="37"/>
      <c r="E155" s="98" t="s">
        <v>131</v>
      </c>
      <c r="F155" s="100" t="s">
        <v>295</v>
      </c>
      <c r="G155" s="150">
        <f t="shared" si="27"/>
        <v>22.3</v>
      </c>
      <c r="J155" s="37"/>
      <c r="K155" s="150">
        <f t="shared" si="28"/>
        <v>23.25</v>
      </c>
      <c r="L155" s="150">
        <f t="shared" si="28"/>
        <v>22.35</v>
      </c>
      <c r="N155" s="116"/>
      <c r="O155" s="405">
        <f t="shared" si="29"/>
        <v>23.4</v>
      </c>
      <c r="P155" s="403"/>
      <c r="Q155" s="403"/>
    </row>
    <row r="156" spans="1:17" ht="11.25" customHeight="1">
      <c r="A156" s="74" t="s">
        <v>66</v>
      </c>
      <c r="B156" s="277" t="s">
        <v>251</v>
      </c>
      <c r="C156" s="149">
        <f t="shared" si="26"/>
        <v>18.46</v>
      </c>
      <c r="D156" s="37"/>
      <c r="E156" s="98" t="s">
        <v>131</v>
      </c>
      <c r="F156" s="100" t="s">
        <v>296</v>
      </c>
      <c r="G156" s="150">
        <f t="shared" si="27"/>
        <v>21.02</v>
      </c>
      <c r="J156" s="37"/>
      <c r="K156" s="150">
        <f t="shared" si="28"/>
        <v>21.93</v>
      </c>
      <c r="L156" s="150">
        <f t="shared" si="28"/>
        <v>21.1</v>
      </c>
      <c r="N156" s="116"/>
      <c r="O156" s="405">
        <f t="shared" si="29"/>
        <v>22.09</v>
      </c>
      <c r="P156" s="403"/>
      <c r="Q156" s="403"/>
    </row>
    <row r="157" spans="1:17" ht="11.25" customHeight="1">
      <c r="A157" s="74" t="s">
        <v>66</v>
      </c>
      <c r="B157" s="277" t="s">
        <v>252</v>
      </c>
      <c r="C157" s="149">
        <f t="shared" si="26"/>
        <v>18.170000000000002</v>
      </c>
      <c r="D157" s="37"/>
      <c r="E157" s="98" t="s">
        <v>131</v>
      </c>
      <c r="F157" s="100" t="s">
        <v>297</v>
      </c>
      <c r="G157" s="150">
        <f t="shared" si="27"/>
        <v>20.41</v>
      </c>
      <c r="J157" s="37"/>
      <c r="K157" s="150">
        <f t="shared" si="28"/>
        <v>21.27</v>
      </c>
      <c r="L157" s="150">
        <f t="shared" si="28"/>
        <v>20.47</v>
      </c>
      <c r="N157" s="116"/>
      <c r="O157" s="405">
        <f t="shared" si="29"/>
        <v>21.41</v>
      </c>
      <c r="P157" s="403"/>
      <c r="Q157" s="403"/>
    </row>
    <row r="158" spans="1:17" ht="11.25" customHeight="1">
      <c r="A158" s="74" t="s">
        <v>66</v>
      </c>
      <c r="B158" s="277" t="s">
        <v>285</v>
      </c>
      <c r="C158" s="149">
        <f t="shared" si="26"/>
        <v>17.36</v>
      </c>
      <c r="D158" s="37"/>
      <c r="E158" s="98" t="s">
        <v>131</v>
      </c>
      <c r="F158" s="100" t="s">
        <v>298</v>
      </c>
      <c r="G158" s="150">
        <f t="shared" si="27"/>
        <v>19.649999999999999</v>
      </c>
      <c r="J158" s="37"/>
      <c r="K158" s="150">
        <f t="shared" si="28"/>
        <v>20.48</v>
      </c>
      <c r="L158" s="150">
        <f t="shared" si="28"/>
        <v>19.7</v>
      </c>
      <c r="N158" s="116"/>
      <c r="O158" s="405">
        <f t="shared" si="29"/>
        <v>20.61</v>
      </c>
      <c r="P158" s="403"/>
      <c r="Q158" s="403"/>
    </row>
    <row r="159" spans="1:17" ht="11.25" customHeight="1">
      <c r="A159" s="74" t="s">
        <v>66</v>
      </c>
      <c r="B159" s="277" t="s">
        <v>286</v>
      </c>
      <c r="C159" s="149">
        <f t="shared" si="26"/>
        <v>16.64</v>
      </c>
      <c r="D159" s="37"/>
      <c r="E159" s="98" t="s">
        <v>131</v>
      </c>
      <c r="F159" s="100" t="s">
        <v>299</v>
      </c>
      <c r="G159" s="150">
        <f t="shared" si="27"/>
        <v>19.11</v>
      </c>
      <c r="J159" s="37"/>
      <c r="K159" s="150">
        <f t="shared" si="28"/>
        <v>19.940000000000001</v>
      </c>
      <c r="L159" s="150">
        <f t="shared" si="28"/>
        <v>19.149999999999999</v>
      </c>
      <c r="N159" s="116"/>
      <c r="O159" s="405">
        <f t="shared" si="29"/>
        <v>20.059999999999999</v>
      </c>
      <c r="P159" s="403"/>
      <c r="Q159" s="403"/>
    </row>
    <row r="160" spans="1:17" ht="11.25" customHeight="1">
      <c r="A160" s="74" t="s">
        <v>66</v>
      </c>
      <c r="B160" s="277" t="s">
        <v>287</v>
      </c>
      <c r="C160" s="149">
        <f t="shared" si="26"/>
        <v>15.41</v>
      </c>
      <c r="D160" s="37"/>
      <c r="E160" s="98" t="s">
        <v>131</v>
      </c>
      <c r="F160" s="100" t="s">
        <v>300</v>
      </c>
      <c r="G160" s="150">
        <f t="shared" si="27"/>
        <v>18.16</v>
      </c>
      <c r="J160" s="37"/>
      <c r="K160" s="150">
        <f t="shared" si="28"/>
        <v>18.940000000000001</v>
      </c>
      <c r="L160" s="150">
        <f t="shared" si="28"/>
        <v>18.23</v>
      </c>
      <c r="N160" s="116"/>
      <c r="O160" s="405">
        <f t="shared" si="29"/>
        <v>19.07</v>
      </c>
      <c r="P160" s="403"/>
      <c r="Q160" s="403"/>
    </row>
    <row r="161" spans="1:17" ht="11.25" customHeight="1">
      <c r="A161" s="74" t="s">
        <v>66</v>
      </c>
      <c r="B161" s="277" t="s">
        <v>288</v>
      </c>
      <c r="C161" s="149">
        <f t="shared" si="26"/>
        <v>14.3</v>
      </c>
      <c r="D161" s="37"/>
      <c r="E161" s="98" t="s">
        <v>131</v>
      </c>
      <c r="F161" s="100" t="s">
        <v>301</v>
      </c>
      <c r="G161" s="150">
        <f t="shared" si="27"/>
        <v>17.21</v>
      </c>
      <c r="J161" s="37"/>
      <c r="K161" s="150">
        <f t="shared" si="28"/>
        <v>17.95</v>
      </c>
      <c r="L161" s="150">
        <f t="shared" si="28"/>
        <v>17.28</v>
      </c>
      <c r="N161" s="116"/>
      <c r="O161" s="405">
        <f t="shared" si="29"/>
        <v>18.079999999999998</v>
      </c>
      <c r="P161" s="403"/>
      <c r="Q161" s="403"/>
    </row>
    <row r="162" spans="1:17" ht="11.25" customHeight="1">
      <c r="B162" s="37"/>
      <c r="C162" s="37"/>
      <c r="D162" s="37"/>
      <c r="E162" s="98" t="s">
        <v>131</v>
      </c>
      <c r="F162" s="100" t="s">
        <v>302</v>
      </c>
      <c r="G162" s="150">
        <f t="shared" si="27"/>
        <v>16.39</v>
      </c>
      <c r="H162" s="37"/>
      <c r="J162" s="37"/>
      <c r="K162" s="150">
        <f t="shared" si="28"/>
        <v>17.079999999999998</v>
      </c>
      <c r="L162" s="150">
        <f t="shared" si="28"/>
        <v>16.440000000000001</v>
      </c>
      <c r="N162" s="116"/>
      <c r="O162" s="405">
        <f t="shared" si="29"/>
        <v>17.2</v>
      </c>
      <c r="P162" s="403"/>
      <c r="Q162" s="403"/>
    </row>
    <row r="163" spans="1:17" ht="11.25" customHeight="1">
      <c r="B163" s="37"/>
      <c r="C163" s="37"/>
      <c r="D163" s="37"/>
      <c r="E163" s="98" t="s">
        <v>131</v>
      </c>
      <c r="F163" s="100" t="s">
        <v>243</v>
      </c>
      <c r="G163" s="150">
        <f t="shared" si="27"/>
        <v>15.65</v>
      </c>
      <c r="H163" s="37"/>
      <c r="J163" s="37"/>
      <c r="K163" s="150">
        <f t="shared" si="28"/>
        <v>16.32</v>
      </c>
      <c r="L163" s="150">
        <f t="shared" si="28"/>
        <v>15.71</v>
      </c>
      <c r="N163" s="116"/>
      <c r="O163" s="405">
        <f t="shared" si="29"/>
        <v>16.43</v>
      </c>
      <c r="P163" s="403"/>
      <c r="Q163" s="403"/>
    </row>
    <row r="164" spans="1:17" ht="11.25" customHeight="1">
      <c r="A164" s="441"/>
      <c r="B164" s="442"/>
      <c r="C164" s="442"/>
      <c r="D164" s="442"/>
      <c r="E164" s="442"/>
      <c r="F164" s="442"/>
      <c r="G164" s="442"/>
      <c r="H164" s="442"/>
    </row>
    <row r="165" spans="1:17" ht="11.25" customHeight="1" thickBot="1">
      <c r="A165" s="448"/>
      <c r="B165" s="445" t="s">
        <v>370</v>
      </c>
      <c r="C165" s="401"/>
      <c r="D165" s="444"/>
      <c r="E165" s="444"/>
      <c r="F165" s="445" t="s">
        <v>370</v>
      </c>
      <c r="G165" s="401"/>
      <c r="H165" s="442"/>
      <c r="J165" s="75" t="str">
        <f>'L Tab'!CD28</f>
        <v>ab 1.01.2017</v>
      </c>
      <c r="K165" s="401">
        <f>'L Tab'!CE24</f>
        <v>1.022</v>
      </c>
      <c r="L165" s="37"/>
    </row>
    <row r="166" spans="1:17" ht="11.25" customHeight="1" thickBot="1">
      <c r="A166" s="448"/>
      <c r="B166" s="446" t="s">
        <v>128</v>
      </c>
      <c r="C166" s="447" t="s">
        <v>130</v>
      </c>
      <c r="D166" s="447"/>
      <c r="E166" s="444"/>
      <c r="F166" s="446" t="s">
        <v>129</v>
      </c>
      <c r="G166" s="447" t="s">
        <v>185</v>
      </c>
      <c r="H166" s="443"/>
      <c r="J166" s="151" t="s">
        <v>19</v>
      </c>
      <c r="K166" s="150" t="s">
        <v>186</v>
      </c>
      <c r="L166" s="37"/>
    </row>
    <row r="167" spans="1:17" ht="11.25" customHeight="1">
      <c r="A167" s="448" t="s">
        <v>277</v>
      </c>
      <c r="B167" s="448"/>
      <c r="C167" s="449" t="s">
        <v>220</v>
      </c>
      <c r="D167" s="444"/>
      <c r="E167" s="448" t="s">
        <v>277</v>
      </c>
      <c r="F167" s="448"/>
      <c r="G167" s="449" t="s">
        <v>220</v>
      </c>
      <c r="H167" s="442"/>
      <c r="J167" s="37"/>
      <c r="K167" s="149" t="s">
        <v>56</v>
      </c>
      <c r="L167" s="149" t="s">
        <v>57</v>
      </c>
    </row>
    <row r="168" spans="1:17" ht="11.25" customHeight="1">
      <c r="A168" s="454" t="s">
        <v>387</v>
      </c>
      <c r="B168" s="455">
        <v>16</v>
      </c>
      <c r="C168" s="449">
        <f t="shared" ref="C168:C179" si="30">ROUND(D132*$C$147,2)</f>
        <v>25.18</v>
      </c>
      <c r="D168" s="444"/>
      <c r="E168" s="454" t="s">
        <v>387</v>
      </c>
      <c r="F168" s="455">
        <v>16</v>
      </c>
      <c r="G168" s="447">
        <f t="shared" ref="G168:G179" si="31">ROUND(H132*$G$147,2)</f>
        <v>28.91</v>
      </c>
      <c r="H168" s="442"/>
      <c r="J168" s="37"/>
      <c r="K168" s="150">
        <f t="shared" ref="K168:L181" si="32">ROUND(K150*$K$165,2)</f>
        <v>31.43</v>
      </c>
      <c r="L168" s="150">
        <f t="shared" si="32"/>
        <v>30.24</v>
      </c>
    </row>
    <row r="169" spans="1:17" ht="11.25" customHeight="1">
      <c r="A169" s="454" t="s">
        <v>387</v>
      </c>
      <c r="B169" s="455">
        <v>15</v>
      </c>
      <c r="C169" s="449">
        <f t="shared" si="30"/>
        <v>23.52</v>
      </c>
      <c r="D169" s="444"/>
      <c r="E169" s="454" t="s">
        <v>387</v>
      </c>
      <c r="F169" s="455">
        <v>15</v>
      </c>
      <c r="G169" s="447">
        <f t="shared" si="31"/>
        <v>26.78</v>
      </c>
      <c r="H169" s="442"/>
      <c r="J169" s="37"/>
      <c r="K169" s="150">
        <f t="shared" si="32"/>
        <v>28.95</v>
      </c>
      <c r="L169" s="150">
        <f t="shared" si="32"/>
        <v>27.86</v>
      </c>
    </row>
    <row r="170" spans="1:17" ht="11.25" customHeight="1">
      <c r="A170" s="454" t="s">
        <v>387</v>
      </c>
      <c r="B170" s="455">
        <v>14</v>
      </c>
      <c r="C170" s="449">
        <f t="shared" si="30"/>
        <v>22.23</v>
      </c>
      <c r="D170" s="444"/>
      <c r="E170" s="454" t="s">
        <v>387</v>
      </c>
      <c r="F170" s="455">
        <v>14</v>
      </c>
      <c r="G170" s="447">
        <f t="shared" si="31"/>
        <v>25.24</v>
      </c>
      <c r="H170" s="442"/>
      <c r="J170" s="37"/>
      <c r="K170" s="150">
        <f t="shared" si="32"/>
        <v>27.31</v>
      </c>
      <c r="L170" s="150">
        <f t="shared" si="32"/>
        <v>26.3</v>
      </c>
    </row>
    <row r="171" spans="1:17" ht="11.25" customHeight="1">
      <c r="A171" s="454" t="s">
        <v>387</v>
      </c>
      <c r="B171" s="455">
        <v>13</v>
      </c>
      <c r="C171" s="449">
        <f t="shared" si="30"/>
        <v>20.82</v>
      </c>
      <c r="D171" s="444"/>
      <c r="E171" s="454" t="s">
        <v>387</v>
      </c>
      <c r="F171" s="455">
        <v>13</v>
      </c>
      <c r="G171" s="447">
        <f t="shared" si="31"/>
        <v>23.74</v>
      </c>
      <c r="H171" s="442"/>
      <c r="J171" s="37"/>
      <c r="K171" s="150">
        <f t="shared" si="32"/>
        <v>25.66</v>
      </c>
      <c r="L171" s="150">
        <f t="shared" si="32"/>
        <v>24.71</v>
      </c>
    </row>
    <row r="172" spans="1:17" ht="11.25" customHeight="1">
      <c r="A172" s="454" t="s">
        <v>387</v>
      </c>
      <c r="B172" s="455">
        <v>12</v>
      </c>
      <c r="C172" s="449">
        <f t="shared" si="30"/>
        <v>20.05</v>
      </c>
      <c r="D172" s="444"/>
      <c r="E172" s="454" t="s">
        <v>387</v>
      </c>
      <c r="F172" s="455">
        <v>12</v>
      </c>
      <c r="G172" s="447">
        <f t="shared" si="31"/>
        <v>22.6</v>
      </c>
      <c r="H172" s="442"/>
      <c r="J172" s="37"/>
      <c r="K172" s="150">
        <f t="shared" si="32"/>
        <v>24.2</v>
      </c>
      <c r="L172" s="150">
        <f t="shared" si="32"/>
        <v>23.25</v>
      </c>
    </row>
    <row r="173" spans="1:17" ht="11.25" customHeight="1">
      <c r="A173" s="454" t="s">
        <v>387</v>
      </c>
      <c r="B173" s="455">
        <v>11</v>
      </c>
      <c r="C173" s="449">
        <f t="shared" si="30"/>
        <v>19.34</v>
      </c>
      <c r="D173" s="444"/>
      <c r="E173" s="454" t="s">
        <v>387</v>
      </c>
      <c r="F173" s="455">
        <v>11</v>
      </c>
      <c r="G173" s="447">
        <f t="shared" si="31"/>
        <v>21.99</v>
      </c>
      <c r="H173" s="442"/>
      <c r="J173" s="37"/>
      <c r="K173" s="150">
        <f t="shared" si="32"/>
        <v>23.76</v>
      </c>
      <c r="L173" s="150">
        <f t="shared" si="32"/>
        <v>22.84</v>
      </c>
    </row>
    <row r="174" spans="1:17" ht="11.25" customHeight="1">
      <c r="A174" s="454" t="s">
        <v>387</v>
      </c>
      <c r="B174" s="455">
        <v>10</v>
      </c>
      <c r="C174" s="449">
        <f t="shared" si="30"/>
        <v>18.46</v>
      </c>
      <c r="D174" s="444"/>
      <c r="E174" s="454" t="s">
        <v>387</v>
      </c>
      <c r="F174" s="455">
        <v>10</v>
      </c>
      <c r="G174" s="447">
        <f t="shared" si="31"/>
        <v>20.87</v>
      </c>
      <c r="H174" s="442"/>
      <c r="J174" s="37"/>
      <c r="K174" s="150">
        <f t="shared" si="32"/>
        <v>22.41</v>
      </c>
      <c r="L174" s="150">
        <f t="shared" si="32"/>
        <v>21.56</v>
      </c>
    </row>
    <row r="175" spans="1:17" ht="11.25" customHeight="1">
      <c r="A175" s="454" t="s">
        <v>387</v>
      </c>
      <c r="B175" s="455">
        <v>9</v>
      </c>
      <c r="C175" s="449">
        <f t="shared" si="30"/>
        <v>18.170000000000002</v>
      </c>
      <c r="D175" s="444"/>
      <c r="E175" s="454" t="s">
        <v>387</v>
      </c>
      <c r="F175" s="455">
        <v>9</v>
      </c>
      <c r="G175" s="447">
        <f t="shared" si="31"/>
        <v>20.41</v>
      </c>
      <c r="H175" s="442"/>
      <c r="J175" s="37"/>
      <c r="K175" s="150">
        <f t="shared" si="32"/>
        <v>21.74</v>
      </c>
      <c r="L175" s="150">
        <f t="shared" si="32"/>
        <v>20.92</v>
      </c>
    </row>
    <row r="176" spans="1:17" ht="11.25" customHeight="1">
      <c r="A176" s="454" t="s">
        <v>387</v>
      </c>
      <c r="B176" s="455">
        <v>8</v>
      </c>
      <c r="C176" s="449">
        <f t="shared" si="30"/>
        <v>17.36</v>
      </c>
      <c r="D176" s="444"/>
      <c r="E176" s="454" t="s">
        <v>387</v>
      </c>
      <c r="F176" s="455">
        <v>8</v>
      </c>
      <c r="G176" s="447">
        <f t="shared" si="31"/>
        <v>20</v>
      </c>
      <c r="H176" s="442"/>
      <c r="J176" s="37"/>
      <c r="K176" s="150">
        <f t="shared" si="32"/>
        <v>20.93</v>
      </c>
      <c r="L176" s="150">
        <f t="shared" si="32"/>
        <v>20.13</v>
      </c>
    </row>
    <row r="177" spans="1:12" ht="11.25" customHeight="1">
      <c r="A177" s="454" t="s">
        <v>387</v>
      </c>
      <c r="B177" s="455">
        <v>7</v>
      </c>
      <c r="C177" s="449">
        <f t="shared" si="30"/>
        <v>16.64</v>
      </c>
      <c r="D177" s="444"/>
      <c r="E177" s="454" t="s">
        <v>387</v>
      </c>
      <c r="F177" s="455">
        <v>7</v>
      </c>
      <c r="G177" s="447">
        <f t="shared" si="31"/>
        <v>19.239999999999998</v>
      </c>
      <c r="H177" s="442"/>
      <c r="J177" s="37"/>
      <c r="K177" s="150">
        <f t="shared" si="32"/>
        <v>20.38</v>
      </c>
      <c r="L177" s="150">
        <f t="shared" si="32"/>
        <v>19.57</v>
      </c>
    </row>
    <row r="178" spans="1:12" ht="11.25" customHeight="1">
      <c r="A178" s="454" t="s">
        <v>387</v>
      </c>
      <c r="B178" s="455">
        <v>6</v>
      </c>
      <c r="C178" s="449">
        <f t="shared" si="30"/>
        <v>15.41</v>
      </c>
      <c r="D178" s="444"/>
      <c r="E178" s="454" t="s">
        <v>387</v>
      </c>
      <c r="F178" s="455">
        <v>6</v>
      </c>
      <c r="G178" s="447">
        <f t="shared" si="31"/>
        <v>17.61</v>
      </c>
      <c r="H178" s="442"/>
      <c r="J178" s="37"/>
      <c r="K178" s="150">
        <f t="shared" si="32"/>
        <v>19.36</v>
      </c>
      <c r="L178" s="150">
        <f t="shared" si="32"/>
        <v>18.63</v>
      </c>
    </row>
    <row r="179" spans="1:12" ht="11.25" customHeight="1">
      <c r="A179" s="454" t="s">
        <v>387</v>
      </c>
      <c r="B179" s="455">
        <v>5</v>
      </c>
      <c r="C179" s="449">
        <f t="shared" si="30"/>
        <v>14.3</v>
      </c>
      <c r="D179" s="444"/>
      <c r="E179" s="454" t="s">
        <v>387</v>
      </c>
      <c r="F179" s="455">
        <v>5</v>
      </c>
      <c r="G179" s="447">
        <f t="shared" si="31"/>
        <v>16.21</v>
      </c>
      <c r="H179" s="442"/>
      <c r="J179" s="37"/>
      <c r="K179" s="150">
        <f t="shared" si="32"/>
        <v>18.34</v>
      </c>
      <c r="L179" s="150">
        <f t="shared" si="32"/>
        <v>17.66</v>
      </c>
    </row>
    <row r="180" spans="1:12" ht="11.25" customHeight="1">
      <c r="A180" s="441"/>
      <c r="B180" s="442"/>
      <c r="C180" s="442"/>
      <c r="D180" s="442"/>
      <c r="E180" s="442" t="str">
        <f>""</f>
        <v/>
      </c>
      <c r="F180" s="442" t="str">
        <f>""</f>
        <v/>
      </c>
      <c r="G180" s="442" t="str">
        <f>""</f>
        <v/>
      </c>
      <c r="H180" s="442"/>
      <c r="J180" s="37"/>
      <c r="K180" s="150">
        <f t="shared" si="32"/>
        <v>17.46</v>
      </c>
      <c r="L180" s="150">
        <f t="shared" si="32"/>
        <v>16.8</v>
      </c>
    </row>
    <row r="181" spans="1:12" ht="11.25" customHeight="1">
      <c r="E181" s="442" t="str">
        <f>""</f>
        <v/>
      </c>
      <c r="F181" s="442" t="str">
        <f>""</f>
        <v/>
      </c>
      <c r="G181" s="442" t="str">
        <f>""</f>
        <v/>
      </c>
      <c r="H181" s="442"/>
      <c r="J181" s="37"/>
      <c r="K181" s="150">
        <f t="shared" si="32"/>
        <v>16.68</v>
      </c>
      <c r="L181" s="150">
        <f t="shared" si="32"/>
        <v>16.059999999999999</v>
      </c>
    </row>
    <row r="183" spans="1:12" ht="11.25" customHeight="1" thickBot="1">
      <c r="A183" s="448"/>
      <c r="B183" s="445" t="s">
        <v>372</v>
      </c>
      <c r="C183" s="401">
        <v>1.0235000000000001</v>
      </c>
      <c r="D183" s="444"/>
      <c r="E183" s="444" t="str">
        <f>""</f>
        <v/>
      </c>
      <c r="F183" s="445" t="s">
        <v>372</v>
      </c>
      <c r="G183" s="401">
        <v>1.0235000000000001</v>
      </c>
      <c r="J183" s="75" t="str">
        <f>'L Tab'!CL28</f>
        <v>ab 1.01.2018</v>
      </c>
      <c r="K183" s="401">
        <f>'L Tab'!CM24</f>
        <v>1.0235000000000001</v>
      </c>
      <c r="L183" s="37"/>
    </row>
    <row r="184" spans="1:12" ht="11.25" customHeight="1" thickBot="1">
      <c r="A184" s="448"/>
      <c r="B184" s="446" t="s">
        <v>128</v>
      </c>
      <c r="C184" s="447" t="s">
        <v>130</v>
      </c>
      <c r="D184" s="447"/>
      <c r="E184" s="444"/>
      <c r="F184" s="446" t="s">
        <v>129</v>
      </c>
      <c r="G184" s="447" t="s">
        <v>185</v>
      </c>
      <c r="J184" s="151" t="s">
        <v>19</v>
      </c>
      <c r="K184" s="150" t="s">
        <v>186</v>
      </c>
      <c r="L184" s="37"/>
    </row>
    <row r="185" spans="1:12" ht="11.25" customHeight="1">
      <c r="A185" s="448" t="s">
        <v>277</v>
      </c>
      <c r="B185" s="448"/>
      <c r="C185" s="449" t="s">
        <v>220</v>
      </c>
      <c r="D185" s="444"/>
      <c r="E185" s="448" t="s">
        <v>277</v>
      </c>
      <c r="F185" s="448"/>
      <c r="G185" s="449" t="s">
        <v>220</v>
      </c>
      <c r="J185" s="37"/>
      <c r="K185" s="149" t="s">
        <v>56</v>
      </c>
      <c r="L185" s="149" t="s">
        <v>57</v>
      </c>
    </row>
    <row r="186" spans="1:12" ht="11.25" customHeight="1">
      <c r="A186" s="448" t="s">
        <v>387</v>
      </c>
      <c r="B186" s="450">
        <v>16</v>
      </c>
      <c r="C186" s="449">
        <f t="shared" ref="C186:C197" si="33">ROUND(C168*$C$183,2)</f>
        <v>25.77</v>
      </c>
      <c r="D186" s="444"/>
      <c r="E186" s="448" t="s">
        <v>387</v>
      </c>
      <c r="F186" s="450">
        <v>16</v>
      </c>
      <c r="G186" s="447">
        <f t="shared" ref="G186:G197" si="34">ROUND(G168*$G$183,2)</f>
        <v>29.59</v>
      </c>
      <c r="J186" s="37"/>
      <c r="K186" s="150">
        <f t="shared" ref="K186:L199" si="35">ROUND(K168*$K$183,2)</f>
        <v>32.17</v>
      </c>
      <c r="L186" s="150">
        <f t="shared" si="35"/>
        <v>30.95</v>
      </c>
    </row>
    <row r="187" spans="1:12" ht="11.25" customHeight="1">
      <c r="A187" s="448" t="s">
        <v>387</v>
      </c>
      <c r="B187" s="450">
        <v>15</v>
      </c>
      <c r="C187" s="449">
        <f t="shared" si="33"/>
        <v>24.07</v>
      </c>
      <c r="D187" s="444"/>
      <c r="E187" s="448" t="s">
        <v>387</v>
      </c>
      <c r="F187" s="450">
        <v>15</v>
      </c>
      <c r="G187" s="447">
        <f t="shared" si="34"/>
        <v>27.41</v>
      </c>
      <c r="J187" s="37"/>
      <c r="K187" s="150">
        <f t="shared" si="35"/>
        <v>29.63</v>
      </c>
      <c r="L187" s="150">
        <f t="shared" si="35"/>
        <v>28.51</v>
      </c>
    </row>
    <row r="188" spans="1:12" ht="11.25" customHeight="1">
      <c r="A188" s="448" t="s">
        <v>387</v>
      </c>
      <c r="B188" s="450">
        <v>14</v>
      </c>
      <c r="C188" s="449">
        <f t="shared" si="33"/>
        <v>22.75</v>
      </c>
      <c r="D188" s="444"/>
      <c r="E188" s="448" t="s">
        <v>387</v>
      </c>
      <c r="F188" s="450">
        <v>14</v>
      </c>
      <c r="G188" s="447">
        <f t="shared" si="34"/>
        <v>25.83</v>
      </c>
      <c r="J188" s="37"/>
      <c r="K188" s="150">
        <f t="shared" si="35"/>
        <v>27.95</v>
      </c>
      <c r="L188" s="150">
        <f t="shared" si="35"/>
        <v>26.92</v>
      </c>
    </row>
    <row r="189" spans="1:12" ht="11.25" customHeight="1">
      <c r="A189" s="448" t="s">
        <v>387</v>
      </c>
      <c r="B189" s="450">
        <v>13</v>
      </c>
      <c r="C189" s="449">
        <f t="shared" si="33"/>
        <v>21.31</v>
      </c>
      <c r="D189" s="444"/>
      <c r="E189" s="448" t="s">
        <v>387</v>
      </c>
      <c r="F189" s="450">
        <v>13</v>
      </c>
      <c r="G189" s="447">
        <f t="shared" si="34"/>
        <v>24.3</v>
      </c>
      <c r="J189" s="37"/>
      <c r="K189" s="150">
        <f t="shared" si="35"/>
        <v>26.26</v>
      </c>
      <c r="L189" s="150">
        <f t="shared" si="35"/>
        <v>25.29</v>
      </c>
    </row>
    <row r="190" spans="1:12" ht="11.25" customHeight="1">
      <c r="A190" s="448" t="s">
        <v>387</v>
      </c>
      <c r="B190" s="450">
        <v>12</v>
      </c>
      <c r="C190" s="449">
        <f t="shared" si="33"/>
        <v>20.52</v>
      </c>
      <c r="D190" s="444"/>
      <c r="E190" s="448" t="s">
        <v>387</v>
      </c>
      <c r="F190" s="450">
        <v>12</v>
      </c>
      <c r="G190" s="447">
        <f t="shared" si="34"/>
        <v>23.13</v>
      </c>
      <c r="J190" s="37"/>
      <c r="K190" s="150">
        <f t="shared" si="35"/>
        <v>24.77</v>
      </c>
      <c r="L190" s="150">
        <f t="shared" si="35"/>
        <v>23.8</v>
      </c>
    </row>
    <row r="191" spans="1:12" ht="11.25" customHeight="1">
      <c r="A191" s="448" t="s">
        <v>387</v>
      </c>
      <c r="B191" s="450">
        <v>11</v>
      </c>
      <c r="C191" s="449">
        <f t="shared" si="33"/>
        <v>19.79</v>
      </c>
      <c r="D191" s="444"/>
      <c r="E191" s="448" t="s">
        <v>387</v>
      </c>
      <c r="F191" s="450">
        <v>11</v>
      </c>
      <c r="G191" s="447">
        <f t="shared" si="34"/>
        <v>22.51</v>
      </c>
      <c r="J191" s="37"/>
      <c r="K191" s="150">
        <f t="shared" si="35"/>
        <v>24.32</v>
      </c>
      <c r="L191" s="150">
        <f t="shared" si="35"/>
        <v>23.38</v>
      </c>
    </row>
    <row r="192" spans="1:12" ht="11.25" customHeight="1">
      <c r="A192" s="448" t="s">
        <v>387</v>
      </c>
      <c r="B192" s="450">
        <v>10</v>
      </c>
      <c r="C192" s="449">
        <f t="shared" si="33"/>
        <v>18.89</v>
      </c>
      <c r="D192" s="444"/>
      <c r="E192" s="448" t="s">
        <v>387</v>
      </c>
      <c r="F192" s="450">
        <v>10</v>
      </c>
      <c r="G192" s="447">
        <f t="shared" si="34"/>
        <v>21.36</v>
      </c>
      <c r="J192" s="37"/>
      <c r="K192" s="150">
        <f t="shared" si="35"/>
        <v>22.94</v>
      </c>
      <c r="L192" s="150">
        <f t="shared" si="35"/>
        <v>22.07</v>
      </c>
    </row>
    <row r="193" spans="1:12" ht="11.25" customHeight="1">
      <c r="A193" s="448" t="s">
        <v>387</v>
      </c>
      <c r="B193" s="450">
        <v>9</v>
      </c>
      <c r="C193" s="449">
        <f t="shared" si="33"/>
        <v>18.600000000000001</v>
      </c>
      <c r="D193" s="444"/>
      <c r="E193" s="448" t="s">
        <v>387</v>
      </c>
      <c r="F193" s="450">
        <v>9</v>
      </c>
      <c r="G193" s="447">
        <f t="shared" si="34"/>
        <v>20.89</v>
      </c>
      <c r="J193" s="37"/>
      <c r="K193" s="150">
        <f t="shared" si="35"/>
        <v>22.25</v>
      </c>
      <c r="L193" s="150">
        <f t="shared" si="35"/>
        <v>21.41</v>
      </c>
    </row>
    <row r="194" spans="1:12" ht="11.25" customHeight="1">
      <c r="A194" s="448" t="s">
        <v>387</v>
      </c>
      <c r="B194" s="450">
        <v>8</v>
      </c>
      <c r="C194" s="449">
        <f t="shared" si="33"/>
        <v>17.77</v>
      </c>
      <c r="D194" s="444"/>
      <c r="E194" s="448" t="s">
        <v>387</v>
      </c>
      <c r="F194" s="450">
        <v>8</v>
      </c>
      <c r="G194" s="447">
        <f t="shared" si="34"/>
        <v>20.47</v>
      </c>
      <c r="J194" s="37"/>
      <c r="K194" s="150">
        <f t="shared" si="35"/>
        <v>21.42</v>
      </c>
      <c r="L194" s="150">
        <f t="shared" si="35"/>
        <v>20.6</v>
      </c>
    </row>
    <row r="195" spans="1:12" ht="11.25" customHeight="1">
      <c r="A195" s="448" t="s">
        <v>387</v>
      </c>
      <c r="B195" s="450">
        <v>7</v>
      </c>
      <c r="C195" s="449">
        <f t="shared" si="33"/>
        <v>17.03</v>
      </c>
      <c r="D195" s="444"/>
      <c r="E195" s="448" t="s">
        <v>387</v>
      </c>
      <c r="F195" s="450">
        <v>7</v>
      </c>
      <c r="G195" s="447">
        <f t="shared" si="34"/>
        <v>19.690000000000001</v>
      </c>
      <c r="J195" s="37"/>
      <c r="K195" s="150">
        <f t="shared" si="35"/>
        <v>20.86</v>
      </c>
      <c r="L195" s="150">
        <f t="shared" si="35"/>
        <v>20.03</v>
      </c>
    </row>
    <row r="196" spans="1:12" ht="11.25" customHeight="1">
      <c r="A196" s="448" t="s">
        <v>387</v>
      </c>
      <c r="B196" s="450">
        <v>6</v>
      </c>
      <c r="C196" s="449">
        <f t="shared" si="33"/>
        <v>15.77</v>
      </c>
      <c r="D196" s="444"/>
      <c r="E196" s="448" t="s">
        <v>387</v>
      </c>
      <c r="F196" s="450">
        <v>6</v>
      </c>
      <c r="G196" s="447">
        <f t="shared" si="34"/>
        <v>18.02</v>
      </c>
      <c r="J196" s="37"/>
      <c r="K196" s="150">
        <f t="shared" si="35"/>
        <v>19.809999999999999</v>
      </c>
      <c r="L196" s="150">
        <f t="shared" si="35"/>
        <v>19.07</v>
      </c>
    </row>
    <row r="197" spans="1:12" ht="11.25" customHeight="1">
      <c r="A197" s="448" t="s">
        <v>387</v>
      </c>
      <c r="B197" s="450">
        <v>5</v>
      </c>
      <c r="C197" s="449">
        <f t="shared" si="33"/>
        <v>14.64</v>
      </c>
      <c r="D197" s="444"/>
      <c r="E197" s="448" t="s">
        <v>387</v>
      </c>
      <c r="F197" s="450">
        <v>5</v>
      </c>
      <c r="G197" s="447">
        <f t="shared" si="34"/>
        <v>16.59</v>
      </c>
      <c r="J197" s="37"/>
      <c r="K197" s="150">
        <f t="shared" si="35"/>
        <v>18.77</v>
      </c>
      <c r="L197" s="150">
        <f t="shared" si="35"/>
        <v>18.079999999999998</v>
      </c>
    </row>
    <row r="198" spans="1:12" ht="11.25" customHeight="1">
      <c r="A198" s="441"/>
      <c r="B198" s="442"/>
      <c r="C198" s="442"/>
      <c r="D198" s="442"/>
      <c r="E198" s="442" t="str">
        <f>""</f>
        <v/>
      </c>
      <c r="F198" s="442" t="str">
        <f>""</f>
        <v/>
      </c>
      <c r="G198" s="442" t="str">
        <f>""</f>
        <v/>
      </c>
      <c r="H198" s="442"/>
      <c r="J198" s="37"/>
      <c r="K198" s="150">
        <f t="shared" si="35"/>
        <v>17.87</v>
      </c>
      <c r="L198" s="150">
        <f t="shared" si="35"/>
        <v>17.190000000000001</v>
      </c>
    </row>
    <row r="199" spans="1:12" ht="11.25" customHeight="1">
      <c r="E199" s="442" t="str">
        <f>""</f>
        <v/>
      </c>
      <c r="F199" s="442" t="str">
        <f>""</f>
        <v/>
      </c>
      <c r="G199" s="442" t="str">
        <f>""</f>
        <v/>
      </c>
      <c r="H199" s="442"/>
      <c r="J199" s="37"/>
      <c r="K199" s="150">
        <f t="shared" si="35"/>
        <v>17.07</v>
      </c>
      <c r="L199" s="150">
        <f t="shared" si="35"/>
        <v>16.440000000000001</v>
      </c>
    </row>
    <row r="201" spans="1:12" ht="11.25" customHeight="1" thickBot="1">
      <c r="A201" s="448"/>
      <c r="B201" s="445" t="s">
        <v>468</v>
      </c>
      <c r="C201" s="529">
        <v>1.0289999999999999</v>
      </c>
      <c r="D201" s="444"/>
      <c r="E201" s="444" t="str">
        <f>""</f>
        <v/>
      </c>
      <c r="F201" s="445" t="s">
        <v>468</v>
      </c>
      <c r="G201" s="529">
        <v>1.0289999999999999</v>
      </c>
      <c r="J201" s="75" t="str">
        <f>'L Tab'!DB28</f>
        <v>ab 1.01.2019</v>
      </c>
      <c r="K201" s="529">
        <v>1.032</v>
      </c>
      <c r="L201" s="37"/>
    </row>
    <row r="202" spans="1:12" ht="11.25" customHeight="1" thickBot="1">
      <c r="A202" s="448"/>
      <c r="B202" s="446" t="s">
        <v>128</v>
      </c>
      <c r="C202" s="447" t="s">
        <v>130</v>
      </c>
      <c r="D202" s="447"/>
      <c r="E202" s="444"/>
      <c r="F202" s="446" t="s">
        <v>129</v>
      </c>
      <c r="G202" s="447" t="s">
        <v>185</v>
      </c>
      <c r="J202" s="151" t="s">
        <v>19</v>
      </c>
      <c r="K202" s="150" t="s">
        <v>186</v>
      </c>
      <c r="L202" s="37"/>
    </row>
    <row r="203" spans="1:12" ht="11.25" customHeight="1">
      <c r="A203" s="448" t="s">
        <v>277</v>
      </c>
      <c r="B203" s="448"/>
      <c r="C203" s="449" t="s">
        <v>220</v>
      </c>
      <c r="D203" s="444"/>
      <c r="E203" s="448" t="s">
        <v>277</v>
      </c>
      <c r="F203" s="448"/>
      <c r="G203" s="449" t="s">
        <v>220</v>
      </c>
      <c r="J203" s="37"/>
      <c r="K203" s="149" t="s">
        <v>56</v>
      </c>
      <c r="L203" s="149" t="s">
        <v>57</v>
      </c>
    </row>
    <row r="204" spans="1:12" ht="11.25" customHeight="1">
      <c r="A204" s="448" t="s">
        <v>387</v>
      </c>
      <c r="B204" s="450">
        <v>16</v>
      </c>
      <c r="C204" s="449">
        <f>ROUND(C186*$C$201,2)</f>
        <v>26.52</v>
      </c>
      <c r="D204" s="444"/>
      <c r="E204" s="448" t="s">
        <v>387</v>
      </c>
      <c r="F204" s="450">
        <v>16</v>
      </c>
      <c r="G204" s="447">
        <f>ROUND(G186*$G$201,2)</f>
        <v>30.45</v>
      </c>
      <c r="J204" s="37"/>
      <c r="K204" s="150">
        <f>ROUND(K186*$K$201,2)</f>
        <v>33.200000000000003</v>
      </c>
      <c r="L204" s="150">
        <f>ROUND(L186*$K$201,2)</f>
        <v>31.94</v>
      </c>
    </row>
    <row r="205" spans="1:12" ht="11.25" customHeight="1">
      <c r="A205" s="448" t="s">
        <v>387</v>
      </c>
      <c r="B205" s="450">
        <v>15</v>
      </c>
      <c r="C205" s="449">
        <f t="shared" ref="C205:C215" si="36">ROUND(C187*$C$201,2)</f>
        <v>24.77</v>
      </c>
      <c r="D205" s="444"/>
      <c r="E205" s="448" t="s">
        <v>387</v>
      </c>
      <c r="F205" s="450">
        <v>15</v>
      </c>
      <c r="G205" s="447">
        <f t="shared" ref="G205:G215" si="37">ROUND(G187*$G$201,2)</f>
        <v>28.2</v>
      </c>
      <c r="J205" s="37"/>
      <c r="K205" s="150">
        <f t="shared" ref="K205:L217" si="38">ROUND(K187*$K$201,2)</f>
        <v>30.58</v>
      </c>
      <c r="L205" s="150">
        <f t="shared" si="38"/>
        <v>29.42</v>
      </c>
    </row>
    <row r="206" spans="1:12" ht="11.25" customHeight="1">
      <c r="A206" s="448" t="s">
        <v>387</v>
      </c>
      <c r="B206" s="450">
        <v>14</v>
      </c>
      <c r="C206" s="449">
        <f t="shared" si="36"/>
        <v>23.41</v>
      </c>
      <c r="D206" s="444"/>
      <c r="E206" s="448" t="s">
        <v>387</v>
      </c>
      <c r="F206" s="450">
        <v>14</v>
      </c>
      <c r="G206" s="447">
        <f t="shared" si="37"/>
        <v>26.58</v>
      </c>
      <c r="J206" s="37"/>
      <c r="K206" s="150">
        <f t="shared" si="38"/>
        <v>28.84</v>
      </c>
      <c r="L206" s="150">
        <f t="shared" si="38"/>
        <v>27.78</v>
      </c>
    </row>
    <row r="207" spans="1:12" ht="11.25" customHeight="1">
      <c r="A207" s="448" t="s">
        <v>387</v>
      </c>
      <c r="B207" s="450">
        <v>13</v>
      </c>
      <c r="C207" s="449">
        <f t="shared" si="36"/>
        <v>21.93</v>
      </c>
      <c r="D207" s="444"/>
      <c r="E207" s="448" t="s">
        <v>387</v>
      </c>
      <c r="F207" s="450">
        <v>13</v>
      </c>
      <c r="G207" s="447">
        <f t="shared" si="37"/>
        <v>25</v>
      </c>
      <c r="J207" s="37"/>
      <c r="K207" s="150">
        <f t="shared" si="38"/>
        <v>27.1</v>
      </c>
      <c r="L207" s="150">
        <f t="shared" si="38"/>
        <v>26.1</v>
      </c>
    </row>
    <row r="208" spans="1:12" ht="11.25" customHeight="1">
      <c r="A208" s="448" t="s">
        <v>387</v>
      </c>
      <c r="B208" s="450">
        <v>12</v>
      </c>
      <c r="C208" s="449">
        <f t="shared" si="36"/>
        <v>21.12</v>
      </c>
      <c r="D208" s="444"/>
      <c r="E208" s="448" t="s">
        <v>387</v>
      </c>
      <c r="F208" s="450">
        <v>12</v>
      </c>
      <c r="G208" s="447">
        <f t="shared" si="37"/>
        <v>23.8</v>
      </c>
      <c r="J208" s="37"/>
      <c r="K208" s="150">
        <f t="shared" si="38"/>
        <v>25.56</v>
      </c>
      <c r="L208" s="150">
        <f t="shared" si="38"/>
        <v>24.56</v>
      </c>
    </row>
    <row r="209" spans="1:12" ht="11.25" customHeight="1">
      <c r="A209" s="448" t="s">
        <v>387</v>
      </c>
      <c r="B209" s="450">
        <v>11</v>
      </c>
      <c r="C209" s="449">
        <f t="shared" si="36"/>
        <v>20.36</v>
      </c>
      <c r="D209" s="444"/>
      <c r="E209" s="448" t="s">
        <v>387</v>
      </c>
      <c r="F209" s="450">
        <v>11</v>
      </c>
      <c r="G209" s="447">
        <f t="shared" si="37"/>
        <v>23.16</v>
      </c>
      <c r="J209" s="37"/>
      <c r="K209" s="150">
        <f t="shared" si="38"/>
        <v>25.1</v>
      </c>
      <c r="L209" s="150">
        <f t="shared" si="38"/>
        <v>24.13</v>
      </c>
    </row>
    <row r="210" spans="1:12" ht="11.25" customHeight="1">
      <c r="A210" s="448" t="s">
        <v>387</v>
      </c>
      <c r="B210" s="450">
        <v>10</v>
      </c>
      <c r="C210" s="449">
        <f t="shared" si="36"/>
        <v>19.440000000000001</v>
      </c>
      <c r="D210" s="444"/>
      <c r="E210" s="448" t="s">
        <v>387</v>
      </c>
      <c r="F210" s="450">
        <v>10</v>
      </c>
      <c r="G210" s="447">
        <f t="shared" si="37"/>
        <v>21.98</v>
      </c>
      <c r="J210" s="37"/>
      <c r="K210" s="150">
        <f t="shared" si="38"/>
        <v>23.67</v>
      </c>
      <c r="L210" s="150">
        <f t="shared" si="38"/>
        <v>22.78</v>
      </c>
    </row>
    <row r="211" spans="1:12" ht="11.25" customHeight="1">
      <c r="A211" s="448" t="s">
        <v>387</v>
      </c>
      <c r="B211" s="450">
        <v>9</v>
      </c>
      <c r="C211" s="449">
        <f t="shared" si="36"/>
        <v>19.14</v>
      </c>
      <c r="D211" s="444"/>
      <c r="E211" s="448" t="s">
        <v>387</v>
      </c>
      <c r="F211" s="450">
        <v>9</v>
      </c>
      <c r="G211" s="447">
        <f t="shared" si="37"/>
        <v>21.5</v>
      </c>
      <c r="J211" s="37"/>
      <c r="K211" s="150">
        <f t="shared" si="38"/>
        <v>22.96</v>
      </c>
      <c r="L211" s="150">
        <f t="shared" si="38"/>
        <v>22.1</v>
      </c>
    </row>
    <row r="212" spans="1:12" ht="11.25" customHeight="1">
      <c r="A212" s="448" t="s">
        <v>387</v>
      </c>
      <c r="B212" s="450">
        <v>8</v>
      </c>
      <c r="C212" s="449">
        <f t="shared" si="36"/>
        <v>18.29</v>
      </c>
      <c r="D212" s="444"/>
      <c r="E212" s="448" t="s">
        <v>387</v>
      </c>
      <c r="F212" s="450">
        <v>8</v>
      </c>
      <c r="G212" s="447">
        <f t="shared" si="37"/>
        <v>21.06</v>
      </c>
      <c r="J212" s="37"/>
      <c r="K212" s="150">
        <f t="shared" si="38"/>
        <v>22.11</v>
      </c>
      <c r="L212" s="150">
        <f t="shared" si="38"/>
        <v>21.26</v>
      </c>
    </row>
    <row r="213" spans="1:12" ht="11.25" customHeight="1">
      <c r="A213" s="448" t="s">
        <v>387</v>
      </c>
      <c r="B213" s="450">
        <v>7</v>
      </c>
      <c r="C213" s="449">
        <f t="shared" si="36"/>
        <v>17.52</v>
      </c>
      <c r="D213" s="444"/>
      <c r="E213" s="448" t="s">
        <v>387</v>
      </c>
      <c r="F213" s="450">
        <v>7</v>
      </c>
      <c r="G213" s="447">
        <f t="shared" si="37"/>
        <v>20.260000000000002</v>
      </c>
      <c r="J213" s="37"/>
      <c r="K213" s="150">
        <f t="shared" si="38"/>
        <v>21.53</v>
      </c>
      <c r="L213" s="150">
        <f t="shared" si="38"/>
        <v>20.67</v>
      </c>
    </row>
    <row r="214" spans="1:12" ht="11.25" customHeight="1">
      <c r="A214" s="448" t="s">
        <v>387</v>
      </c>
      <c r="B214" s="450">
        <v>6</v>
      </c>
      <c r="C214" s="449">
        <f t="shared" si="36"/>
        <v>16.23</v>
      </c>
      <c r="D214" s="444"/>
      <c r="E214" s="448" t="s">
        <v>387</v>
      </c>
      <c r="F214" s="450">
        <v>6</v>
      </c>
      <c r="G214" s="447">
        <f t="shared" si="37"/>
        <v>18.54</v>
      </c>
      <c r="J214" s="37"/>
      <c r="K214" s="150">
        <f t="shared" si="38"/>
        <v>20.440000000000001</v>
      </c>
      <c r="L214" s="150">
        <f t="shared" si="38"/>
        <v>19.68</v>
      </c>
    </row>
    <row r="215" spans="1:12" ht="11.25" customHeight="1">
      <c r="A215" s="448" t="s">
        <v>387</v>
      </c>
      <c r="B215" s="450">
        <v>5</v>
      </c>
      <c r="C215" s="449">
        <f t="shared" si="36"/>
        <v>15.06</v>
      </c>
      <c r="D215" s="444"/>
      <c r="E215" s="448" t="s">
        <v>387</v>
      </c>
      <c r="F215" s="450">
        <v>5</v>
      </c>
      <c r="G215" s="447">
        <f t="shared" si="37"/>
        <v>17.07</v>
      </c>
      <c r="J215" s="37"/>
      <c r="K215" s="150">
        <f t="shared" si="38"/>
        <v>19.37</v>
      </c>
      <c r="L215" s="150">
        <f t="shared" si="38"/>
        <v>18.66</v>
      </c>
    </row>
    <row r="216" spans="1:12" ht="11.25" customHeight="1">
      <c r="A216" s="441"/>
      <c r="B216" s="442"/>
      <c r="C216" s="442"/>
      <c r="D216" s="442"/>
      <c r="E216" s="442" t="str">
        <f>""</f>
        <v/>
      </c>
      <c r="F216" s="442" t="str">
        <f>""</f>
        <v/>
      </c>
      <c r="G216" s="442" t="str">
        <f>""</f>
        <v/>
      </c>
      <c r="H216" s="442"/>
      <c r="J216" s="37"/>
      <c r="K216" s="150">
        <f t="shared" si="38"/>
        <v>18.440000000000001</v>
      </c>
      <c r="L216" s="150">
        <f t="shared" si="38"/>
        <v>17.739999999999998</v>
      </c>
    </row>
    <row r="217" spans="1:12" ht="11.25" customHeight="1">
      <c r="E217" s="442" t="str">
        <f>""</f>
        <v/>
      </c>
      <c r="F217" s="442" t="str">
        <f>""</f>
        <v/>
      </c>
      <c r="G217" s="442" t="str">
        <f>""</f>
        <v/>
      </c>
      <c r="H217" s="442"/>
      <c r="J217" s="37"/>
      <c r="K217" s="150">
        <f t="shared" si="38"/>
        <v>17.62</v>
      </c>
      <c r="L217" s="150">
        <f t="shared" si="38"/>
        <v>16.97</v>
      </c>
    </row>
    <row r="219" spans="1:12" ht="11.25" customHeight="1" thickBot="1">
      <c r="A219" s="448"/>
      <c r="B219" s="530" t="s">
        <v>508</v>
      </c>
      <c r="C219" s="529">
        <v>1.0338000000000001</v>
      </c>
      <c r="D219" s="444"/>
      <c r="E219" s="444" t="str">
        <f>""</f>
        <v/>
      </c>
      <c r="F219" s="530" t="s">
        <v>508</v>
      </c>
      <c r="G219" s="529">
        <v>1.0338000000000001</v>
      </c>
      <c r="J219" s="75" t="str">
        <f>'L Tab'!DJ28</f>
        <v>ab 1.01.2020</v>
      </c>
      <c r="K219" s="529">
        <v>1.032</v>
      </c>
      <c r="L219" s="37"/>
    </row>
    <row r="220" spans="1:12" ht="11.25" customHeight="1" thickBot="1">
      <c r="A220" s="448"/>
      <c r="B220" s="446" t="s">
        <v>128</v>
      </c>
      <c r="C220" s="447" t="s">
        <v>130</v>
      </c>
      <c r="D220" s="447"/>
      <c r="E220" s="444"/>
      <c r="F220" s="446" t="s">
        <v>129</v>
      </c>
      <c r="G220" s="447" t="s">
        <v>185</v>
      </c>
      <c r="J220" s="151" t="s">
        <v>19</v>
      </c>
      <c r="K220" s="150" t="s">
        <v>186</v>
      </c>
      <c r="L220" s="37"/>
    </row>
    <row r="221" spans="1:12" ht="11.25" customHeight="1">
      <c r="A221" s="448" t="s">
        <v>277</v>
      </c>
      <c r="B221" s="448"/>
      <c r="C221" s="449" t="s">
        <v>220</v>
      </c>
      <c r="D221" s="444"/>
      <c r="E221" s="448" t="s">
        <v>277</v>
      </c>
      <c r="F221" s="448"/>
      <c r="G221" s="449" t="s">
        <v>220</v>
      </c>
      <c r="J221" s="37"/>
      <c r="K221" s="149" t="s">
        <v>56</v>
      </c>
      <c r="L221" s="149" t="s">
        <v>57</v>
      </c>
    </row>
    <row r="222" spans="1:12" ht="11.25" customHeight="1">
      <c r="A222" s="448" t="s">
        <v>387</v>
      </c>
      <c r="B222" s="450">
        <v>16</v>
      </c>
      <c r="C222" s="449">
        <f>ROUND(C204*$C$219,2)</f>
        <v>27.42</v>
      </c>
      <c r="D222" s="444"/>
      <c r="E222" s="448" t="s">
        <v>387</v>
      </c>
      <c r="F222" s="450">
        <v>16</v>
      </c>
      <c r="G222" s="447">
        <f>ROUND(G204*$G$219,2)</f>
        <v>31.48</v>
      </c>
      <c r="J222" s="37"/>
      <c r="K222" s="150">
        <f t="shared" ref="K222:L235" si="39">ROUND(K204*$K$219,2)</f>
        <v>34.26</v>
      </c>
      <c r="L222" s="150">
        <f t="shared" si="39"/>
        <v>32.96</v>
      </c>
    </row>
    <row r="223" spans="1:12" ht="11.25" customHeight="1">
      <c r="A223" s="448" t="s">
        <v>387</v>
      </c>
      <c r="B223" s="450">
        <v>15</v>
      </c>
      <c r="C223" s="449">
        <f t="shared" ref="C223:C233" si="40">ROUND(C205*$C$219,2)</f>
        <v>25.61</v>
      </c>
      <c r="D223" s="444"/>
      <c r="E223" s="448" t="s">
        <v>387</v>
      </c>
      <c r="F223" s="450">
        <v>15</v>
      </c>
      <c r="G223" s="447">
        <f t="shared" ref="G223:G232" si="41">ROUND(G205*$G$219,2)</f>
        <v>29.15</v>
      </c>
      <c r="J223" s="37"/>
      <c r="K223" s="150">
        <f t="shared" si="39"/>
        <v>31.56</v>
      </c>
      <c r="L223" s="150">
        <f t="shared" si="39"/>
        <v>30.36</v>
      </c>
    </row>
    <row r="224" spans="1:12" ht="11.25" customHeight="1">
      <c r="A224" s="448" t="s">
        <v>387</v>
      </c>
      <c r="B224" s="450">
        <v>14</v>
      </c>
      <c r="C224" s="449">
        <f t="shared" si="40"/>
        <v>24.2</v>
      </c>
      <c r="D224" s="444"/>
      <c r="E224" s="448" t="s">
        <v>387</v>
      </c>
      <c r="F224" s="450">
        <v>14</v>
      </c>
      <c r="G224" s="447">
        <f t="shared" si="41"/>
        <v>27.48</v>
      </c>
      <c r="J224" s="37"/>
      <c r="K224" s="150">
        <f t="shared" si="39"/>
        <v>29.76</v>
      </c>
      <c r="L224" s="150">
        <f t="shared" si="39"/>
        <v>28.67</v>
      </c>
    </row>
    <row r="225" spans="1:12" ht="11.25" customHeight="1">
      <c r="A225" s="448" t="s">
        <v>387</v>
      </c>
      <c r="B225" s="450">
        <v>13</v>
      </c>
      <c r="C225" s="449">
        <f t="shared" si="40"/>
        <v>22.67</v>
      </c>
      <c r="D225" s="444"/>
      <c r="E225" s="448" t="s">
        <v>387</v>
      </c>
      <c r="F225" s="450">
        <v>13</v>
      </c>
      <c r="G225" s="447">
        <f t="shared" si="41"/>
        <v>25.85</v>
      </c>
      <c r="J225" s="37"/>
      <c r="K225" s="150">
        <f t="shared" si="39"/>
        <v>27.97</v>
      </c>
      <c r="L225" s="150">
        <f t="shared" si="39"/>
        <v>26.94</v>
      </c>
    </row>
    <row r="226" spans="1:12" ht="11.25" customHeight="1">
      <c r="A226" s="448" t="s">
        <v>387</v>
      </c>
      <c r="B226" s="450">
        <v>12</v>
      </c>
      <c r="C226" s="449">
        <f t="shared" si="40"/>
        <v>21.83</v>
      </c>
      <c r="D226" s="444"/>
      <c r="E226" s="448" t="s">
        <v>387</v>
      </c>
      <c r="F226" s="450">
        <v>12</v>
      </c>
      <c r="G226" s="447">
        <f t="shared" si="41"/>
        <v>24.6</v>
      </c>
      <c r="J226" s="37"/>
      <c r="K226" s="150">
        <f t="shared" si="39"/>
        <v>26.38</v>
      </c>
      <c r="L226" s="150">
        <f t="shared" si="39"/>
        <v>25.35</v>
      </c>
    </row>
    <row r="227" spans="1:12" ht="11.25" customHeight="1">
      <c r="A227" s="448" t="s">
        <v>387</v>
      </c>
      <c r="B227" s="450">
        <v>11</v>
      </c>
      <c r="C227" s="449">
        <f t="shared" si="40"/>
        <v>21.05</v>
      </c>
      <c r="D227" s="444"/>
      <c r="E227" s="448" t="s">
        <v>387</v>
      </c>
      <c r="F227" s="450">
        <v>11</v>
      </c>
      <c r="G227" s="447">
        <f t="shared" si="41"/>
        <v>23.94</v>
      </c>
      <c r="J227" s="37"/>
      <c r="K227" s="150">
        <f t="shared" si="39"/>
        <v>25.9</v>
      </c>
      <c r="L227" s="150">
        <f t="shared" si="39"/>
        <v>24.9</v>
      </c>
    </row>
    <row r="228" spans="1:12" ht="11.25" customHeight="1">
      <c r="A228" s="448" t="s">
        <v>387</v>
      </c>
      <c r="B228" s="450">
        <v>10</v>
      </c>
      <c r="C228" s="449">
        <f t="shared" si="40"/>
        <v>20.100000000000001</v>
      </c>
      <c r="D228" s="444"/>
      <c r="E228" s="448" t="s">
        <v>387</v>
      </c>
      <c r="F228" s="450">
        <v>10</v>
      </c>
      <c r="G228" s="447">
        <f t="shared" si="41"/>
        <v>22.72</v>
      </c>
      <c r="J228" s="37"/>
      <c r="K228" s="150">
        <f t="shared" si="39"/>
        <v>24.43</v>
      </c>
      <c r="L228" s="150">
        <f t="shared" si="39"/>
        <v>23.51</v>
      </c>
    </row>
    <row r="229" spans="1:12" ht="11.25" customHeight="1">
      <c r="A229" s="448" t="s">
        <v>387</v>
      </c>
      <c r="B229" s="450">
        <v>9</v>
      </c>
      <c r="C229" s="449">
        <f t="shared" si="40"/>
        <v>19.79</v>
      </c>
      <c r="D229" s="444"/>
      <c r="E229" s="448" t="s">
        <v>387</v>
      </c>
      <c r="F229" s="450">
        <v>9</v>
      </c>
      <c r="G229" s="447">
        <f t="shared" si="41"/>
        <v>22.23</v>
      </c>
      <c r="J229" s="37"/>
      <c r="K229" s="150">
        <f t="shared" si="39"/>
        <v>23.69</v>
      </c>
      <c r="L229" s="150">
        <f t="shared" si="39"/>
        <v>22.81</v>
      </c>
    </row>
    <row r="230" spans="1:12" ht="11.25" customHeight="1">
      <c r="A230" s="448" t="s">
        <v>387</v>
      </c>
      <c r="B230" s="450">
        <v>8</v>
      </c>
      <c r="C230" s="449">
        <f t="shared" si="40"/>
        <v>18.91</v>
      </c>
      <c r="D230" s="444"/>
      <c r="E230" s="448" t="s">
        <v>387</v>
      </c>
      <c r="F230" s="450">
        <v>8</v>
      </c>
      <c r="G230" s="447">
        <f t="shared" si="41"/>
        <v>21.77</v>
      </c>
      <c r="J230" s="37"/>
      <c r="K230" s="150">
        <f t="shared" si="39"/>
        <v>22.82</v>
      </c>
      <c r="L230" s="150">
        <f t="shared" si="39"/>
        <v>21.94</v>
      </c>
    </row>
    <row r="231" spans="1:12" ht="11.25" customHeight="1">
      <c r="A231" s="448" t="s">
        <v>387</v>
      </c>
      <c r="B231" s="450">
        <v>7</v>
      </c>
      <c r="C231" s="449">
        <f t="shared" si="40"/>
        <v>18.11</v>
      </c>
      <c r="D231" s="444"/>
      <c r="E231" s="448" t="s">
        <v>387</v>
      </c>
      <c r="F231" s="450">
        <v>7</v>
      </c>
      <c r="G231" s="447">
        <f t="shared" si="41"/>
        <v>20.94</v>
      </c>
      <c r="J231" s="37"/>
      <c r="K231" s="150">
        <f t="shared" si="39"/>
        <v>22.22</v>
      </c>
      <c r="L231" s="150">
        <f t="shared" si="39"/>
        <v>21.33</v>
      </c>
    </row>
    <row r="232" spans="1:12" ht="11.25" customHeight="1">
      <c r="A232" s="448" t="s">
        <v>387</v>
      </c>
      <c r="B232" s="450">
        <v>6</v>
      </c>
      <c r="C232" s="449">
        <f t="shared" si="40"/>
        <v>16.78</v>
      </c>
      <c r="D232" s="444"/>
      <c r="E232" s="448" t="s">
        <v>387</v>
      </c>
      <c r="F232" s="450">
        <v>6</v>
      </c>
      <c r="G232" s="447">
        <f t="shared" si="41"/>
        <v>19.170000000000002</v>
      </c>
      <c r="J232" s="37"/>
      <c r="K232" s="150">
        <f t="shared" si="39"/>
        <v>21.09</v>
      </c>
      <c r="L232" s="150">
        <f t="shared" si="39"/>
        <v>20.309999999999999</v>
      </c>
    </row>
    <row r="233" spans="1:12" ht="11.25" customHeight="1">
      <c r="A233" s="448" t="s">
        <v>387</v>
      </c>
      <c r="B233" s="450">
        <v>5</v>
      </c>
      <c r="C233" s="449">
        <f t="shared" si="40"/>
        <v>15.57</v>
      </c>
      <c r="D233" s="444"/>
      <c r="E233" s="448" t="s">
        <v>387</v>
      </c>
      <c r="F233" s="450">
        <v>5</v>
      </c>
      <c r="G233" s="447">
        <f>ROUND(G215*$G$219,2)</f>
        <v>17.649999999999999</v>
      </c>
      <c r="J233" s="37"/>
      <c r="K233" s="150">
        <f t="shared" si="39"/>
        <v>19.989999999999998</v>
      </c>
      <c r="L233" s="150">
        <f t="shared" si="39"/>
        <v>19.260000000000002</v>
      </c>
    </row>
    <row r="234" spans="1:12" ht="11.25" customHeight="1">
      <c r="A234" s="441"/>
      <c r="B234" s="442"/>
      <c r="C234" s="442"/>
      <c r="D234" s="442"/>
      <c r="E234" s="442" t="str">
        <f>""</f>
        <v/>
      </c>
      <c r="F234" s="442" t="str">
        <f>""</f>
        <v/>
      </c>
      <c r="G234" s="442" t="str">
        <f>""</f>
        <v/>
      </c>
      <c r="H234" s="442"/>
      <c r="J234" s="37"/>
      <c r="K234" s="150">
        <f t="shared" si="39"/>
        <v>19.03</v>
      </c>
      <c r="L234" s="150">
        <f t="shared" si="39"/>
        <v>18.309999999999999</v>
      </c>
    </row>
    <row r="235" spans="1:12" ht="11.25" customHeight="1">
      <c r="E235" s="442" t="str">
        <f>""</f>
        <v/>
      </c>
      <c r="F235" s="442" t="str">
        <f>""</f>
        <v/>
      </c>
      <c r="G235" s="442" t="str">
        <f>""</f>
        <v/>
      </c>
      <c r="H235" s="442"/>
      <c r="J235" s="37"/>
      <c r="K235" s="150">
        <f t="shared" si="39"/>
        <v>18.18</v>
      </c>
      <c r="L235" s="150">
        <f t="shared" si="39"/>
        <v>17.510000000000002</v>
      </c>
    </row>
    <row r="237" spans="1:12" ht="11.25" customHeight="1" thickBot="1">
      <c r="A237" s="448"/>
      <c r="B237" s="445" t="s">
        <v>470</v>
      </c>
      <c r="C237" s="529">
        <v>1.0096000000000001</v>
      </c>
      <c r="D237" s="444"/>
      <c r="E237" s="444" t="str">
        <f>""</f>
        <v/>
      </c>
      <c r="F237" s="445" t="s">
        <v>470</v>
      </c>
      <c r="G237" s="529">
        <v>1.0096000000000001</v>
      </c>
      <c r="J237" s="75" t="str">
        <f>'L Tab'!DR28</f>
        <v>ab 1.01.2021</v>
      </c>
      <c r="K237" s="529">
        <v>1.014</v>
      </c>
      <c r="L237" s="37"/>
    </row>
    <row r="238" spans="1:12" ht="11.25" customHeight="1" thickBot="1">
      <c r="A238" s="448"/>
      <c r="B238" s="446" t="s">
        <v>128</v>
      </c>
      <c r="C238" s="447" t="s">
        <v>130</v>
      </c>
      <c r="D238" s="447"/>
      <c r="E238" s="444"/>
      <c r="F238" s="446" t="s">
        <v>129</v>
      </c>
      <c r="G238" s="447" t="s">
        <v>185</v>
      </c>
      <c r="J238" s="151" t="s">
        <v>19</v>
      </c>
      <c r="K238" s="150" t="s">
        <v>186</v>
      </c>
      <c r="L238" s="37"/>
    </row>
    <row r="239" spans="1:12" ht="11.25" customHeight="1">
      <c r="A239" s="448" t="s">
        <v>277</v>
      </c>
      <c r="B239" s="448"/>
      <c r="C239" s="449" t="s">
        <v>220</v>
      </c>
      <c r="D239" s="444"/>
      <c r="E239" s="448" t="s">
        <v>277</v>
      </c>
      <c r="F239" s="448"/>
      <c r="G239" s="449" t="s">
        <v>220</v>
      </c>
      <c r="J239" s="37"/>
      <c r="K239" s="149" t="s">
        <v>56</v>
      </c>
      <c r="L239" s="149" t="s">
        <v>57</v>
      </c>
    </row>
    <row r="240" spans="1:12" ht="11.25" customHeight="1">
      <c r="A240" s="448" t="s">
        <v>387</v>
      </c>
      <c r="B240" s="450">
        <v>16</v>
      </c>
      <c r="C240" s="449">
        <f>ROUND(C222*$C$237,2)</f>
        <v>27.68</v>
      </c>
      <c r="D240" s="444"/>
      <c r="E240" s="448" t="s">
        <v>387</v>
      </c>
      <c r="F240" s="450">
        <v>16</v>
      </c>
      <c r="G240" s="447">
        <f>ROUND(G222*$G$237,2)</f>
        <v>31.78</v>
      </c>
      <c r="J240" s="37"/>
      <c r="K240" s="150">
        <f t="shared" ref="K240:L253" si="42">ROUND(K222*$K$237,2)</f>
        <v>34.74</v>
      </c>
      <c r="L240" s="150">
        <f t="shared" si="42"/>
        <v>33.42</v>
      </c>
    </row>
    <row r="241" spans="1:12" ht="11.25" customHeight="1">
      <c r="A241" s="448" t="s">
        <v>387</v>
      </c>
      <c r="B241" s="450">
        <v>15</v>
      </c>
      <c r="C241" s="449">
        <f t="shared" ref="C241:C251" si="43">ROUND(C223*$C$237,2)</f>
        <v>25.86</v>
      </c>
      <c r="D241" s="444"/>
      <c r="E241" s="448" t="s">
        <v>387</v>
      </c>
      <c r="F241" s="450">
        <v>15</v>
      </c>
      <c r="G241" s="447">
        <f t="shared" ref="G241:G251" si="44">ROUND(G223*$G$237,2)</f>
        <v>29.43</v>
      </c>
      <c r="J241" s="37"/>
      <c r="K241" s="150">
        <f t="shared" si="42"/>
        <v>32</v>
      </c>
      <c r="L241" s="150">
        <f t="shared" si="42"/>
        <v>30.79</v>
      </c>
    </row>
    <row r="242" spans="1:12" ht="11.25" customHeight="1">
      <c r="A242" s="448" t="s">
        <v>387</v>
      </c>
      <c r="B242" s="450">
        <v>14</v>
      </c>
      <c r="C242" s="449">
        <f t="shared" si="43"/>
        <v>24.43</v>
      </c>
      <c r="D242" s="444"/>
      <c r="E242" s="448" t="s">
        <v>387</v>
      </c>
      <c r="F242" s="450">
        <v>14</v>
      </c>
      <c r="G242" s="447">
        <f t="shared" si="44"/>
        <v>27.74</v>
      </c>
      <c r="J242" s="37"/>
      <c r="K242" s="150">
        <f t="shared" si="42"/>
        <v>30.18</v>
      </c>
      <c r="L242" s="150">
        <f t="shared" si="42"/>
        <v>29.07</v>
      </c>
    </row>
    <row r="243" spans="1:12" ht="11.25" customHeight="1">
      <c r="A243" s="448" t="s">
        <v>387</v>
      </c>
      <c r="B243" s="450">
        <v>13</v>
      </c>
      <c r="C243" s="449">
        <f t="shared" si="43"/>
        <v>22.89</v>
      </c>
      <c r="D243" s="444"/>
      <c r="E243" s="448" t="s">
        <v>387</v>
      </c>
      <c r="F243" s="450">
        <v>13</v>
      </c>
      <c r="G243" s="447">
        <f t="shared" si="44"/>
        <v>26.1</v>
      </c>
      <c r="J243" s="37"/>
      <c r="K243" s="150">
        <f t="shared" si="42"/>
        <v>28.36</v>
      </c>
      <c r="L243" s="150">
        <f t="shared" si="42"/>
        <v>27.32</v>
      </c>
    </row>
    <row r="244" spans="1:12" ht="11.25" customHeight="1">
      <c r="A244" s="448" t="s">
        <v>387</v>
      </c>
      <c r="B244" s="450">
        <v>12</v>
      </c>
      <c r="C244" s="449">
        <f t="shared" si="43"/>
        <v>22.04</v>
      </c>
      <c r="D244" s="444"/>
      <c r="E244" s="448" t="s">
        <v>387</v>
      </c>
      <c r="F244" s="450">
        <v>12</v>
      </c>
      <c r="G244" s="447">
        <f t="shared" si="44"/>
        <v>24.84</v>
      </c>
      <c r="J244" s="37"/>
      <c r="K244" s="150">
        <f t="shared" si="42"/>
        <v>26.75</v>
      </c>
      <c r="L244" s="150">
        <f t="shared" si="42"/>
        <v>25.7</v>
      </c>
    </row>
    <row r="245" spans="1:12" ht="11.25" customHeight="1">
      <c r="A245" s="448" t="s">
        <v>387</v>
      </c>
      <c r="B245" s="450">
        <v>11</v>
      </c>
      <c r="C245" s="449">
        <f t="shared" si="43"/>
        <v>21.25</v>
      </c>
      <c r="D245" s="444"/>
      <c r="E245" s="448" t="s">
        <v>387</v>
      </c>
      <c r="F245" s="450">
        <v>11</v>
      </c>
      <c r="G245" s="447">
        <f t="shared" si="44"/>
        <v>24.17</v>
      </c>
      <c r="J245" s="37"/>
      <c r="K245" s="150">
        <f t="shared" si="42"/>
        <v>26.26</v>
      </c>
      <c r="L245" s="150">
        <f t="shared" si="42"/>
        <v>25.25</v>
      </c>
    </row>
    <row r="246" spans="1:12" ht="11.25" customHeight="1">
      <c r="A246" s="448" t="s">
        <v>387</v>
      </c>
      <c r="B246" s="450">
        <v>10</v>
      </c>
      <c r="C246" s="449">
        <f t="shared" si="43"/>
        <v>20.29</v>
      </c>
      <c r="D246" s="444"/>
      <c r="E246" s="448" t="s">
        <v>387</v>
      </c>
      <c r="F246" s="450">
        <v>10</v>
      </c>
      <c r="G246" s="447">
        <f t="shared" si="44"/>
        <v>22.94</v>
      </c>
      <c r="J246" s="37"/>
      <c r="K246" s="150">
        <f t="shared" si="42"/>
        <v>24.77</v>
      </c>
      <c r="L246" s="150">
        <f t="shared" si="42"/>
        <v>23.84</v>
      </c>
    </row>
    <row r="247" spans="1:12" ht="11.25" customHeight="1">
      <c r="A247" s="448" t="s">
        <v>387</v>
      </c>
      <c r="B247" s="450">
        <v>9</v>
      </c>
      <c r="C247" s="449">
        <f t="shared" si="43"/>
        <v>19.98</v>
      </c>
      <c r="D247" s="444"/>
      <c r="E247" s="448" t="s">
        <v>387</v>
      </c>
      <c r="F247" s="450">
        <v>9</v>
      </c>
      <c r="G247" s="447">
        <f t="shared" si="44"/>
        <v>22.44</v>
      </c>
      <c r="J247" s="37"/>
      <c r="K247" s="150">
        <f t="shared" si="42"/>
        <v>24.02</v>
      </c>
      <c r="L247" s="150">
        <f t="shared" si="42"/>
        <v>23.13</v>
      </c>
    </row>
    <row r="248" spans="1:12" ht="11.25" customHeight="1">
      <c r="A248" s="448" t="s">
        <v>387</v>
      </c>
      <c r="B248" s="450">
        <v>8</v>
      </c>
      <c r="C248" s="449">
        <f t="shared" si="43"/>
        <v>19.09</v>
      </c>
      <c r="D248" s="444"/>
      <c r="E248" s="448" t="s">
        <v>387</v>
      </c>
      <c r="F248" s="450">
        <v>8</v>
      </c>
      <c r="G248" s="447">
        <f t="shared" si="44"/>
        <v>21.98</v>
      </c>
      <c r="J248" s="37"/>
      <c r="K248" s="150">
        <f t="shared" si="42"/>
        <v>23.14</v>
      </c>
      <c r="L248" s="150">
        <f t="shared" si="42"/>
        <v>22.25</v>
      </c>
    </row>
    <row r="249" spans="1:12" ht="11.25" customHeight="1">
      <c r="A249" s="448" t="s">
        <v>387</v>
      </c>
      <c r="B249" s="450">
        <v>7</v>
      </c>
      <c r="C249" s="449">
        <f t="shared" si="43"/>
        <v>18.28</v>
      </c>
      <c r="D249" s="444"/>
      <c r="E249" s="448" t="s">
        <v>387</v>
      </c>
      <c r="F249" s="450">
        <v>7</v>
      </c>
      <c r="G249" s="447">
        <f t="shared" si="44"/>
        <v>21.14</v>
      </c>
      <c r="J249" s="37"/>
      <c r="K249" s="150">
        <f t="shared" si="42"/>
        <v>22.53</v>
      </c>
      <c r="L249" s="150">
        <f t="shared" si="42"/>
        <v>21.63</v>
      </c>
    </row>
    <row r="250" spans="1:12" ht="11.25" customHeight="1">
      <c r="A250" s="448" t="s">
        <v>387</v>
      </c>
      <c r="B250" s="450">
        <v>6</v>
      </c>
      <c r="C250" s="449">
        <f t="shared" si="43"/>
        <v>16.940000000000001</v>
      </c>
      <c r="D250" s="444"/>
      <c r="E250" s="448" t="s">
        <v>387</v>
      </c>
      <c r="F250" s="450">
        <v>6</v>
      </c>
      <c r="G250" s="447">
        <f t="shared" si="44"/>
        <v>19.350000000000001</v>
      </c>
      <c r="J250" s="37"/>
      <c r="K250" s="150">
        <f t="shared" si="42"/>
        <v>21.39</v>
      </c>
      <c r="L250" s="150">
        <f t="shared" si="42"/>
        <v>20.59</v>
      </c>
    </row>
    <row r="251" spans="1:12" ht="11.25" customHeight="1">
      <c r="A251" s="448" t="s">
        <v>387</v>
      </c>
      <c r="B251" s="450">
        <v>5</v>
      </c>
      <c r="C251" s="449">
        <f t="shared" si="43"/>
        <v>15.72</v>
      </c>
      <c r="D251" s="444"/>
      <c r="E251" s="448" t="s">
        <v>387</v>
      </c>
      <c r="F251" s="450">
        <v>5</v>
      </c>
      <c r="G251" s="447">
        <f t="shared" si="44"/>
        <v>17.82</v>
      </c>
      <c r="J251" s="37"/>
      <c r="K251" s="150">
        <f t="shared" si="42"/>
        <v>20.27</v>
      </c>
      <c r="L251" s="150">
        <f t="shared" si="42"/>
        <v>19.53</v>
      </c>
    </row>
    <row r="252" spans="1:12" ht="11.25" customHeight="1">
      <c r="B252" s="442"/>
      <c r="C252" s="442"/>
      <c r="D252" s="442"/>
      <c r="E252" s="442" t="str">
        <f>""</f>
        <v/>
      </c>
      <c r="F252" s="442" t="str">
        <f>""</f>
        <v/>
      </c>
      <c r="G252" s="442" t="str">
        <f>""</f>
        <v/>
      </c>
      <c r="H252" s="442"/>
      <c r="J252" s="37"/>
      <c r="K252" s="150">
        <f t="shared" si="42"/>
        <v>19.3</v>
      </c>
      <c r="L252" s="150">
        <f t="shared" si="42"/>
        <v>18.57</v>
      </c>
    </row>
    <row r="253" spans="1:12" ht="11.25" customHeight="1">
      <c r="E253" s="442" t="str">
        <f>""</f>
        <v/>
      </c>
      <c r="F253" s="442" t="str">
        <f>""</f>
        <v/>
      </c>
      <c r="G253" s="442" t="str">
        <f>""</f>
        <v/>
      </c>
      <c r="H253" s="442"/>
      <c r="J253" s="37"/>
      <c r="K253" s="150">
        <f t="shared" si="42"/>
        <v>18.43</v>
      </c>
      <c r="L253" s="150">
        <f t="shared" si="42"/>
        <v>17.760000000000002</v>
      </c>
    </row>
    <row r="255" spans="1:12" ht="11.25" customHeight="1" thickBot="1">
      <c r="B255" s="445" t="s">
        <v>625</v>
      </c>
      <c r="C255" s="529">
        <v>1.014</v>
      </c>
      <c r="D255" s="444"/>
      <c r="E255" s="444" t="str">
        <f>""</f>
        <v/>
      </c>
      <c r="F255" s="445" t="s">
        <v>625</v>
      </c>
      <c r="G255" s="529">
        <v>1.014</v>
      </c>
    </row>
    <row r="256" spans="1:12" ht="11.25" customHeight="1" thickBot="1">
      <c r="B256" s="446" t="s">
        <v>128</v>
      </c>
      <c r="C256" s="447" t="s">
        <v>130</v>
      </c>
      <c r="D256" s="447"/>
      <c r="E256" s="444"/>
      <c r="F256" s="446" t="s">
        <v>129</v>
      </c>
      <c r="G256" s="447" t="s">
        <v>185</v>
      </c>
    </row>
    <row r="257" spans="2:8" ht="11.25" customHeight="1">
      <c r="B257" s="448"/>
      <c r="C257" s="449" t="s">
        <v>220</v>
      </c>
      <c r="D257" s="444"/>
      <c r="E257" s="448" t="s">
        <v>277</v>
      </c>
      <c r="F257" s="448"/>
      <c r="G257" s="449" t="s">
        <v>220</v>
      </c>
    </row>
    <row r="258" spans="2:8" ht="11.25" customHeight="1">
      <c r="B258" s="450">
        <v>16</v>
      </c>
      <c r="C258" s="449">
        <f>ROUND(C240*$C$255,2)</f>
        <v>28.07</v>
      </c>
      <c r="D258" s="444"/>
      <c r="E258" s="448" t="s">
        <v>387</v>
      </c>
      <c r="F258" s="450">
        <v>16</v>
      </c>
      <c r="G258" s="447">
        <f>ROUND(G240*$G$255,2)</f>
        <v>32.22</v>
      </c>
    </row>
    <row r="259" spans="2:8" ht="11.25" customHeight="1">
      <c r="B259" s="450">
        <v>15</v>
      </c>
      <c r="C259" s="449">
        <f t="shared" ref="C259:C269" si="45">ROUND(C241*$C$255,2)</f>
        <v>26.22</v>
      </c>
      <c r="D259" s="444"/>
      <c r="E259" s="448" t="s">
        <v>387</v>
      </c>
      <c r="F259" s="450">
        <v>15</v>
      </c>
      <c r="G259" s="447">
        <f t="shared" ref="G259:G269" si="46">ROUND(G241*$G$255,2)</f>
        <v>29.84</v>
      </c>
    </row>
    <row r="260" spans="2:8" ht="11.25" customHeight="1">
      <c r="B260" s="450">
        <v>14</v>
      </c>
      <c r="C260" s="449">
        <f t="shared" si="45"/>
        <v>24.77</v>
      </c>
      <c r="D260" s="444"/>
      <c r="E260" s="448" t="s">
        <v>387</v>
      </c>
      <c r="F260" s="450">
        <v>14</v>
      </c>
      <c r="G260" s="447">
        <f t="shared" si="46"/>
        <v>28.13</v>
      </c>
    </row>
    <row r="261" spans="2:8" ht="11.25" customHeight="1">
      <c r="B261" s="450">
        <v>13</v>
      </c>
      <c r="C261" s="449">
        <f t="shared" si="45"/>
        <v>23.21</v>
      </c>
      <c r="D261" s="444"/>
      <c r="E261" s="448" t="s">
        <v>387</v>
      </c>
      <c r="F261" s="450">
        <v>13</v>
      </c>
      <c r="G261" s="447">
        <f t="shared" si="46"/>
        <v>26.47</v>
      </c>
    </row>
    <row r="262" spans="2:8" ht="11.25" customHeight="1">
      <c r="B262" s="450">
        <v>12</v>
      </c>
      <c r="C262" s="449">
        <f t="shared" si="45"/>
        <v>22.35</v>
      </c>
      <c r="D262" s="444"/>
      <c r="E262" s="448" t="s">
        <v>387</v>
      </c>
      <c r="F262" s="450">
        <v>12</v>
      </c>
      <c r="G262" s="447">
        <f t="shared" si="46"/>
        <v>25.19</v>
      </c>
    </row>
    <row r="263" spans="2:8" ht="11.25" customHeight="1">
      <c r="B263" s="450">
        <v>11</v>
      </c>
      <c r="C263" s="449">
        <f t="shared" si="45"/>
        <v>21.55</v>
      </c>
      <c r="D263" s="444"/>
      <c r="E263" s="448" t="s">
        <v>387</v>
      </c>
      <c r="F263" s="450">
        <v>11</v>
      </c>
      <c r="G263" s="447">
        <f t="shared" si="46"/>
        <v>24.51</v>
      </c>
    </row>
    <row r="264" spans="2:8" ht="11.25" customHeight="1">
      <c r="B264" s="450">
        <v>10</v>
      </c>
      <c r="C264" s="449">
        <f t="shared" si="45"/>
        <v>20.57</v>
      </c>
      <c r="D264" s="444"/>
      <c r="E264" s="448" t="s">
        <v>387</v>
      </c>
      <c r="F264" s="450">
        <v>10</v>
      </c>
      <c r="G264" s="447">
        <f t="shared" si="46"/>
        <v>23.26</v>
      </c>
    </row>
    <row r="265" spans="2:8" ht="11.25" customHeight="1">
      <c r="B265" s="450">
        <v>9</v>
      </c>
      <c r="C265" s="449">
        <f t="shared" si="45"/>
        <v>20.260000000000002</v>
      </c>
      <c r="D265" s="444"/>
      <c r="E265" s="448" t="s">
        <v>387</v>
      </c>
      <c r="F265" s="450">
        <v>9</v>
      </c>
      <c r="G265" s="447">
        <f t="shared" si="46"/>
        <v>22.75</v>
      </c>
    </row>
    <row r="266" spans="2:8" ht="11.25" customHeight="1">
      <c r="B266" s="450">
        <v>8</v>
      </c>
      <c r="C266" s="449">
        <f t="shared" si="45"/>
        <v>19.36</v>
      </c>
      <c r="D266" s="444"/>
      <c r="E266" s="448" t="s">
        <v>387</v>
      </c>
      <c r="F266" s="450">
        <v>8</v>
      </c>
      <c r="G266" s="447">
        <f t="shared" si="46"/>
        <v>22.29</v>
      </c>
    </row>
    <row r="267" spans="2:8" ht="11.25" customHeight="1">
      <c r="B267" s="450">
        <v>7</v>
      </c>
      <c r="C267" s="449">
        <f t="shared" si="45"/>
        <v>18.54</v>
      </c>
      <c r="D267" s="444"/>
      <c r="E267" s="448" t="s">
        <v>387</v>
      </c>
      <c r="F267" s="450">
        <v>7</v>
      </c>
      <c r="G267" s="447">
        <f t="shared" si="46"/>
        <v>21.44</v>
      </c>
    </row>
    <row r="268" spans="2:8" ht="11.25" customHeight="1">
      <c r="B268" s="450">
        <v>6</v>
      </c>
      <c r="C268" s="449">
        <f t="shared" si="45"/>
        <v>17.18</v>
      </c>
      <c r="D268" s="444"/>
      <c r="E268" s="448" t="s">
        <v>387</v>
      </c>
      <c r="F268" s="450">
        <v>6</v>
      </c>
      <c r="G268" s="447">
        <f t="shared" si="46"/>
        <v>19.62</v>
      </c>
    </row>
    <row r="269" spans="2:8" ht="11.25" customHeight="1">
      <c r="B269" s="450">
        <v>5</v>
      </c>
      <c r="C269" s="449">
        <f t="shared" si="45"/>
        <v>15.94</v>
      </c>
      <c r="D269" s="444"/>
      <c r="E269" s="448" t="s">
        <v>387</v>
      </c>
      <c r="F269" s="450">
        <v>5</v>
      </c>
      <c r="G269" s="447">
        <f t="shared" si="46"/>
        <v>18.07</v>
      </c>
    </row>
    <row r="270" spans="2:8" ht="11.25" customHeight="1">
      <c r="B270" s="442"/>
      <c r="C270" s="442"/>
      <c r="D270" s="442"/>
      <c r="E270" s="442" t="str">
        <f>""</f>
        <v/>
      </c>
      <c r="F270" s="442" t="str">
        <f>""</f>
        <v/>
      </c>
      <c r="G270" s="442" t="str">
        <f>""</f>
        <v/>
      </c>
      <c r="H270" s="442"/>
    </row>
    <row r="271" spans="2:8" ht="11.25" customHeight="1">
      <c r="E271" s="442" t="str">
        <f>""</f>
        <v/>
      </c>
      <c r="F271" s="442" t="str">
        <f>""</f>
        <v/>
      </c>
      <c r="G271" s="442" t="str">
        <f>""</f>
        <v/>
      </c>
      <c r="H271" s="442"/>
    </row>
    <row r="273" spans="2:7" ht="11.25" customHeight="1" thickBot="1">
      <c r="B273" s="445" t="s">
        <v>626</v>
      </c>
      <c r="C273" s="529">
        <v>1.018</v>
      </c>
      <c r="D273" s="444"/>
      <c r="E273" s="444" t="str">
        <f>""</f>
        <v/>
      </c>
      <c r="F273" s="445" t="s">
        <v>626</v>
      </c>
      <c r="G273" s="529">
        <v>1.018</v>
      </c>
    </row>
    <row r="274" spans="2:7" ht="11.25" customHeight="1" thickBot="1">
      <c r="B274" s="446" t="s">
        <v>128</v>
      </c>
      <c r="C274" s="447" t="s">
        <v>130</v>
      </c>
      <c r="D274" s="447"/>
      <c r="E274" s="444"/>
      <c r="F274" s="446" t="s">
        <v>129</v>
      </c>
      <c r="G274" s="447" t="s">
        <v>185</v>
      </c>
    </row>
    <row r="275" spans="2:7" ht="11.25" customHeight="1">
      <c r="B275" s="448"/>
      <c r="C275" s="449" t="s">
        <v>220</v>
      </c>
      <c r="D275" s="444"/>
      <c r="E275" s="448" t="s">
        <v>277</v>
      </c>
      <c r="F275" s="448"/>
      <c r="G275" s="449" t="s">
        <v>220</v>
      </c>
    </row>
    <row r="276" spans="2:7" ht="11.25" customHeight="1">
      <c r="B276" s="450">
        <v>16</v>
      </c>
      <c r="C276" s="449">
        <f>ROUND(C258*$C$273,2)</f>
        <v>28.58</v>
      </c>
      <c r="D276" s="444"/>
      <c r="E276" s="448" t="s">
        <v>387</v>
      </c>
      <c r="F276" s="450">
        <v>16</v>
      </c>
      <c r="G276" s="447">
        <f>ROUND(G258*$G$273,2)</f>
        <v>32.799999999999997</v>
      </c>
    </row>
    <row r="277" spans="2:7" ht="11.25" customHeight="1">
      <c r="B277" s="450">
        <v>15</v>
      </c>
      <c r="C277" s="449">
        <f t="shared" ref="C277:C287" si="47">ROUND(C259*$C$273,2)</f>
        <v>26.69</v>
      </c>
      <c r="D277" s="444"/>
      <c r="E277" s="448" t="s">
        <v>387</v>
      </c>
      <c r="F277" s="450">
        <v>15</v>
      </c>
      <c r="G277" s="447">
        <f t="shared" ref="G277:G287" si="48">ROUND(G259*$G$273,2)</f>
        <v>30.38</v>
      </c>
    </row>
    <row r="278" spans="2:7" ht="11.25" customHeight="1">
      <c r="B278" s="450">
        <v>14</v>
      </c>
      <c r="C278" s="449">
        <f t="shared" si="47"/>
        <v>25.22</v>
      </c>
      <c r="D278" s="444"/>
      <c r="E278" s="448" t="s">
        <v>387</v>
      </c>
      <c r="F278" s="450">
        <v>14</v>
      </c>
      <c r="G278" s="447">
        <f t="shared" si="48"/>
        <v>28.64</v>
      </c>
    </row>
    <row r="279" spans="2:7" ht="11.25" customHeight="1">
      <c r="B279" s="450">
        <v>13</v>
      </c>
      <c r="C279" s="449">
        <f t="shared" si="47"/>
        <v>23.63</v>
      </c>
      <c r="D279" s="444"/>
      <c r="E279" s="448" t="s">
        <v>387</v>
      </c>
      <c r="F279" s="450">
        <v>13</v>
      </c>
      <c r="G279" s="447">
        <f t="shared" si="48"/>
        <v>26.95</v>
      </c>
    </row>
    <row r="280" spans="2:7" ht="11.25" customHeight="1">
      <c r="B280" s="450">
        <v>12</v>
      </c>
      <c r="C280" s="449">
        <f t="shared" si="47"/>
        <v>22.75</v>
      </c>
      <c r="D280" s="444"/>
      <c r="E280" s="448" t="s">
        <v>387</v>
      </c>
      <c r="F280" s="450">
        <v>12</v>
      </c>
      <c r="G280" s="447">
        <f t="shared" si="48"/>
        <v>25.64</v>
      </c>
    </row>
    <row r="281" spans="2:7" ht="11.25" customHeight="1">
      <c r="B281" s="450">
        <v>11</v>
      </c>
      <c r="C281" s="449">
        <f t="shared" si="47"/>
        <v>21.94</v>
      </c>
      <c r="D281" s="444"/>
      <c r="E281" s="448" t="s">
        <v>387</v>
      </c>
      <c r="F281" s="450">
        <v>11</v>
      </c>
      <c r="G281" s="447">
        <f t="shared" si="48"/>
        <v>24.95</v>
      </c>
    </row>
    <row r="282" spans="2:7" ht="11.25" customHeight="1">
      <c r="B282" s="450">
        <v>10</v>
      </c>
      <c r="C282" s="449">
        <f t="shared" si="47"/>
        <v>20.94</v>
      </c>
      <c r="D282" s="444"/>
      <c r="E282" s="448" t="s">
        <v>387</v>
      </c>
      <c r="F282" s="450">
        <v>10</v>
      </c>
      <c r="G282" s="447">
        <f t="shared" si="48"/>
        <v>23.68</v>
      </c>
    </row>
    <row r="283" spans="2:7" ht="11.25" customHeight="1">
      <c r="B283" s="450">
        <v>9</v>
      </c>
      <c r="C283" s="449">
        <f t="shared" si="47"/>
        <v>20.62</v>
      </c>
      <c r="D283" s="444"/>
      <c r="E283" s="448" t="s">
        <v>387</v>
      </c>
      <c r="F283" s="450">
        <v>9</v>
      </c>
      <c r="G283" s="447">
        <f t="shared" si="48"/>
        <v>23.16</v>
      </c>
    </row>
    <row r="284" spans="2:7" ht="11.25" customHeight="1">
      <c r="B284" s="450">
        <v>8</v>
      </c>
      <c r="C284" s="449">
        <f t="shared" si="47"/>
        <v>19.71</v>
      </c>
      <c r="D284" s="444"/>
      <c r="E284" s="448" t="s">
        <v>387</v>
      </c>
      <c r="F284" s="450">
        <v>8</v>
      </c>
      <c r="G284" s="447">
        <f t="shared" si="48"/>
        <v>22.69</v>
      </c>
    </row>
    <row r="285" spans="2:7" ht="11.25" customHeight="1">
      <c r="B285" s="450">
        <v>7</v>
      </c>
      <c r="C285" s="449">
        <f t="shared" si="47"/>
        <v>18.87</v>
      </c>
      <c r="D285" s="444"/>
      <c r="E285" s="448" t="s">
        <v>387</v>
      </c>
      <c r="F285" s="450">
        <v>7</v>
      </c>
      <c r="G285" s="447">
        <f t="shared" si="48"/>
        <v>21.83</v>
      </c>
    </row>
    <row r="286" spans="2:7" ht="11.25" customHeight="1">
      <c r="B286" s="450">
        <v>6</v>
      </c>
      <c r="C286" s="449">
        <f t="shared" si="47"/>
        <v>17.489999999999998</v>
      </c>
      <c r="D286" s="444"/>
      <c r="E286" s="448" t="s">
        <v>387</v>
      </c>
      <c r="F286" s="450">
        <v>6</v>
      </c>
      <c r="G286" s="447">
        <f t="shared" si="48"/>
        <v>19.97</v>
      </c>
    </row>
    <row r="287" spans="2:7" ht="11.25" customHeight="1">
      <c r="B287" s="450">
        <v>5</v>
      </c>
      <c r="C287" s="449">
        <f t="shared" si="47"/>
        <v>16.23</v>
      </c>
      <c r="D287" s="444"/>
      <c r="E287" s="448" t="s">
        <v>387</v>
      </c>
      <c r="F287" s="450">
        <v>5</v>
      </c>
      <c r="G287" s="447">
        <f t="shared" si="48"/>
        <v>18.399999999999999</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C00000"/>
  </sheetPr>
  <dimension ref="A1:Q517"/>
  <sheetViews>
    <sheetView topLeftCell="A482" workbookViewId="0">
      <selection activeCell="Q1" sqref="Q1"/>
    </sheetView>
  </sheetViews>
  <sheetFormatPr baseColWidth="10" defaultColWidth="8.5703125" defaultRowHeight="11.25"/>
  <cols>
    <col min="1" max="1" width="23.140625" style="135" customWidth="1"/>
    <col min="2" max="8" width="8.5703125" style="135"/>
    <col min="9" max="9" width="8.5703125" style="158"/>
    <col min="10" max="16384" width="8.5703125" style="135"/>
  </cols>
  <sheetData>
    <row r="1" spans="1:8">
      <c r="A1" s="135" t="s">
        <v>34</v>
      </c>
      <c r="B1" s="75">
        <v>2005</v>
      </c>
      <c r="C1" s="74" t="s">
        <v>7</v>
      </c>
      <c r="D1" s="74" t="s">
        <v>8</v>
      </c>
      <c r="E1" s="74" t="s">
        <v>9</v>
      </c>
      <c r="F1" s="74" t="s">
        <v>10</v>
      </c>
      <c r="G1" s="74" t="s">
        <v>11</v>
      </c>
      <c r="H1" s="74" t="s">
        <v>12</v>
      </c>
    </row>
    <row r="2" spans="1:8">
      <c r="B2" s="277" t="s">
        <v>279</v>
      </c>
      <c r="C2" s="36" t="s">
        <v>15</v>
      </c>
      <c r="D2" s="36" t="s">
        <v>15</v>
      </c>
      <c r="E2" s="36">
        <v>3200</v>
      </c>
      <c r="F2" s="36">
        <v>3550</v>
      </c>
      <c r="G2" s="36">
        <v>4000</v>
      </c>
      <c r="H2" s="36">
        <v>4200</v>
      </c>
    </row>
    <row r="3" spans="1:8" ht="12.75" customHeight="1">
      <c r="B3" s="277" t="s">
        <v>280</v>
      </c>
      <c r="C3" s="36" t="s">
        <v>15</v>
      </c>
      <c r="D3" s="36" t="s">
        <v>15</v>
      </c>
      <c r="E3" s="36" t="s">
        <v>15</v>
      </c>
      <c r="F3" s="36">
        <v>3200</v>
      </c>
      <c r="G3" s="36">
        <v>3635</v>
      </c>
      <c r="H3" s="36">
        <v>3835</v>
      </c>
    </row>
    <row r="4" spans="1:8" ht="12.75" customHeight="1">
      <c r="B4" s="277" t="s">
        <v>281</v>
      </c>
      <c r="C4" s="36" t="str">
        <f>C3</f>
        <v>-</v>
      </c>
      <c r="D4" s="36" t="s">
        <v>15</v>
      </c>
      <c r="E4" s="36">
        <v>2900</v>
      </c>
      <c r="F4" s="36">
        <v>3200</v>
      </c>
      <c r="G4" s="36">
        <v>3635</v>
      </c>
      <c r="H4" s="36" t="s">
        <v>15</v>
      </c>
    </row>
    <row r="5" spans="1:8">
      <c r="B5" s="277" t="s">
        <v>282</v>
      </c>
      <c r="C5" s="36" t="s">
        <v>15</v>
      </c>
      <c r="D5" s="36" t="s">
        <v>15</v>
      </c>
      <c r="E5" s="36">
        <v>2800</v>
      </c>
      <c r="F5" s="36">
        <v>3000</v>
      </c>
      <c r="G5" s="36">
        <v>3380</v>
      </c>
      <c r="H5" s="36" t="s">
        <v>15</v>
      </c>
    </row>
    <row r="6" spans="1:8">
      <c r="B6" s="277" t="s">
        <v>283</v>
      </c>
      <c r="C6" s="36" t="s">
        <v>15</v>
      </c>
      <c r="D6" s="36" t="s">
        <v>15</v>
      </c>
      <c r="E6" s="36">
        <v>2730</v>
      </c>
      <c r="F6" s="36">
        <v>2980</v>
      </c>
      <c r="G6" s="36">
        <v>3180</v>
      </c>
      <c r="H6" s="36" t="s">
        <v>15</v>
      </c>
    </row>
    <row r="7" spans="1:8">
      <c r="B7" s="277" t="s">
        <v>284</v>
      </c>
      <c r="C7" s="36" t="s">
        <v>15</v>
      </c>
      <c r="D7" s="36" t="s">
        <v>15</v>
      </c>
      <c r="E7" s="36">
        <v>2650</v>
      </c>
      <c r="F7" s="36">
        <v>2840</v>
      </c>
      <c r="G7" s="36">
        <v>3020</v>
      </c>
      <c r="H7" s="36" t="s">
        <v>15</v>
      </c>
    </row>
    <row r="8" spans="1:8">
      <c r="B8" s="277" t="s">
        <v>251</v>
      </c>
      <c r="C8" s="36" t="s">
        <v>15</v>
      </c>
      <c r="D8" s="36" t="s">
        <v>15</v>
      </c>
      <c r="E8" s="36">
        <v>2410</v>
      </c>
      <c r="F8" s="36">
        <v>2730</v>
      </c>
      <c r="G8" s="36">
        <v>2840</v>
      </c>
      <c r="H8" s="36" t="s">
        <v>15</v>
      </c>
    </row>
    <row r="9" spans="1:8">
      <c r="B9" s="277" t="s">
        <v>252</v>
      </c>
      <c r="C9" s="36" t="s">
        <v>15</v>
      </c>
      <c r="D9" s="36" t="s">
        <v>15</v>
      </c>
      <c r="E9" s="36">
        <v>2410</v>
      </c>
      <c r="F9" s="36">
        <v>2495</v>
      </c>
      <c r="G9" s="36">
        <v>2650</v>
      </c>
      <c r="H9" s="36" t="s">
        <v>15</v>
      </c>
    </row>
    <row r="10" spans="1:8">
      <c r="B10" s="277" t="s">
        <v>285</v>
      </c>
      <c r="C10" s="36">
        <v>2000</v>
      </c>
      <c r="D10" s="36">
        <v>2130</v>
      </c>
      <c r="E10" s="36">
        <v>2240</v>
      </c>
      <c r="F10" s="36">
        <v>2330</v>
      </c>
      <c r="G10" s="36">
        <v>2495</v>
      </c>
      <c r="H10" s="36">
        <v>2650</v>
      </c>
    </row>
    <row r="11" spans="1:8">
      <c r="B11" s="277" t="s">
        <v>286</v>
      </c>
      <c r="C11" s="36">
        <v>1850</v>
      </c>
      <c r="D11" s="36">
        <v>2000</v>
      </c>
      <c r="E11" s="36">
        <v>2130</v>
      </c>
      <c r="F11" s="36">
        <v>2330</v>
      </c>
      <c r="G11" s="36">
        <v>2430</v>
      </c>
      <c r="H11" s="36">
        <v>2533</v>
      </c>
    </row>
    <row r="12" spans="1:8">
      <c r="B12" s="277" t="s">
        <v>287</v>
      </c>
      <c r="C12" s="36">
        <v>1652</v>
      </c>
      <c r="D12" s="36">
        <v>1780</v>
      </c>
      <c r="E12" s="36">
        <v>1900</v>
      </c>
      <c r="F12" s="36">
        <v>2155</v>
      </c>
      <c r="G12" s="36">
        <v>2220</v>
      </c>
      <c r="H12" s="36">
        <v>2340</v>
      </c>
    </row>
    <row r="13" spans="1:8">
      <c r="B13" s="277" t="s">
        <v>288</v>
      </c>
      <c r="C13" s="36">
        <v>1575</v>
      </c>
      <c r="D13" s="36">
        <v>1750</v>
      </c>
      <c r="E13" s="36">
        <v>1800</v>
      </c>
      <c r="F13" s="36">
        <v>1880</v>
      </c>
      <c r="G13" s="36">
        <v>1940</v>
      </c>
      <c r="H13" s="36">
        <v>2081</v>
      </c>
    </row>
    <row r="14" spans="1:8">
      <c r="B14" s="101"/>
      <c r="C14" s="40"/>
      <c r="D14" s="40"/>
      <c r="E14" s="40"/>
      <c r="F14" s="40"/>
      <c r="G14" s="40"/>
      <c r="H14" s="40"/>
    </row>
    <row r="15" spans="1:8">
      <c r="B15" s="101"/>
      <c r="C15" s="40"/>
      <c r="D15" s="40"/>
      <c r="E15" s="40"/>
      <c r="F15" s="40"/>
      <c r="G15" s="40"/>
      <c r="H15" s="40"/>
    </row>
    <row r="16" spans="1:8">
      <c r="B16" s="101"/>
      <c r="C16" s="40"/>
      <c r="D16" s="40"/>
      <c r="E16" s="40"/>
      <c r="F16" s="40"/>
      <c r="G16" s="40"/>
      <c r="H16" s="40"/>
    </row>
    <row r="17" spans="2:8">
      <c r="B17" s="74"/>
      <c r="C17" s="40"/>
      <c r="D17" s="40"/>
      <c r="E17" s="40"/>
      <c r="F17" s="40"/>
      <c r="G17" s="40"/>
      <c r="H17" s="40"/>
    </row>
    <row r="18" spans="2:8">
      <c r="B18" s="74"/>
      <c r="C18" s="40"/>
      <c r="D18" s="40"/>
      <c r="E18" s="40"/>
      <c r="F18" s="40"/>
      <c r="G18" s="40"/>
      <c r="H18" s="40"/>
    </row>
    <row r="20" spans="2:8">
      <c r="C20" s="153"/>
    </row>
    <row r="21" spans="2:8">
      <c r="B21" s="152">
        <f>Para!C52</f>
        <v>0.94</v>
      </c>
      <c r="C21" s="147"/>
      <c r="D21" s="147"/>
      <c r="E21" s="147"/>
      <c r="F21" s="147"/>
      <c r="G21" s="147"/>
      <c r="H21" s="147"/>
    </row>
    <row r="22" spans="2:8">
      <c r="B22" s="75">
        <f t="shared" ref="B22:H22" si="0">B1</f>
        <v>2005</v>
      </c>
      <c r="C22" s="75" t="str">
        <f t="shared" si="0"/>
        <v>Stufe 1</v>
      </c>
      <c r="D22" s="75" t="str">
        <f t="shared" si="0"/>
        <v>Stufe 2</v>
      </c>
      <c r="E22" s="75" t="str">
        <f t="shared" si="0"/>
        <v>Stufe 3</v>
      </c>
      <c r="F22" s="75" t="str">
        <f t="shared" si="0"/>
        <v>Stufe 4</v>
      </c>
      <c r="G22" s="75" t="str">
        <f t="shared" si="0"/>
        <v>Stufe 5</v>
      </c>
      <c r="H22" s="75" t="str">
        <f t="shared" si="0"/>
        <v>Stufe 6</v>
      </c>
    </row>
    <row r="23" spans="2:8">
      <c r="B23" s="277" t="str">
        <f t="shared" ref="B23:B34" si="1">B2</f>
        <v>12a</v>
      </c>
      <c r="C23" s="36" t="str">
        <f>IF(C2="-","-",ROUND(C2*Para!$C$52,0))</f>
        <v>-</v>
      </c>
      <c r="D23" s="36" t="str">
        <f>IF(D2="-","-",ROUND(D2*Para!$C$52,0))</f>
        <v>-</v>
      </c>
      <c r="E23" s="36">
        <f>IF(E2="-","-",ROUND(E2*Para!$C$52,0))</f>
        <v>3008</v>
      </c>
      <c r="F23" s="36">
        <f>IF(F2="-","-",ROUND(F2*Para!$C$52,0))</f>
        <v>3337</v>
      </c>
      <c r="G23" s="36">
        <f>IF(G2="-","-",ROUND(G2*Para!$C$52,0))</f>
        <v>3760</v>
      </c>
      <c r="H23" s="36">
        <f>IF(H2="-","-",ROUND(H2*Para!$C$52,0))</f>
        <v>3948</v>
      </c>
    </row>
    <row r="24" spans="2:8">
      <c r="B24" s="277" t="str">
        <f t="shared" si="1"/>
        <v>11b</v>
      </c>
      <c r="C24" s="36" t="str">
        <f>IF(C3="-","-",ROUND(C3*Para!$C$52,0))</f>
        <v>-</v>
      </c>
      <c r="D24" s="36" t="str">
        <f>IF(D3="-","-",ROUND(D3*Para!$C$52,0))</f>
        <v>-</v>
      </c>
      <c r="E24" s="36" t="str">
        <f>IF(E3="-","-",ROUND(E3*Para!$C$52,0))</f>
        <v>-</v>
      </c>
      <c r="F24" s="36">
        <f>IF(F3="-","-",ROUND(F3*Para!$C$52,0))</f>
        <v>3008</v>
      </c>
      <c r="G24" s="36">
        <f>IF(G3="-","-",ROUND(G3*Para!$C$52,0))</f>
        <v>3417</v>
      </c>
      <c r="H24" s="36">
        <f>IF(H3="-","-",ROUND(H3*Para!$C$52,0))</f>
        <v>3605</v>
      </c>
    </row>
    <row r="25" spans="2:8">
      <c r="B25" s="277" t="str">
        <f t="shared" si="1"/>
        <v>11a</v>
      </c>
      <c r="C25" s="36" t="str">
        <f>IF(C4="-","-",ROUND(C4*Para!$C$52,0))</f>
        <v>-</v>
      </c>
      <c r="D25" s="36" t="str">
        <f>IF(D4="-","-",ROUND(D4*Para!$C$52,0))</f>
        <v>-</v>
      </c>
      <c r="E25" s="36">
        <f>IF(E4="-","-",ROUND(E4*Para!$C$52,0))</f>
        <v>2726</v>
      </c>
      <c r="F25" s="36">
        <f>IF(F4="-","-",ROUND(F4*Para!$C$52,0))</f>
        <v>3008</v>
      </c>
      <c r="G25" s="36">
        <f>IF(G4="-","-",ROUND(G4*Para!$C$52,0))</f>
        <v>3417</v>
      </c>
      <c r="H25" s="36" t="str">
        <f>IF(H4="-","-",ROUND(H4*Para!$C$52,0))</f>
        <v>-</v>
      </c>
    </row>
    <row r="26" spans="2:8">
      <c r="B26" s="277" t="str">
        <f t="shared" si="1"/>
        <v>10a</v>
      </c>
      <c r="C26" s="36" t="str">
        <f>IF(C5="-","-",ROUND(C5*Para!$C$52,0))</f>
        <v>-</v>
      </c>
      <c r="D26" s="36" t="str">
        <f>IF(D5="-","-",ROUND(D5*Para!$C$52,0))</f>
        <v>-</v>
      </c>
      <c r="E26" s="36">
        <f>IF(E5="-","-",ROUND(E5*Para!$C$52,0))</f>
        <v>2632</v>
      </c>
      <c r="F26" s="36">
        <f>IF(F5="-","-",ROUND(F5*Para!$C$52,0))</f>
        <v>2820</v>
      </c>
      <c r="G26" s="36">
        <f>IF(G5="-","-",ROUND(G5*Para!$C$52,0))</f>
        <v>3177</v>
      </c>
      <c r="H26" s="36" t="str">
        <f>IF(H5="-","-",ROUND(H5*Para!$C$52,0))</f>
        <v>-</v>
      </c>
    </row>
    <row r="27" spans="2:8">
      <c r="B27" s="277" t="str">
        <f t="shared" si="1"/>
        <v>9d</v>
      </c>
      <c r="C27" s="36" t="str">
        <f>IF(C6="-","-",ROUND(C6*Para!$C$52,0))</f>
        <v>-</v>
      </c>
      <c r="D27" s="36" t="str">
        <f>IF(D6="-","-",ROUND(D6*Para!$C$52,0))</f>
        <v>-</v>
      </c>
      <c r="E27" s="36">
        <f>IF(E6="-","-",ROUND(E6*Para!$C$52,0))</f>
        <v>2566</v>
      </c>
      <c r="F27" s="36">
        <f>IF(F6="-","-",ROUND(F6*Para!$C$52,0))</f>
        <v>2801</v>
      </c>
      <c r="G27" s="36">
        <f>IF(G6="-","-",ROUND(G6*Para!$C$52,0))</f>
        <v>2989</v>
      </c>
      <c r="H27" s="36" t="str">
        <f>IF(H6="-","-",ROUND(H6*Para!$C$52,0))</f>
        <v>-</v>
      </c>
    </row>
    <row r="28" spans="2:8">
      <c r="B28" s="277" t="str">
        <f t="shared" si="1"/>
        <v>9c</v>
      </c>
      <c r="C28" s="36" t="str">
        <f>IF(C7="-","-",ROUND(C7*Para!$C$52,0))</f>
        <v>-</v>
      </c>
      <c r="D28" s="36" t="str">
        <f>IF(D7="-","-",ROUND(D7*Para!$C$52,0))</f>
        <v>-</v>
      </c>
      <c r="E28" s="36">
        <f>IF(E7="-","-",ROUND(E7*Para!$C$52,0))</f>
        <v>2491</v>
      </c>
      <c r="F28" s="36">
        <f>IF(F7="-","-",ROUND(F7*Para!$C$52,0))</f>
        <v>2670</v>
      </c>
      <c r="G28" s="36">
        <f>IF(G7="-","-",ROUND(G7*Para!$C$52,0))</f>
        <v>2839</v>
      </c>
      <c r="H28" s="36" t="str">
        <f>IF(H7="-","-",ROUND(H7*Para!$C$52,0))</f>
        <v>-</v>
      </c>
    </row>
    <row r="29" spans="2:8">
      <c r="B29" s="277" t="str">
        <f t="shared" si="1"/>
        <v>9b</v>
      </c>
      <c r="C29" s="36" t="str">
        <f>IF(C8="-","-",ROUND(C8*Para!$C$52,0))</f>
        <v>-</v>
      </c>
      <c r="D29" s="36" t="str">
        <f>IF(D8="-","-",ROUND(D8*Para!$C$52,0))</f>
        <v>-</v>
      </c>
      <c r="E29" s="36">
        <f>IF(E8="-","-",ROUND(E8*Para!$C$52,0))</f>
        <v>2265</v>
      </c>
      <c r="F29" s="36">
        <f>IF(F8="-","-",ROUND(F8*Para!$C$52,0))</f>
        <v>2566</v>
      </c>
      <c r="G29" s="36">
        <f>IF(G8="-","-",ROUND(G8*Para!$C$52,0))</f>
        <v>2670</v>
      </c>
      <c r="H29" s="36" t="str">
        <f>IF(H8="-","-",ROUND(H8*Para!$C$52,0))</f>
        <v>-</v>
      </c>
    </row>
    <row r="30" spans="2:8">
      <c r="B30" s="277" t="str">
        <f t="shared" si="1"/>
        <v>9a</v>
      </c>
      <c r="C30" s="36" t="str">
        <f>IF(C9="-","-",ROUND(C9*Para!$C$52,0))</f>
        <v>-</v>
      </c>
      <c r="D30" s="36" t="str">
        <f>IF(D9="-","-",ROUND(D9*Para!$C$52,0))</f>
        <v>-</v>
      </c>
      <c r="E30" s="36">
        <f>IF(E9="-","-",ROUND(E9*Para!$C$52,0))</f>
        <v>2265</v>
      </c>
      <c r="F30" s="36">
        <f>IF(F9="-","-",ROUND(F9*Para!$C$52,0))</f>
        <v>2345</v>
      </c>
      <c r="G30" s="36">
        <f>IF(G9="-","-",ROUND(G9*Para!$C$52,0))</f>
        <v>2491</v>
      </c>
      <c r="H30" s="36" t="str">
        <f>IF(H9="-","-",ROUND(H9*Para!$C$52,0))</f>
        <v>-</v>
      </c>
    </row>
    <row r="31" spans="2:8">
      <c r="B31" s="277" t="str">
        <f t="shared" si="1"/>
        <v>8a</v>
      </c>
      <c r="C31" s="36">
        <f>IF(C10="-","-",ROUND(C10*Para!$C$52,0))</f>
        <v>1880</v>
      </c>
      <c r="D31" s="36">
        <f>IF(D10="-","-",ROUND(D10*Para!$C$52,0))</f>
        <v>2002</v>
      </c>
      <c r="E31" s="36">
        <f>IF(E10="-","-",ROUND(E10*Para!$C$52,0))</f>
        <v>2106</v>
      </c>
      <c r="F31" s="36">
        <f>IF(F10="-","-",ROUND(F10*Para!$C$52,0))</f>
        <v>2190</v>
      </c>
      <c r="G31" s="36">
        <f>IF(G10="-","-",ROUND(G10*Para!$C$52,0))</f>
        <v>2345</v>
      </c>
      <c r="H31" s="36">
        <f>IF(H10="-","-",ROUND(H10*Para!$C$52,0))</f>
        <v>2491</v>
      </c>
    </row>
    <row r="32" spans="2:8">
      <c r="B32" s="277" t="str">
        <f t="shared" si="1"/>
        <v>7a</v>
      </c>
      <c r="C32" s="36">
        <f>IF(C11="-","-",ROUND(C11*Para!$C$52,0))</f>
        <v>1739</v>
      </c>
      <c r="D32" s="36">
        <f>IF(D11="-","-",ROUND(D11*Para!$C$52,0))</f>
        <v>1880</v>
      </c>
      <c r="E32" s="36">
        <f>IF(E11="-","-",ROUND(E11*Para!$C$52,0))</f>
        <v>2002</v>
      </c>
      <c r="F32" s="36">
        <f>IF(F11="-","-",ROUND(F11*Para!$C$52,0))</f>
        <v>2190</v>
      </c>
      <c r="G32" s="36">
        <f>IF(G11="-","-",ROUND(G11*Para!$C$52,0))</f>
        <v>2284</v>
      </c>
      <c r="H32" s="36">
        <f>IF(H11="-","-",ROUND(H11*Para!$C$52,0))</f>
        <v>2381</v>
      </c>
    </row>
    <row r="33" spans="2:8">
      <c r="B33" s="277" t="str">
        <f t="shared" si="1"/>
        <v>4a</v>
      </c>
      <c r="C33" s="36">
        <f>IF(C12="-","-",ROUND(C12*Para!$C$52,0))</f>
        <v>1553</v>
      </c>
      <c r="D33" s="36">
        <f>IF(D12="-","-",ROUND(D12*Para!$C$52,0))</f>
        <v>1673</v>
      </c>
      <c r="E33" s="36">
        <f>IF(E12="-","-",ROUND(E12*Para!$C$52,0))</f>
        <v>1786</v>
      </c>
      <c r="F33" s="36">
        <f>IF(F12="-","-",ROUND(F12*Para!$C$52,0))</f>
        <v>2026</v>
      </c>
      <c r="G33" s="36">
        <f>IF(G12="-","-",ROUND(G12*Para!$C$52,0))</f>
        <v>2087</v>
      </c>
      <c r="H33" s="36">
        <f>IF(H12="-","-",ROUND(H12*Para!$C$52,0))</f>
        <v>2200</v>
      </c>
    </row>
    <row r="34" spans="2:8">
      <c r="B34" s="277" t="str">
        <f t="shared" si="1"/>
        <v>3a</v>
      </c>
      <c r="C34" s="36">
        <f>IF(C13="-","-",ROUND(C13*Para!$C$52,0))</f>
        <v>1481</v>
      </c>
      <c r="D34" s="36">
        <f>IF(D13="-","-",ROUND(D13*Para!$C$52,0))</f>
        <v>1645</v>
      </c>
      <c r="E34" s="36">
        <f>IF(E13="-","-",ROUND(E13*Para!$C$52,0))</f>
        <v>1692</v>
      </c>
      <c r="F34" s="36">
        <f>IF(F13="-","-",ROUND(F13*Para!$C$52,0))</f>
        <v>1767</v>
      </c>
      <c r="G34" s="36">
        <f>IF(G13="-","-",ROUND(G13*Para!$C$52,0))</f>
        <v>1824</v>
      </c>
      <c r="H34" s="36">
        <f>IF(H13="-","-",ROUND(H13*Para!$C$52,0))</f>
        <v>1956</v>
      </c>
    </row>
    <row r="35" spans="2:8">
      <c r="B35" s="75"/>
      <c r="C35" s="40"/>
      <c r="D35" s="40"/>
      <c r="E35" s="40"/>
      <c r="F35" s="40"/>
      <c r="G35" s="40"/>
      <c r="H35" s="40"/>
    </row>
    <row r="36" spans="2:8">
      <c r="B36" s="75"/>
      <c r="C36" s="40"/>
      <c r="D36" s="40"/>
      <c r="E36" s="40"/>
      <c r="F36" s="40"/>
      <c r="G36" s="40"/>
      <c r="H36" s="40"/>
    </row>
    <row r="37" spans="2:8">
      <c r="B37" s="75"/>
      <c r="C37" s="40"/>
      <c r="D37" s="40"/>
      <c r="E37" s="40"/>
      <c r="F37" s="40"/>
      <c r="G37" s="40"/>
      <c r="H37" s="40"/>
    </row>
    <row r="38" spans="2:8">
      <c r="B38" s="75"/>
      <c r="C38" s="37"/>
      <c r="D38" s="37"/>
      <c r="E38" s="37"/>
      <c r="F38" s="37"/>
      <c r="G38" s="37"/>
      <c r="H38" s="37"/>
    </row>
    <row r="39" spans="2:8">
      <c r="B39" s="75"/>
      <c r="C39" s="37"/>
      <c r="D39" s="37"/>
      <c r="E39" s="37"/>
      <c r="F39" s="37"/>
      <c r="G39" s="37"/>
      <c r="H39" s="37"/>
    </row>
    <row r="42" spans="2:8">
      <c r="B42" s="152">
        <f>Para!C53</f>
        <v>0.95499999999999996</v>
      </c>
      <c r="C42" s="147"/>
      <c r="D42" s="147"/>
      <c r="E42" s="147"/>
      <c r="F42" s="147"/>
      <c r="G42" s="147"/>
      <c r="H42" s="147"/>
    </row>
    <row r="43" spans="2:8">
      <c r="B43" s="75">
        <v>2006</v>
      </c>
      <c r="C43" s="75" t="str">
        <f t="shared" ref="C43:H43" si="2">C22</f>
        <v>Stufe 1</v>
      </c>
      <c r="D43" s="75" t="str">
        <f t="shared" si="2"/>
        <v>Stufe 2</v>
      </c>
      <c r="E43" s="75" t="str">
        <f t="shared" si="2"/>
        <v>Stufe 3</v>
      </c>
      <c r="F43" s="75" t="str">
        <f t="shared" si="2"/>
        <v>Stufe 4</v>
      </c>
      <c r="G43" s="75" t="str">
        <f t="shared" si="2"/>
        <v>Stufe 5</v>
      </c>
      <c r="H43" s="75" t="str">
        <f t="shared" si="2"/>
        <v>Stufe 6</v>
      </c>
    </row>
    <row r="44" spans="2:8">
      <c r="B44" s="277" t="str">
        <f>B2</f>
        <v>12a</v>
      </c>
      <c r="C44" s="36" t="str">
        <f>IF(C2="-","-",ROUND(C2*Para!$C$53,0))</f>
        <v>-</v>
      </c>
      <c r="D44" s="36" t="str">
        <f>IF(D2="-","-",ROUND(D2*Para!$C$53,0))</f>
        <v>-</v>
      </c>
      <c r="E44" s="36">
        <f>IF(E2="-","-",ROUND(E2*Para!$C$53,0))</f>
        <v>3056</v>
      </c>
      <c r="F44" s="36">
        <f>IF(F2="-","-",ROUND(F2*Para!$C$53,0))</f>
        <v>3390</v>
      </c>
      <c r="G44" s="36">
        <f>IF(G2="-","-",ROUND(G2*Para!$C$53,0))</f>
        <v>3820</v>
      </c>
      <c r="H44" s="36">
        <f>IF(H2="-","-",ROUND(H2*Para!$C$53,0))</f>
        <v>4011</v>
      </c>
    </row>
    <row r="45" spans="2:8">
      <c r="B45" s="277" t="str">
        <f t="shared" ref="B45:B55" si="3">B3</f>
        <v>11b</v>
      </c>
      <c r="C45" s="36" t="str">
        <f>IF(C3="-","-",ROUND(C3*Para!$C$53,0))</f>
        <v>-</v>
      </c>
      <c r="D45" s="36" t="str">
        <f>IF(D3="-","-",ROUND(D3*Para!$C$53,0))</f>
        <v>-</v>
      </c>
      <c r="E45" s="36" t="str">
        <f>IF(E3="-","-",ROUND(E3*Para!$C$53,0))</f>
        <v>-</v>
      </c>
      <c r="F45" s="36">
        <f>IF(F3="-","-",ROUND(F3*Para!$C$53,0))</f>
        <v>3056</v>
      </c>
      <c r="G45" s="36">
        <f>IF(G3="-","-",ROUND(G3*Para!$C$53,0))</f>
        <v>3471</v>
      </c>
      <c r="H45" s="36">
        <f>IF(H3="-","-",ROUND(H3*Para!$C$53,0))</f>
        <v>3662</v>
      </c>
    </row>
    <row r="46" spans="2:8">
      <c r="B46" s="277" t="str">
        <f t="shared" si="3"/>
        <v>11a</v>
      </c>
      <c r="C46" s="36" t="str">
        <f>IF(C4="-","-",ROUND(C4*Para!$C$53,0))</f>
        <v>-</v>
      </c>
      <c r="D46" s="36" t="str">
        <f>IF(D4="-","-",ROUND(D4*Para!$C$53,0))</f>
        <v>-</v>
      </c>
      <c r="E46" s="36">
        <f>IF(E4="-","-",ROUND(E4*Para!$C$53,0))</f>
        <v>2770</v>
      </c>
      <c r="F46" s="36">
        <f>IF(F4="-","-",ROUND(F4*Para!$C$53,0))</f>
        <v>3056</v>
      </c>
      <c r="G46" s="36">
        <f>IF(G4="-","-",ROUND(G4*Para!$C$53,0))</f>
        <v>3471</v>
      </c>
      <c r="H46" s="36" t="str">
        <f>IF(H4="-","-",ROUND(H4*Para!$C$53,0))</f>
        <v>-</v>
      </c>
    </row>
    <row r="47" spans="2:8">
      <c r="B47" s="277" t="str">
        <f t="shared" si="3"/>
        <v>10a</v>
      </c>
      <c r="C47" s="36" t="str">
        <f>IF(C5="-","-",ROUND(C5*Para!$C$53,0))</f>
        <v>-</v>
      </c>
      <c r="D47" s="36" t="str">
        <f>IF(D5="-","-",ROUND(D5*Para!$C$53,0))</f>
        <v>-</v>
      </c>
      <c r="E47" s="36">
        <f>IF(E5="-","-",ROUND(E5*Para!$C$53,0))</f>
        <v>2674</v>
      </c>
      <c r="F47" s="36">
        <f>IF(F5="-","-",ROUND(F5*Para!$C$53,0))</f>
        <v>2865</v>
      </c>
      <c r="G47" s="36">
        <f>IF(G5="-","-",ROUND(G5*Para!$C$53,0))</f>
        <v>3228</v>
      </c>
      <c r="H47" s="36" t="str">
        <f>IF(H5="-","-",ROUND(H5*Para!$C$53,0))</f>
        <v>-</v>
      </c>
    </row>
    <row r="48" spans="2:8">
      <c r="B48" s="277" t="str">
        <f t="shared" si="3"/>
        <v>9d</v>
      </c>
      <c r="C48" s="36" t="str">
        <f>IF(C6="-","-",ROUND(C6*Para!$C$53,0))</f>
        <v>-</v>
      </c>
      <c r="D48" s="36" t="str">
        <f>IF(D6="-","-",ROUND(D6*Para!$C$53,0))</f>
        <v>-</v>
      </c>
      <c r="E48" s="36">
        <f>IF(E6="-","-",ROUND(E6*Para!$C$53,0))</f>
        <v>2607</v>
      </c>
      <c r="F48" s="36">
        <f>IF(F6="-","-",ROUND(F6*Para!$C$53,0))</f>
        <v>2846</v>
      </c>
      <c r="G48" s="36">
        <f>IF(G6="-","-",ROUND(G6*Para!$C$53,0))</f>
        <v>3037</v>
      </c>
      <c r="H48" s="36" t="str">
        <f>IF(H6="-","-",ROUND(H6*Para!$C$53,0))</f>
        <v>-</v>
      </c>
    </row>
    <row r="49" spans="2:8">
      <c r="B49" s="277" t="str">
        <f t="shared" si="3"/>
        <v>9c</v>
      </c>
      <c r="C49" s="36" t="str">
        <f>IF(C7="-","-",ROUND(C7*Para!$C$53,0))</f>
        <v>-</v>
      </c>
      <c r="D49" s="36" t="str">
        <f>IF(D7="-","-",ROUND(D7*Para!$C$53,0))</f>
        <v>-</v>
      </c>
      <c r="E49" s="36">
        <f>IF(E7="-","-",ROUND(E7*Para!$C$53,0))</f>
        <v>2531</v>
      </c>
      <c r="F49" s="36">
        <f>IF(F7="-","-",ROUND(F7*Para!$C$53,0))</f>
        <v>2712</v>
      </c>
      <c r="G49" s="36">
        <f>IF(G7="-","-",ROUND(G7*Para!$C$53,0))</f>
        <v>2884</v>
      </c>
      <c r="H49" s="36" t="str">
        <f>IF(H7="-","-",ROUND(H7*Para!$C$53,0))</f>
        <v>-</v>
      </c>
    </row>
    <row r="50" spans="2:8">
      <c r="B50" s="277" t="str">
        <f t="shared" si="3"/>
        <v>9b</v>
      </c>
      <c r="C50" s="36" t="str">
        <f>IF(C8="-","-",ROUND(C8*Para!$C$53,0))</f>
        <v>-</v>
      </c>
      <c r="D50" s="36" t="str">
        <f>IF(D8="-","-",ROUND(D8*Para!$C$53,0))</f>
        <v>-</v>
      </c>
      <c r="E50" s="36">
        <f>IF(E8="-","-",ROUND(E8*Para!$C$53,0))</f>
        <v>2302</v>
      </c>
      <c r="F50" s="36">
        <f>IF(F8="-","-",ROUND(F8*Para!$C$53,0))</f>
        <v>2607</v>
      </c>
      <c r="G50" s="36">
        <f>IF(G8="-","-",ROUND(G8*Para!$C$53,0))</f>
        <v>2712</v>
      </c>
      <c r="H50" s="36" t="str">
        <f>IF(H8="-","-",ROUND(H8*Para!$C$53,0))</f>
        <v>-</v>
      </c>
    </row>
    <row r="51" spans="2:8">
      <c r="B51" s="277" t="str">
        <f t="shared" si="3"/>
        <v>9a</v>
      </c>
      <c r="C51" s="36" t="str">
        <f>IF(C9="-","-",ROUND(C9*Para!$C$53,0))</f>
        <v>-</v>
      </c>
      <c r="D51" s="36" t="str">
        <f>IF(D9="-","-",ROUND(D9*Para!$C$53,0))</f>
        <v>-</v>
      </c>
      <c r="E51" s="36">
        <f>IF(E9="-","-",ROUND(E9*Para!$C$53,0))</f>
        <v>2302</v>
      </c>
      <c r="F51" s="36">
        <f>IF(F9="-","-",ROUND(F9*Para!$C$53,0))</f>
        <v>2383</v>
      </c>
      <c r="G51" s="36">
        <f>IF(G9="-","-",ROUND(G9*Para!$C$53,0))</f>
        <v>2531</v>
      </c>
      <c r="H51" s="36" t="str">
        <f>IF(H9="-","-",ROUND(H9*Para!$C$53,0))</f>
        <v>-</v>
      </c>
    </row>
    <row r="52" spans="2:8">
      <c r="B52" s="277" t="str">
        <f t="shared" si="3"/>
        <v>8a</v>
      </c>
      <c r="C52" s="36">
        <f>IF(C10="-","-",ROUND(C10*Para!$C$53,0))</f>
        <v>1910</v>
      </c>
      <c r="D52" s="36">
        <f>IF(D10="-","-",ROUND(D10*Para!$C$53,0))</f>
        <v>2034</v>
      </c>
      <c r="E52" s="36">
        <f>IF(E10="-","-",ROUND(E10*Para!$C$53,0))</f>
        <v>2139</v>
      </c>
      <c r="F52" s="36">
        <f>IF(F10="-","-",ROUND(F10*Para!$C$53,0))</f>
        <v>2225</v>
      </c>
      <c r="G52" s="36">
        <f>IF(G10="-","-",ROUND(G10*Para!$C$53,0))</f>
        <v>2383</v>
      </c>
      <c r="H52" s="36">
        <f>IF(H10="-","-",ROUND(H10*Para!$C$53,0))</f>
        <v>2531</v>
      </c>
    </row>
    <row r="53" spans="2:8">
      <c r="B53" s="277" t="str">
        <f t="shared" si="3"/>
        <v>7a</v>
      </c>
      <c r="C53" s="36">
        <f>IF(C11="-","-",ROUND(C11*Para!$C$53,0))</f>
        <v>1767</v>
      </c>
      <c r="D53" s="36">
        <f>IF(D11="-","-",ROUND(D11*Para!$C$53,0))</f>
        <v>1910</v>
      </c>
      <c r="E53" s="36">
        <f>IF(E11="-","-",ROUND(E11*Para!$C$53,0))</f>
        <v>2034</v>
      </c>
      <c r="F53" s="36">
        <f>IF(F11="-","-",ROUND(F11*Para!$C$53,0))</f>
        <v>2225</v>
      </c>
      <c r="G53" s="36">
        <f>IF(G11="-","-",ROUND(G11*Para!$C$53,0))</f>
        <v>2321</v>
      </c>
      <c r="H53" s="36">
        <f>IF(H11="-","-",ROUND(H11*Para!$C$53,0))</f>
        <v>2419</v>
      </c>
    </row>
    <row r="54" spans="2:8">
      <c r="B54" s="277" t="str">
        <f t="shared" si="3"/>
        <v>4a</v>
      </c>
      <c r="C54" s="36">
        <f>IF(C12="-","-",ROUND(C12*Para!$C$53,0))</f>
        <v>1578</v>
      </c>
      <c r="D54" s="36">
        <f>IF(D12="-","-",ROUND(D12*Para!$C$53,0))</f>
        <v>1700</v>
      </c>
      <c r="E54" s="36">
        <f>IF(E12="-","-",ROUND(E12*Para!$C$53,0))</f>
        <v>1815</v>
      </c>
      <c r="F54" s="36">
        <f>IF(F12="-","-",ROUND(F12*Para!$C$53,0))</f>
        <v>2058</v>
      </c>
      <c r="G54" s="36">
        <f>IF(G12="-","-",ROUND(G12*Para!$C$53,0))</f>
        <v>2120</v>
      </c>
      <c r="H54" s="36">
        <f>IF(H12="-","-",ROUND(H12*Para!$C$53,0))</f>
        <v>2235</v>
      </c>
    </row>
    <row r="55" spans="2:8">
      <c r="B55" s="277" t="str">
        <f t="shared" si="3"/>
        <v>3a</v>
      </c>
      <c r="C55" s="36">
        <f>IF(C13="-","-",ROUND(C13*Para!$C$53,0))</f>
        <v>1504</v>
      </c>
      <c r="D55" s="36">
        <f>IF(D13="-","-",ROUND(D13*Para!$C$53,0))</f>
        <v>1671</v>
      </c>
      <c r="E55" s="36">
        <f>IF(E13="-","-",ROUND(E13*Para!$C$53,0))</f>
        <v>1719</v>
      </c>
      <c r="F55" s="36">
        <f>IF(F13="-","-",ROUND(F13*Para!$C$53,0))</f>
        <v>1795</v>
      </c>
      <c r="G55" s="36">
        <f>IF(G13="-","-",ROUND(G13*Para!$C$53,0))</f>
        <v>1853</v>
      </c>
      <c r="H55" s="36">
        <f>IF(H13="-","-",ROUND(H13*Para!$C$53,0))</f>
        <v>1987</v>
      </c>
    </row>
    <row r="56" spans="2:8">
      <c r="B56" s="75"/>
      <c r="C56" s="37"/>
      <c r="D56" s="37"/>
      <c r="E56" s="37"/>
      <c r="F56" s="37"/>
      <c r="G56" s="37"/>
      <c r="H56" s="37"/>
    </row>
    <row r="57" spans="2:8">
      <c r="B57" s="75"/>
      <c r="C57" s="37"/>
      <c r="D57" s="37"/>
      <c r="E57" s="37"/>
      <c r="F57" s="37"/>
      <c r="G57" s="37"/>
      <c r="H57" s="37"/>
    </row>
    <row r="58" spans="2:8">
      <c r="B58" s="75"/>
      <c r="C58" s="37"/>
      <c r="D58" s="37"/>
      <c r="E58" s="37"/>
      <c r="F58" s="37"/>
      <c r="G58" s="37"/>
      <c r="H58" s="37"/>
    </row>
    <row r="59" spans="2:8">
      <c r="B59" s="75"/>
      <c r="C59" s="37"/>
      <c r="D59" s="37"/>
      <c r="E59" s="37"/>
      <c r="F59" s="37"/>
      <c r="G59" s="37"/>
      <c r="H59" s="37"/>
    </row>
    <row r="60" spans="2:8">
      <c r="B60" s="75"/>
      <c r="C60" s="37"/>
      <c r="D60" s="37"/>
      <c r="E60" s="37"/>
      <c r="F60" s="37"/>
      <c r="G60" s="37"/>
      <c r="H60" s="37"/>
    </row>
    <row r="63" spans="2:8">
      <c r="B63" s="152">
        <f>Para!C54</f>
        <v>0.97</v>
      </c>
      <c r="C63" s="147"/>
      <c r="D63" s="147"/>
      <c r="E63" s="147"/>
      <c r="F63" s="147"/>
      <c r="G63" s="147"/>
      <c r="H63" s="147"/>
    </row>
    <row r="64" spans="2:8">
      <c r="B64" s="75">
        <v>2007</v>
      </c>
      <c r="C64" s="75" t="str">
        <f t="shared" ref="C64:H64" si="4">C43</f>
        <v>Stufe 1</v>
      </c>
      <c r="D64" s="75" t="str">
        <f t="shared" si="4"/>
        <v>Stufe 2</v>
      </c>
      <c r="E64" s="75" t="str">
        <f t="shared" si="4"/>
        <v>Stufe 3</v>
      </c>
      <c r="F64" s="75" t="str">
        <f t="shared" si="4"/>
        <v>Stufe 4</v>
      </c>
      <c r="G64" s="75" t="str">
        <f t="shared" si="4"/>
        <v>Stufe 5</v>
      </c>
      <c r="H64" s="75" t="str">
        <f t="shared" si="4"/>
        <v>Stufe 6</v>
      </c>
    </row>
    <row r="65" spans="2:8">
      <c r="B65" s="277" t="str">
        <f>B2</f>
        <v>12a</v>
      </c>
      <c r="C65" s="36" t="str">
        <f>IF(C2="-","-",ROUND(C2*Para!$C$54,0))</f>
        <v>-</v>
      </c>
      <c r="D65" s="36" t="str">
        <f>IF(D2="-","-",ROUND(D2*Para!$C$54,0))</f>
        <v>-</v>
      </c>
      <c r="E65" s="36">
        <f>IF(E2="-","-",ROUND(E2*Para!$C$54,0))</f>
        <v>3104</v>
      </c>
      <c r="F65" s="36">
        <f>IF(F2="-","-",ROUND(F2*Para!$C$54,0))</f>
        <v>3444</v>
      </c>
      <c r="G65" s="36">
        <f>IF(G2="-","-",ROUND(G2*Para!$C$54,0))</f>
        <v>3880</v>
      </c>
      <c r="H65" s="36">
        <f>IF(H2="-","-",ROUND(H2*Para!$C$54,0))</f>
        <v>4074</v>
      </c>
    </row>
    <row r="66" spans="2:8">
      <c r="B66" s="277" t="str">
        <f t="shared" ref="B66:B76" si="5">B3</f>
        <v>11b</v>
      </c>
      <c r="C66" s="36" t="str">
        <f>IF(C3="-","-",ROUND(C3*Para!$C$54,0))</f>
        <v>-</v>
      </c>
      <c r="D66" s="36" t="str">
        <f>IF(D3="-","-",ROUND(D3*Para!$C$54,0))</f>
        <v>-</v>
      </c>
      <c r="E66" s="36" t="str">
        <f>IF(E3="-","-",ROUND(E3*Para!$C$54,0))</f>
        <v>-</v>
      </c>
      <c r="F66" s="36">
        <f>IF(F3="-","-",ROUND(F3*Para!$C$54,0))</f>
        <v>3104</v>
      </c>
      <c r="G66" s="36">
        <f>IF(G3="-","-",ROUND(G3*Para!$C$54,0))</f>
        <v>3526</v>
      </c>
      <c r="H66" s="36">
        <f>IF(H3="-","-",ROUND(H3*Para!$C$54,0))</f>
        <v>3720</v>
      </c>
    </row>
    <row r="67" spans="2:8">
      <c r="B67" s="277" t="str">
        <f t="shared" si="5"/>
        <v>11a</v>
      </c>
      <c r="C67" s="36" t="str">
        <f>IF(C4="-","-",ROUND(C4*Para!$C$54,0))</f>
        <v>-</v>
      </c>
      <c r="D67" s="36" t="str">
        <f>IF(D4="-","-",ROUND(D4*Para!$C$54,0))</f>
        <v>-</v>
      </c>
      <c r="E67" s="36">
        <f>IF(E4="-","-",ROUND(E4*Para!$C$54,0))</f>
        <v>2813</v>
      </c>
      <c r="F67" s="36">
        <f>IF(F4="-","-",ROUND(F4*Para!$C$54,0))</f>
        <v>3104</v>
      </c>
      <c r="G67" s="36">
        <f>IF(G4="-","-",ROUND(G4*Para!$C$54,0))</f>
        <v>3526</v>
      </c>
      <c r="H67" s="36" t="str">
        <f>IF(H4="-","-",ROUND(H4*Para!$C$54,0))</f>
        <v>-</v>
      </c>
    </row>
    <row r="68" spans="2:8">
      <c r="B68" s="277" t="str">
        <f t="shared" si="5"/>
        <v>10a</v>
      </c>
      <c r="C68" s="36" t="str">
        <f>IF(C5="-","-",ROUND(C5*Para!$C$54,0))</f>
        <v>-</v>
      </c>
      <c r="D68" s="36" t="str">
        <f>IF(D5="-","-",ROUND(D5*Para!$C$54,0))</f>
        <v>-</v>
      </c>
      <c r="E68" s="36">
        <f>IF(E5="-","-",ROUND(E5*Para!$C$54,0))</f>
        <v>2716</v>
      </c>
      <c r="F68" s="36">
        <f>IF(F5="-","-",ROUND(F5*Para!$C$54,0))</f>
        <v>2910</v>
      </c>
      <c r="G68" s="36">
        <f>IF(G5="-","-",ROUND(G5*Para!$C$54,0))</f>
        <v>3279</v>
      </c>
      <c r="H68" s="36" t="str">
        <f>IF(H5="-","-",ROUND(H5*Para!$C$54,0))</f>
        <v>-</v>
      </c>
    </row>
    <row r="69" spans="2:8">
      <c r="B69" s="277" t="str">
        <f t="shared" si="5"/>
        <v>9d</v>
      </c>
      <c r="C69" s="36" t="str">
        <f>IF(C6="-","-",ROUND(C6*Para!$C$54,0))</f>
        <v>-</v>
      </c>
      <c r="D69" s="36" t="str">
        <f>IF(D6="-","-",ROUND(D6*Para!$C$54,0))</f>
        <v>-</v>
      </c>
      <c r="E69" s="36">
        <f>IF(E6="-","-",ROUND(E6*Para!$C$54,0))</f>
        <v>2648</v>
      </c>
      <c r="F69" s="36">
        <f>IF(F6="-","-",ROUND(F6*Para!$C$54,0))</f>
        <v>2891</v>
      </c>
      <c r="G69" s="36">
        <f>IF(G6="-","-",ROUND(G6*Para!$C$54,0))</f>
        <v>3085</v>
      </c>
      <c r="H69" s="36" t="str">
        <f>IF(H6="-","-",ROUND(H6*Para!$C$54,0))</f>
        <v>-</v>
      </c>
    </row>
    <row r="70" spans="2:8">
      <c r="B70" s="277" t="str">
        <f t="shared" si="5"/>
        <v>9c</v>
      </c>
      <c r="C70" s="36" t="str">
        <f>IF(C7="-","-",ROUND(C7*Para!$C$54,0))</f>
        <v>-</v>
      </c>
      <c r="D70" s="36" t="str">
        <f>IF(D7="-","-",ROUND(D7*Para!$C$54,0))</f>
        <v>-</v>
      </c>
      <c r="E70" s="36">
        <f>IF(E7="-","-",ROUND(E7*Para!$C$54,0))</f>
        <v>2571</v>
      </c>
      <c r="F70" s="36">
        <f>IF(F7="-","-",ROUND(F7*Para!$C$54,0))</f>
        <v>2755</v>
      </c>
      <c r="G70" s="36">
        <f>IF(G7="-","-",ROUND(G7*Para!$C$54,0))</f>
        <v>2929</v>
      </c>
      <c r="H70" s="36" t="str">
        <f>IF(H7="-","-",ROUND(H7*Para!$C$54,0))</f>
        <v>-</v>
      </c>
    </row>
    <row r="71" spans="2:8">
      <c r="B71" s="277" t="str">
        <f t="shared" si="5"/>
        <v>9b</v>
      </c>
      <c r="C71" s="36" t="str">
        <f>IF(C8="-","-",ROUND(C8*Para!$C$54,0))</f>
        <v>-</v>
      </c>
      <c r="D71" s="36" t="str">
        <f>IF(D8="-","-",ROUND(D8*Para!$C$54,0))</f>
        <v>-</v>
      </c>
      <c r="E71" s="36">
        <f>IF(E8="-","-",ROUND(E8*Para!$C$54,0))</f>
        <v>2338</v>
      </c>
      <c r="F71" s="36">
        <f>IF(F8="-","-",ROUND(F8*Para!$C$54,0))</f>
        <v>2648</v>
      </c>
      <c r="G71" s="36">
        <f>IF(G8="-","-",ROUND(G8*Para!$C$54,0))</f>
        <v>2755</v>
      </c>
      <c r="H71" s="36" t="str">
        <f>IF(H8="-","-",ROUND(H8*Para!$C$54,0))</f>
        <v>-</v>
      </c>
    </row>
    <row r="72" spans="2:8">
      <c r="B72" s="277" t="str">
        <f t="shared" si="5"/>
        <v>9a</v>
      </c>
      <c r="C72" s="36" t="str">
        <f>IF(C9="-","-",ROUND(C9*Para!$C$54,0))</f>
        <v>-</v>
      </c>
      <c r="D72" s="36" t="str">
        <f>IF(D9="-","-",ROUND(D9*Para!$C$54,0))</f>
        <v>-</v>
      </c>
      <c r="E72" s="36">
        <f>IF(E9="-","-",ROUND(E9*Para!$C$54,0))</f>
        <v>2338</v>
      </c>
      <c r="F72" s="36">
        <f>IF(F9="-","-",ROUND(F9*Para!$C$54,0))</f>
        <v>2420</v>
      </c>
      <c r="G72" s="36">
        <f>IF(G9="-","-",ROUND(G9*Para!$C$54,0))</f>
        <v>2571</v>
      </c>
      <c r="H72" s="36" t="str">
        <f>IF(H9="-","-",ROUND(H9*Para!$C$54,0))</f>
        <v>-</v>
      </c>
    </row>
    <row r="73" spans="2:8">
      <c r="B73" s="277" t="str">
        <f t="shared" si="5"/>
        <v>8a</v>
      </c>
      <c r="C73" s="36">
        <f>IF(C10="-","-",ROUND(C10*Para!$C$54,0))</f>
        <v>1940</v>
      </c>
      <c r="D73" s="36">
        <f>IF(D10="-","-",ROUND(D10*Para!$C$54,0))</f>
        <v>2066</v>
      </c>
      <c r="E73" s="36">
        <f>IF(E10="-","-",ROUND(E10*Para!$C$54,0))</f>
        <v>2173</v>
      </c>
      <c r="F73" s="36">
        <f>IF(F10="-","-",ROUND(F10*Para!$C$54,0))</f>
        <v>2260</v>
      </c>
      <c r="G73" s="36">
        <f>IF(G10="-","-",ROUND(G10*Para!$C$54,0))</f>
        <v>2420</v>
      </c>
      <c r="H73" s="36">
        <f>IF(H10="-","-",ROUND(H10*Para!$C$54,0))</f>
        <v>2571</v>
      </c>
    </row>
    <row r="74" spans="2:8">
      <c r="B74" s="277" t="str">
        <f t="shared" si="5"/>
        <v>7a</v>
      </c>
      <c r="C74" s="36">
        <f>IF(C11="-","-",ROUND(C11*Para!$C$54,0))</f>
        <v>1795</v>
      </c>
      <c r="D74" s="36">
        <f>IF(D11="-","-",ROUND(D11*Para!$C$54,0))</f>
        <v>1940</v>
      </c>
      <c r="E74" s="36">
        <f>IF(E11="-","-",ROUND(E11*Para!$C$54,0))</f>
        <v>2066</v>
      </c>
      <c r="F74" s="36">
        <f>IF(F11="-","-",ROUND(F11*Para!$C$54,0))</f>
        <v>2260</v>
      </c>
      <c r="G74" s="36">
        <f>IF(G11="-","-",ROUND(G11*Para!$C$54,0))</f>
        <v>2357</v>
      </c>
      <c r="H74" s="36">
        <f>IF(H11="-","-",ROUND(H11*Para!$C$54,0))</f>
        <v>2457</v>
      </c>
    </row>
    <row r="75" spans="2:8">
      <c r="B75" s="277" t="str">
        <f t="shared" si="5"/>
        <v>4a</v>
      </c>
      <c r="C75" s="36">
        <f>IF(C12="-","-",ROUND(C12*Para!$C$54,0))</f>
        <v>1602</v>
      </c>
      <c r="D75" s="36">
        <f>IF(D12="-","-",ROUND(D12*Para!$C$54,0))</f>
        <v>1727</v>
      </c>
      <c r="E75" s="36">
        <f>IF(E12="-","-",ROUND(E12*Para!$C$54,0))</f>
        <v>1843</v>
      </c>
      <c r="F75" s="36">
        <f>IF(F12="-","-",ROUND(F12*Para!$C$54,0))</f>
        <v>2090</v>
      </c>
      <c r="G75" s="36">
        <f>IF(G12="-","-",ROUND(G12*Para!$C$54,0))</f>
        <v>2153</v>
      </c>
      <c r="H75" s="36">
        <f>IF(H12="-","-",ROUND(H12*Para!$C$54,0))</f>
        <v>2270</v>
      </c>
    </row>
    <row r="76" spans="2:8">
      <c r="B76" s="277" t="str">
        <f t="shared" si="5"/>
        <v>3a</v>
      </c>
      <c r="C76" s="36">
        <f>IF(C13="-","-",ROUND(C13*Para!$C$54,0))</f>
        <v>1528</v>
      </c>
      <c r="D76" s="36">
        <f>IF(D13="-","-",ROUND(D13*Para!$C$54,0))</f>
        <v>1698</v>
      </c>
      <c r="E76" s="36">
        <f>IF(E13="-","-",ROUND(E13*Para!$C$54,0))</f>
        <v>1746</v>
      </c>
      <c r="F76" s="36">
        <f>IF(F13="-","-",ROUND(F13*Para!$C$54,0))</f>
        <v>1824</v>
      </c>
      <c r="G76" s="36">
        <f>IF(G13="-","-",ROUND(G13*Para!$C$54,0))</f>
        <v>1882</v>
      </c>
      <c r="H76" s="36">
        <f>IF(H13="-","-",ROUND(H13*Para!$C$54,0))</f>
        <v>2019</v>
      </c>
    </row>
    <row r="77" spans="2:8">
      <c r="B77" s="75"/>
      <c r="C77" s="37"/>
      <c r="D77" s="37"/>
      <c r="E77" s="37"/>
      <c r="F77" s="37"/>
      <c r="G77" s="37"/>
      <c r="H77" s="37"/>
    </row>
    <row r="78" spans="2:8">
      <c r="B78" s="75"/>
      <c r="C78" s="37"/>
      <c r="D78" s="37"/>
      <c r="E78" s="37"/>
      <c r="F78" s="37"/>
      <c r="G78" s="37"/>
      <c r="H78" s="37"/>
    </row>
    <row r="79" spans="2:8">
      <c r="B79" s="75"/>
      <c r="C79" s="37"/>
      <c r="D79" s="37"/>
      <c r="E79" s="37"/>
      <c r="F79" s="37"/>
      <c r="G79" s="37"/>
      <c r="H79" s="37"/>
    </row>
    <row r="80" spans="2:8">
      <c r="B80" s="75"/>
      <c r="C80" s="37"/>
      <c r="D80" s="37"/>
      <c r="E80" s="37"/>
      <c r="F80" s="37"/>
      <c r="G80" s="37"/>
      <c r="H80" s="37"/>
    </row>
    <row r="81" spans="2:8">
      <c r="B81" s="75"/>
      <c r="C81" s="37"/>
      <c r="D81" s="37"/>
      <c r="E81" s="37"/>
      <c r="F81" s="37"/>
      <c r="G81" s="37"/>
      <c r="H81" s="37"/>
    </row>
    <row r="84" spans="2:8">
      <c r="B84" s="152">
        <f>Para!C55</f>
        <v>1</v>
      </c>
      <c r="C84" s="148" t="str">
        <f>Para!G55</f>
        <v>EG Kr 9d - 3a</v>
      </c>
      <c r="D84" s="147"/>
      <c r="E84" s="147"/>
      <c r="F84" s="147"/>
      <c r="G84" s="147"/>
      <c r="H84" s="147"/>
    </row>
    <row r="85" spans="2:8">
      <c r="B85" s="75">
        <v>2008</v>
      </c>
      <c r="C85" s="75" t="str">
        <f t="shared" ref="C85:H89" si="6">C64</f>
        <v>Stufe 1</v>
      </c>
      <c r="D85" s="75" t="str">
        <f t="shared" si="6"/>
        <v>Stufe 2</v>
      </c>
      <c r="E85" s="75" t="str">
        <f t="shared" si="6"/>
        <v>Stufe 3</v>
      </c>
      <c r="F85" s="75" t="str">
        <f t="shared" si="6"/>
        <v>Stufe 4</v>
      </c>
      <c r="G85" s="75" t="str">
        <f t="shared" si="6"/>
        <v>Stufe 5</v>
      </c>
      <c r="H85" s="75" t="str">
        <f t="shared" si="6"/>
        <v>Stufe 6</v>
      </c>
    </row>
    <row r="86" spans="2:8">
      <c r="B86" s="277" t="str">
        <f>B2</f>
        <v>12a</v>
      </c>
      <c r="C86" s="37" t="str">
        <f t="shared" si="6"/>
        <v>-</v>
      </c>
      <c r="D86" s="37" t="str">
        <f t="shared" si="6"/>
        <v>-</v>
      </c>
      <c r="E86" s="37">
        <f t="shared" si="6"/>
        <v>3104</v>
      </c>
      <c r="F86" s="37">
        <f t="shared" si="6"/>
        <v>3444</v>
      </c>
      <c r="G86" s="37">
        <f t="shared" si="6"/>
        <v>3880</v>
      </c>
      <c r="H86" s="37">
        <f t="shared" si="6"/>
        <v>4074</v>
      </c>
    </row>
    <row r="87" spans="2:8">
      <c r="B87" s="277" t="str">
        <f t="shared" ref="B87:B97" si="7">B3</f>
        <v>11b</v>
      </c>
      <c r="C87" s="37" t="str">
        <f t="shared" si="6"/>
        <v>-</v>
      </c>
      <c r="D87" s="37" t="str">
        <f t="shared" si="6"/>
        <v>-</v>
      </c>
      <c r="E87" s="37" t="str">
        <f t="shared" si="6"/>
        <v>-</v>
      </c>
      <c r="F87" s="37">
        <f t="shared" si="6"/>
        <v>3104</v>
      </c>
      <c r="G87" s="37">
        <f t="shared" si="6"/>
        <v>3526</v>
      </c>
      <c r="H87" s="37">
        <f t="shared" si="6"/>
        <v>3720</v>
      </c>
    </row>
    <row r="88" spans="2:8">
      <c r="B88" s="277" t="str">
        <f t="shared" si="7"/>
        <v>11a</v>
      </c>
      <c r="C88" s="37" t="str">
        <f t="shared" si="6"/>
        <v>-</v>
      </c>
      <c r="D88" s="37" t="str">
        <f t="shared" si="6"/>
        <v>-</v>
      </c>
      <c r="E88" s="37">
        <f t="shared" si="6"/>
        <v>2813</v>
      </c>
      <c r="F88" s="37">
        <f t="shared" si="6"/>
        <v>3104</v>
      </c>
      <c r="G88" s="37">
        <f t="shared" si="6"/>
        <v>3526</v>
      </c>
      <c r="H88" s="37" t="str">
        <f t="shared" si="6"/>
        <v>-</v>
      </c>
    </row>
    <row r="89" spans="2:8">
      <c r="B89" s="277" t="str">
        <f t="shared" si="7"/>
        <v>10a</v>
      </c>
      <c r="C89" s="37" t="str">
        <f t="shared" si="6"/>
        <v>-</v>
      </c>
      <c r="D89" s="37" t="str">
        <f t="shared" si="6"/>
        <v>-</v>
      </c>
      <c r="E89" s="37">
        <f t="shared" si="6"/>
        <v>2716</v>
      </c>
      <c r="F89" s="37">
        <f t="shared" si="6"/>
        <v>2910</v>
      </c>
      <c r="G89" s="37">
        <f t="shared" si="6"/>
        <v>3279</v>
      </c>
      <c r="H89" s="37" t="str">
        <f t="shared" si="6"/>
        <v>-</v>
      </c>
    </row>
    <row r="90" spans="2:8">
      <c r="B90" s="277" t="str">
        <f t="shared" si="7"/>
        <v>9d</v>
      </c>
      <c r="C90" s="37" t="str">
        <f t="shared" ref="C90:H95" si="8">C6</f>
        <v>-</v>
      </c>
      <c r="D90" s="37" t="str">
        <f t="shared" si="8"/>
        <v>-</v>
      </c>
      <c r="E90" s="37">
        <f t="shared" si="8"/>
        <v>2730</v>
      </c>
      <c r="F90" s="37">
        <f t="shared" si="8"/>
        <v>2980</v>
      </c>
      <c r="G90" s="37">
        <f t="shared" si="8"/>
        <v>3180</v>
      </c>
      <c r="H90" s="37" t="str">
        <f t="shared" si="8"/>
        <v>-</v>
      </c>
    </row>
    <row r="91" spans="2:8">
      <c r="B91" s="277" t="str">
        <f t="shared" si="7"/>
        <v>9c</v>
      </c>
      <c r="C91" s="37" t="str">
        <f t="shared" si="8"/>
        <v>-</v>
      </c>
      <c r="D91" s="37" t="str">
        <f t="shared" si="8"/>
        <v>-</v>
      </c>
      <c r="E91" s="37">
        <f t="shared" si="8"/>
        <v>2650</v>
      </c>
      <c r="F91" s="37">
        <f t="shared" si="8"/>
        <v>2840</v>
      </c>
      <c r="G91" s="37">
        <f t="shared" si="8"/>
        <v>3020</v>
      </c>
      <c r="H91" s="37" t="str">
        <f t="shared" si="8"/>
        <v>-</v>
      </c>
    </row>
    <row r="92" spans="2:8">
      <c r="B92" s="277" t="str">
        <f t="shared" si="7"/>
        <v>9b</v>
      </c>
      <c r="C92" s="37" t="str">
        <f t="shared" si="8"/>
        <v>-</v>
      </c>
      <c r="D92" s="37" t="str">
        <f t="shared" si="8"/>
        <v>-</v>
      </c>
      <c r="E92" s="37">
        <f t="shared" si="8"/>
        <v>2410</v>
      </c>
      <c r="F92" s="37">
        <f t="shared" si="8"/>
        <v>2730</v>
      </c>
      <c r="G92" s="37">
        <f t="shared" si="8"/>
        <v>2840</v>
      </c>
      <c r="H92" s="37" t="str">
        <f t="shared" si="8"/>
        <v>-</v>
      </c>
    </row>
    <row r="93" spans="2:8">
      <c r="B93" s="277" t="str">
        <f t="shared" si="7"/>
        <v>9a</v>
      </c>
      <c r="C93" s="37" t="str">
        <f t="shared" si="8"/>
        <v>-</v>
      </c>
      <c r="D93" s="37" t="str">
        <f t="shared" si="8"/>
        <v>-</v>
      </c>
      <c r="E93" s="37">
        <f t="shared" si="8"/>
        <v>2410</v>
      </c>
      <c r="F93" s="37">
        <f t="shared" si="8"/>
        <v>2495</v>
      </c>
      <c r="G93" s="37">
        <f t="shared" si="8"/>
        <v>2650</v>
      </c>
      <c r="H93" s="37" t="str">
        <f t="shared" si="8"/>
        <v>-</v>
      </c>
    </row>
    <row r="94" spans="2:8">
      <c r="B94" s="277" t="str">
        <f t="shared" si="7"/>
        <v>8a</v>
      </c>
      <c r="C94" s="37">
        <f t="shared" si="8"/>
        <v>2000</v>
      </c>
      <c r="D94" s="37">
        <f t="shared" si="8"/>
        <v>2130</v>
      </c>
      <c r="E94" s="37">
        <f t="shared" si="8"/>
        <v>2240</v>
      </c>
      <c r="F94" s="37">
        <f t="shared" si="8"/>
        <v>2330</v>
      </c>
      <c r="G94" s="37">
        <f t="shared" si="8"/>
        <v>2495</v>
      </c>
      <c r="H94" s="37">
        <f t="shared" si="8"/>
        <v>2650</v>
      </c>
    </row>
    <row r="95" spans="2:8">
      <c r="B95" s="277" t="str">
        <f t="shared" si="7"/>
        <v>7a</v>
      </c>
      <c r="C95" s="37">
        <f t="shared" si="8"/>
        <v>1850</v>
      </c>
      <c r="D95" s="37">
        <f t="shared" si="8"/>
        <v>2000</v>
      </c>
      <c r="E95" s="37">
        <f t="shared" si="8"/>
        <v>2130</v>
      </c>
      <c r="F95" s="37">
        <f t="shared" si="8"/>
        <v>2330</v>
      </c>
      <c r="G95" s="37">
        <f t="shared" si="8"/>
        <v>2430</v>
      </c>
      <c r="H95" s="37">
        <f t="shared" si="8"/>
        <v>2533</v>
      </c>
    </row>
    <row r="96" spans="2:8">
      <c r="B96" s="277" t="str">
        <f t="shared" si="7"/>
        <v>4a</v>
      </c>
      <c r="C96" s="37">
        <f t="shared" ref="C96:H96" si="9">C12</f>
        <v>1652</v>
      </c>
      <c r="D96" s="37">
        <f t="shared" si="9"/>
        <v>1780</v>
      </c>
      <c r="E96" s="37">
        <f t="shared" si="9"/>
        <v>1900</v>
      </c>
      <c r="F96" s="37">
        <f t="shared" si="9"/>
        <v>2155</v>
      </c>
      <c r="G96" s="37">
        <f t="shared" si="9"/>
        <v>2220</v>
      </c>
      <c r="H96" s="37">
        <f t="shared" si="9"/>
        <v>2340</v>
      </c>
    </row>
    <row r="97" spans="2:17">
      <c r="B97" s="277" t="str">
        <f t="shared" si="7"/>
        <v>3a</v>
      </c>
      <c r="C97" s="37">
        <f t="shared" ref="C97:H97" si="10">C13</f>
        <v>1575</v>
      </c>
      <c r="D97" s="37">
        <f t="shared" si="10"/>
        <v>1750</v>
      </c>
      <c r="E97" s="37">
        <f t="shared" si="10"/>
        <v>1800</v>
      </c>
      <c r="F97" s="37">
        <f t="shared" si="10"/>
        <v>1880</v>
      </c>
      <c r="G97" s="37">
        <f t="shared" si="10"/>
        <v>1940</v>
      </c>
      <c r="H97" s="37">
        <f t="shared" si="10"/>
        <v>2081</v>
      </c>
    </row>
    <row r="102" spans="2:17">
      <c r="B102" s="135" t="s">
        <v>127</v>
      </c>
      <c r="K102" s="135" t="s">
        <v>123</v>
      </c>
    </row>
    <row r="105" spans="2:17">
      <c r="B105" s="147" t="s">
        <v>118</v>
      </c>
      <c r="K105" s="147" t="s">
        <v>114</v>
      </c>
    </row>
    <row r="106" spans="2:17">
      <c r="B106" s="75">
        <v>2008</v>
      </c>
      <c r="C106" s="75" t="str">
        <f t="shared" ref="C106:H106" si="11">C1</f>
        <v>Stufe 1</v>
      </c>
      <c r="D106" s="75" t="str">
        <f t="shared" si="11"/>
        <v>Stufe 2</v>
      </c>
      <c r="E106" s="75" t="str">
        <f t="shared" si="11"/>
        <v>Stufe 3</v>
      </c>
      <c r="F106" s="75" t="str">
        <f t="shared" si="11"/>
        <v>Stufe 4</v>
      </c>
      <c r="G106" s="75" t="str">
        <f t="shared" si="11"/>
        <v>Stufe 5</v>
      </c>
      <c r="H106" s="75" t="str">
        <f t="shared" si="11"/>
        <v>Stufe 6</v>
      </c>
      <c r="K106" s="75">
        <v>2008</v>
      </c>
      <c r="L106" s="75" t="str">
        <f t="shared" ref="L106:Q106" si="12">C1</f>
        <v>Stufe 1</v>
      </c>
      <c r="M106" s="75" t="str">
        <f t="shared" si="12"/>
        <v>Stufe 2</v>
      </c>
      <c r="N106" s="75" t="str">
        <f t="shared" si="12"/>
        <v>Stufe 3</v>
      </c>
      <c r="O106" s="75" t="str">
        <f t="shared" si="12"/>
        <v>Stufe 4</v>
      </c>
      <c r="P106" s="75" t="str">
        <f t="shared" si="12"/>
        <v>Stufe 5</v>
      </c>
      <c r="Q106" s="75" t="str">
        <f t="shared" si="12"/>
        <v>Stufe 6</v>
      </c>
    </row>
    <row r="107" spans="2:17">
      <c r="B107" s="277" t="str">
        <f t="shared" ref="B107:B118" si="13">B2</f>
        <v>12a</v>
      </c>
      <c r="C107" s="37" t="str">
        <f t="shared" ref="C107:H107" si="14">IF(C2="-","-",ROUND((C2+50)*1.016,2))</f>
        <v>-</v>
      </c>
      <c r="D107" s="37" t="str">
        <f t="shared" si="14"/>
        <v>-</v>
      </c>
      <c r="E107" s="37">
        <f t="shared" si="14"/>
        <v>3302</v>
      </c>
      <c r="F107" s="37">
        <f t="shared" si="14"/>
        <v>3657.6</v>
      </c>
      <c r="G107" s="37">
        <f t="shared" si="14"/>
        <v>4114.8</v>
      </c>
      <c r="H107" s="37">
        <f t="shared" si="14"/>
        <v>4318</v>
      </c>
      <c r="K107" s="277" t="str">
        <f>B2</f>
        <v>12a</v>
      </c>
      <c r="L107" s="37" t="str">
        <f t="shared" ref="L107:Q107" si="15">IF(C2="-","-",ROUND((C2+50)*1.031,2))</f>
        <v>-</v>
      </c>
      <c r="M107" s="37" t="str">
        <f t="shared" si="15"/>
        <v>-</v>
      </c>
      <c r="N107" s="37">
        <f t="shared" si="15"/>
        <v>3350.75</v>
      </c>
      <c r="O107" s="37">
        <f t="shared" si="15"/>
        <v>3711.6</v>
      </c>
      <c r="P107" s="37">
        <f t="shared" si="15"/>
        <v>4175.55</v>
      </c>
      <c r="Q107" s="37">
        <f t="shared" si="15"/>
        <v>4381.75</v>
      </c>
    </row>
    <row r="108" spans="2:17">
      <c r="B108" s="277" t="str">
        <f t="shared" si="13"/>
        <v>11b</v>
      </c>
      <c r="C108" s="37" t="str">
        <f t="shared" ref="C108:H108" si="16">IF(C3="-","-",ROUND((C3+50)*1.016,2))</f>
        <v>-</v>
      </c>
      <c r="D108" s="37" t="str">
        <f t="shared" si="16"/>
        <v>-</v>
      </c>
      <c r="E108" s="37" t="str">
        <f t="shared" si="16"/>
        <v>-</v>
      </c>
      <c r="F108" s="37">
        <f t="shared" si="16"/>
        <v>3302</v>
      </c>
      <c r="G108" s="37">
        <f t="shared" si="16"/>
        <v>3743.96</v>
      </c>
      <c r="H108" s="37">
        <f t="shared" si="16"/>
        <v>3947.16</v>
      </c>
      <c r="K108" s="277" t="str">
        <f t="shared" ref="K108:K118" si="17">B3</f>
        <v>11b</v>
      </c>
      <c r="L108" s="37" t="str">
        <f t="shared" ref="L108:L118" si="18">IF(C3="-","-",ROUND((C3+50)*1.031,2))</f>
        <v>-</v>
      </c>
      <c r="M108" s="37" t="str">
        <f t="shared" ref="M108:M118" si="19">IF(D3="-","-",ROUND((D3+50)*1.031,2))</f>
        <v>-</v>
      </c>
      <c r="N108" s="37" t="str">
        <f t="shared" ref="N108:N118" si="20">IF(E3="-","-",ROUND((E3+50)*1.031,2))</f>
        <v>-</v>
      </c>
      <c r="O108" s="37">
        <f t="shared" ref="O108:O118" si="21">IF(F3="-","-",ROUND((F3+50)*1.031,2))</f>
        <v>3350.75</v>
      </c>
      <c r="P108" s="37">
        <f t="shared" ref="P108:P118" si="22">IF(G3="-","-",ROUND((G3+50)*1.031,2))</f>
        <v>3799.24</v>
      </c>
      <c r="Q108" s="37">
        <f t="shared" ref="Q108:Q118" si="23">IF(H3="-","-",ROUND((H3+50)*1.031,2))</f>
        <v>4005.44</v>
      </c>
    </row>
    <row r="109" spans="2:17">
      <c r="B109" s="277" t="str">
        <f t="shared" si="13"/>
        <v>11a</v>
      </c>
      <c r="C109" s="37" t="str">
        <f t="shared" ref="C109:H109" si="24">IF(C4="-","-",ROUND((C4+50)*1.016,2))</f>
        <v>-</v>
      </c>
      <c r="D109" s="37" t="str">
        <f t="shared" si="24"/>
        <v>-</v>
      </c>
      <c r="E109" s="37">
        <f t="shared" si="24"/>
        <v>2997.2</v>
      </c>
      <c r="F109" s="37">
        <f t="shared" si="24"/>
        <v>3302</v>
      </c>
      <c r="G109" s="37">
        <f t="shared" si="24"/>
        <v>3743.96</v>
      </c>
      <c r="H109" s="37" t="str">
        <f t="shared" si="24"/>
        <v>-</v>
      </c>
      <c r="K109" s="277" t="str">
        <f t="shared" si="17"/>
        <v>11a</v>
      </c>
      <c r="L109" s="37" t="str">
        <f t="shared" si="18"/>
        <v>-</v>
      </c>
      <c r="M109" s="37" t="str">
        <f t="shared" si="19"/>
        <v>-</v>
      </c>
      <c r="N109" s="37">
        <f t="shared" si="20"/>
        <v>3041.45</v>
      </c>
      <c r="O109" s="37">
        <f t="shared" si="21"/>
        <v>3350.75</v>
      </c>
      <c r="P109" s="37">
        <f t="shared" si="22"/>
        <v>3799.24</v>
      </c>
      <c r="Q109" s="37" t="str">
        <f t="shared" si="23"/>
        <v>-</v>
      </c>
    </row>
    <row r="110" spans="2:17">
      <c r="B110" s="277" t="str">
        <f t="shared" si="13"/>
        <v>10a</v>
      </c>
      <c r="C110" s="37" t="str">
        <f t="shared" ref="C110:H110" si="25">IF(C5="-","-",ROUND((C5+50)*1.016,2))</f>
        <v>-</v>
      </c>
      <c r="D110" s="37" t="str">
        <f t="shared" si="25"/>
        <v>-</v>
      </c>
      <c r="E110" s="37">
        <f t="shared" si="25"/>
        <v>2895.6</v>
      </c>
      <c r="F110" s="37">
        <f t="shared" si="25"/>
        <v>3098.8</v>
      </c>
      <c r="G110" s="37">
        <f t="shared" si="25"/>
        <v>3484.88</v>
      </c>
      <c r="H110" s="37" t="str">
        <f t="shared" si="25"/>
        <v>-</v>
      </c>
      <c r="K110" s="277" t="str">
        <f t="shared" si="17"/>
        <v>10a</v>
      </c>
      <c r="L110" s="37" t="str">
        <f t="shared" si="18"/>
        <v>-</v>
      </c>
      <c r="M110" s="37" t="str">
        <f t="shared" si="19"/>
        <v>-</v>
      </c>
      <c r="N110" s="37">
        <f t="shared" si="20"/>
        <v>2938.35</v>
      </c>
      <c r="O110" s="37">
        <f t="shared" si="21"/>
        <v>3144.55</v>
      </c>
      <c r="P110" s="37">
        <f t="shared" si="22"/>
        <v>3536.33</v>
      </c>
      <c r="Q110" s="37" t="str">
        <f t="shared" si="23"/>
        <v>-</v>
      </c>
    </row>
    <row r="111" spans="2:17">
      <c r="B111" s="277" t="str">
        <f t="shared" si="13"/>
        <v>9d</v>
      </c>
      <c r="C111" s="37" t="str">
        <f t="shared" ref="C111:H111" si="26">IF(C6="-","-",ROUND((C6+50)*1.016,2))</f>
        <v>-</v>
      </c>
      <c r="D111" s="37" t="str">
        <f t="shared" si="26"/>
        <v>-</v>
      </c>
      <c r="E111" s="37">
        <f t="shared" si="26"/>
        <v>2824.48</v>
      </c>
      <c r="F111" s="37">
        <f t="shared" si="26"/>
        <v>3078.48</v>
      </c>
      <c r="G111" s="37">
        <f t="shared" si="26"/>
        <v>3281.68</v>
      </c>
      <c r="H111" s="37" t="str">
        <f t="shared" si="26"/>
        <v>-</v>
      </c>
      <c r="K111" s="277" t="str">
        <f t="shared" si="17"/>
        <v>9d</v>
      </c>
      <c r="L111" s="37" t="str">
        <f t="shared" si="18"/>
        <v>-</v>
      </c>
      <c r="M111" s="37" t="str">
        <f t="shared" si="19"/>
        <v>-</v>
      </c>
      <c r="N111" s="37">
        <f t="shared" si="20"/>
        <v>2866.18</v>
      </c>
      <c r="O111" s="37">
        <f t="shared" si="21"/>
        <v>3123.93</v>
      </c>
      <c r="P111" s="37">
        <f t="shared" si="22"/>
        <v>3330.13</v>
      </c>
      <c r="Q111" s="37" t="str">
        <f t="shared" si="23"/>
        <v>-</v>
      </c>
    </row>
    <row r="112" spans="2:17">
      <c r="B112" s="277" t="str">
        <f t="shared" si="13"/>
        <v>9c</v>
      </c>
      <c r="C112" s="37" t="str">
        <f t="shared" ref="C112:H112" si="27">IF(C7="-","-",ROUND((C7+50)*1.016,2))</f>
        <v>-</v>
      </c>
      <c r="D112" s="37" t="str">
        <f t="shared" si="27"/>
        <v>-</v>
      </c>
      <c r="E112" s="37">
        <f t="shared" si="27"/>
        <v>2743.2</v>
      </c>
      <c r="F112" s="37">
        <f t="shared" si="27"/>
        <v>2936.24</v>
      </c>
      <c r="G112" s="37">
        <f t="shared" si="27"/>
        <v>3119.12</v>
      </c>
      <c r="H112" s="37" t="str">
        <f t="shared" si="27"/>
        <v>-</v>
      </c>
      <c r="K112" s="277" t="str">
        <f t="shared" si="17"/>
        <v>9c</v>
      </c>
      <c r="L112" s="37" t="str">
        <f t="shared" si="18"/>
        <v>-</v>
      </c>
      <c r="M112" s="37" t="str">
        <f t="shared" si="19"/>
        <v>-</v>
      </c>
      <c r="N112" s="37">
        <f t="shared" si="20"/>
        <v>2783.7</v>
      </c>
      <c r="O112" s="37">
        <f t="shared" si="21"/>
        <v>2979.59</v>
      </c>
      <c r="P112" s="37">
        <f t="shared" si="22"/>
        <v>3165.17</v>
      </c>
      <c r="Q112" s="37" t="str">
        <f t="shared" si="23"/>
        <v>-</v>
      </c>
    </row>
    <row r="113" spans="2:17">
      <c r="B113" s="277" t="str">
        <f t="shared" si="13"/>
        <v>9b</v>
      </c>
      <c r="C113" s="37" t="str">
        <f t="shared" ref="C113:H113" si="28">IF(C8="-","-",ROUND((C8+50)*1.016,2))</f>
        <v>-</v>
      </c>
      <c r="D113" s="37" t="str">
        <f t="shared" si="28"/>
        <v>-</v>
      </c>
      <c r="E113" s="37">
        <f t="shared" si="28"/>
        <v>2499.36</v>
      </c>
      <c r="F113" s="37">
        <f t="shared" si="28"/>
        <v>2824.48</v>
      </c>
      <c r="G113" s="37">
        <f t="shared" si="28"/>
        <v>2936.24</v>
      </c>
      <c r="H113" s="37" t="str">
        <f t="shared" si="28"/>
        <v>-</v>
      </c>
      <c r="K113" s="277" t="str">
        <f t="shared" si="17"/>
        <v>9b</v>
      </c>
      <c r="L113" s="37" t="str">
        <f t="shared" si="18"/>
        <v>-</v>
      </c>
      <c r="M113" s="37" t="str">
        <f t="shared" si="19"/>
        <v>-</v>
      </c>
      <c r="N113" s="37">
        <f t="shared" si="20"/>
        <v>2536.2600000000002</v>
      </c>
      <c r="O113" s="37">
        <f t="shared" si="21"/>
        <v>2866.18</v>
      </c>
      <c r="P113" s="37">
        <f t="shared" si="22"/>
        <v>2979.59</v>
      </c>
      <c r="Q113" s="37" t="str">
        <f t="shared" si="23"/>
        <v>-</v>
      </c>
    </row>
    <row r="114" spans="2:17">
      <c r="B114" s="277" t="str">
        <f t="shared" si="13"/>
        <v>9a</v>
      </c>
      <c r="C114" s="37" t="str">
        <f t="shared" ref="C114:H114" si="29">IF(C9="-","-",ROUND((C9+50)*1.016,2))</f>
        <v>-</v>
      </c>
      <c r="D114" s="37" t="str">
        <f t="shared" si="29"/>
        <v>-</v>
      </c>
      <c r="E114" s="37">
        <f t="shared" si="29"/>
        <v>2499.36</v>
      </c>
      <c r="F114" s="37">
        <f t="shared" si="29"/>
        <v>2585.7199999999998</v>
      </c>
      <c r="G114" s="37">
        <f t="shared" si="29"/>
        <v>2743.2</v>
      </c>
      <c r="H114" s="37" t="str">
        <f t="shared" si="29"/>
        <v>-</v>
      </c>
      <c r="K114" s="277" t="str">
        <f t="shared" si="17"/>
        <v>9a</v>
      </c>
      <c r="L114" s="37" t="str">
        <f t="shared" si="18"/>
        <v>-</v>
      </c>
      <c r="M114" s="37" t="str">
        <f t="shared" si="19"/>
        <v>-</v>
      </c>
      <c r="N114" s="37">
        <f t="shared" si="20"/>
        <v>2536.2600000000002</v>
      </c>
      <c r="O114" s="37">
        <f t="shared" si="21"/>
        <v>2623.9</v>
      </c>
      <c r="P114" s="37">
        <f t="shared" si="22"/>
        <v>2783.7</v>
      </c>
      <c r="Q114" s="37" t="str">
        <f t="shared" si="23"/>
        <v>-</v>
      </c>
    </row>
    <row r="115" spans="2:17">
      <c r="B115" s="277" t="str">
        <f t="shared" si="13"/>
        <v>8a</v>
      </c>
      <c r="C115" s="37">
        <f t="shared" ref="C115:H115" si="30">IF(C10="-","-",ROUND((C10+50)*1.016,2))</f>
        <v>2082.8000000000002</v>
      </c>
      <c r="D115" s="37">
        <f t="shared" si="30"/>
        <v>2214.88</v>
      </c>
      <c r="E115" s="37">
        <f t="shared" si="30"/>
        <v>2326.64</v>
      </c>
      <c r="F115" s="37">
        <f t="shared" si="30"/>
        <v>2418.08</v>
      </c>
      <c r="G115" s="37">
        <f t="shared" si="30"/>
        <v>2585.7199999999998</v>
      </c>
      <c r="H115" s="37">
        <f t="shared" si="30"/>
        <v>2743.2</v>
      </c>
      <c r="K115" s="277" t="str">
        <f t="shared" si="17"/>
        <v>8a</v>
      </c>
      <c r="L115" s="37">
        <f t="shared" si="18"/>
        <v>2113.5500000000002</v>
      </c>
      <c r="M115" s="37">
        <f t="shared" si="19"/>
        <v>2247.58</v>
      </c>
      <c r="N115" s="37">
        <f t="shared" si="20"/>
        <v>2360.9899999999998</v>
      </c>
      <c r="O115" s="37">
        <f t="shared" si="21"/>
        <v>2453.7800000000002</v>
      </c>
      <c r="P115" s="37">
        <f t="shared" si="22"/>
        <v>2623.9</v>
      </c>
      <c r="Q115" s="37">
        <f t="shared" si="23"/>
        <v>2783.7</v>
      </c>
    </row>
    <row r="116" spans="2:17">
      <c r="B116" s="277" t="str">
        <f t="shared" si="13"/>
        <v>7a</v>
      </c>
      <c r="C116" s="37">
        <f t="shared" ref="C116:H116" si="31">IF(C11="-","-",ROUND((C11+50)*1.016,2))</f>
        <v>1930.4</v>
      </c>
      <c r="D116" s="37">
        <f t="shared" si="31"/>
        <v>2082.8000000000002</v>
      </c>
      <c r="E116" s="37">
        <f t="shared" si="31"/>
        <v>2214.88</v>
      </c>
      <c r="F116" s="37">
        <f t="shared" si="31"/>
        <v>2418.08</v>
      </c>
      <c r="G116" s="37">
        <f t="shared" si="31"/>
        <v>2519.6799999999998</v>
      </c>
      <c r="H116" s="37">
        <f t="shared" si="31"/>
        <v>2624.33</v>
      </c>
      <c r="K116" s="277" t="str">
        <f t="shared" si="17"/>
        <v>7a</v>
      </c>
      <c r="L116" s="37">
        <f t="shared" si="18"/>
        <v>1958.9</v>
      </c>
      <c r="M116" s="37">
        <f t="shared" si="19"/>
        <v>2113.5500000000002</v>
      </c>
      <c r="N116" s="37">
        <f t="shared" si="20"/>
        <v>2247.58</v>
      </c>
      <c r="O116" s="37">
        <f t="shared" si="21"/>
        <v>2453.7800000000002</v>
      </c>
      <c r="P116" s="37">
        <f t="shared" si="22"/>
        <v>2556.88</v>
      </c>
      <c r="Q116" s="37">
        <f t="shared" si="23"/>
        <v>2663.07</v>
      </c>
    </row>
    <row r="117" spans="2:17">
      <c r="B117" s="277" t="str">
        <f t="shared" si="13"/>
        <v>4a</v>
      </c>
      <c r="C117" s="37">
        <f t="shared" ref="C117:H117" si="32">IF(C12="-","-",ROUND((C12+50)*1.016,2))</f>
        <v>1729.23</v>
      </c>
      <c r="D117" s="37">
        <f t="shared" si="32"/>
        <v>1859.28</v>
      </c>
      <c r="E117" s="37">
        <f t="shared" si="32"/>
        <v>1981.2</v>
      </c>
      <c r="F117" s="37">
        <f t="shared" si="32"/>
        <v>2240.2800000000002</v>
      </c>
      <c r="G117" s="37">
        <f t="shared" si="32"/>
        <v>2306.3200000000002</v>
      </c>
      <c r="H117" s="37">
        <f t="shared" si="32"/>
        <v>2428.2399999999998</v>
      </c>
      <c r="K117" s="277" t="str">
        <f t="shared" si="17"/>
        <v>4a</v>
      </c>
      <c r="L117" s="37">
        <f t="shared" si="18"/>
        <v>1754.76</v>
      </c>
      <c r="M117" s="37">
        <f t="shared" si="19"/>
        <v>1886.73</v>
      </c>
      <c r="N117" s="37">
        <f t="shared" si="20"/>
        <v>2010.45</v>
      </c>
      <c r="O117" s="37">
        <f t="shared" si="21"/>
        <v>2273.36</v>
      </c>
      <c r="P117" s="37">
        <f t="shared" si="22"/>
        <v>2340.37</v>
      </c>
      <c r="Q117" s="37">
        <f t="shared" si="23"/>
        <v>2464.09</v>
      </c>
    </row>
    <row r="118" spans="2:17">
      <c r="B118" s="277" t="str">
        <f t="shared" si="13"/>
        <v>3a</v>
      </c>
      <c r="C118" s="37">
        <f t="shared" ref="C118:H118" si="33">IF(C13="-","-",ROUND((C13+50)*1.016,2))</f>
        <v>1651</v>
      </c>
      <c r="D118" s="37">
        <f t="shared" si="33"/>
        <v>1828.8</v>
      </c>
      <c r="E118" s="37">
        <f t="shared" si="33"/>
        <v>1879.6</v>
      </c>
      <c r="F118" s="37">
        <f t="shared" si="33"/>
        <v>1960.88</v>
      </c>
      <c r="G118" s="37">
        <f t="shared" si="33"/>
        <v>2021.84</v>
      </c>
      <c r="H118" s="37">
        <f t="shared" si="33"/>
        <v>2165.1</v>
      </c>
      <c r="K118" s="277" t="str">
        <f t="shared" si="17"/>
        <v>3a</v>
      </c>
      <c r="L118" s="37">
        <f t="shared" si="18"/>
        <v>1675.38</v>
      </c>
      <c r="M118" s="37">
        <f t="shared" si="19"/>
        <v>1855.8</v>
      </c>
      <c r="N118" s="37">
        <f t="shared" si="20"/>
        <v>1907.35</v>
      </c>
      <c r="O118" s="37">
        <f t="shared" si="21"/>
        <v>1989.83</v>
      </c>
      <c r="P118" s="37">
        <f t="shared" si="22"/>
        <v>2051.69</v>
      </c>
      <c r="Q118" s="37">
        <f t="shared" si="23"/>
        <v>2197.06</v>
      </c>
    </row>
    <row r="126" spans="2:17">
      <c r="B126" s="152">
        <f>B84</f>
        <v>1</v>
      </c>
      <c r="C126" s="148" t="str">
        <f>C84</f>
        <v>EG Kr 9d - 3a</v>
      </c>
      <c r="K126" s="152">
        <f>B84</f>
        <v>1</v>
      </c>
      <c r="L126" s="148" t="str">
        <f>C84</f>
        <v>EG Kr 9d - 3a</v>
      </c>
    </row>
    <row r="127" spans="2:17">
      <c r="B127" s="75">
        <v>2008</v>
      </c>
      <c r="C127" s="75" t="str">
        <f t="shared" ref="C127:H127" si="34">C1</f>
        <v>Stufe 1</v>
      </c>
      <c r="D127" s="75" t="str">
        <f t="shared" si="34"/>
        <v>Stufe 2</v>
      </c>
      <c r="E127" s="75" t="str">
        <f t="shared" si="34"/>
        <v>Stufe 3</v>
      </c>
      <c r="F127" s="75" t="str">
        <f t="shared" si="34"/>
        <v>Stufe 4</v>
      </c>
      <c r="G127" s="75" t="str">
        <f t="shared" si="34"/>
        <v>Stufe 5</v>
      </c>
      <c r="H127" s="75" t="str">
        <f t="shared" si="34"/>
        <v>Stufe 6</v>
      </c>
      <c r="K127" s="75">
        <v>2008</v>
      </c>
      <c r="L127" s="75" t="str">
        <f t="shared" ref="L127:Q127" si="35">C1</f>
        <v>Stufe 1</v>
      </c>
      <c r="M127" s="75" t="str">
        <f t="shared" si="35"/>
        <v>Stufe 2</v>
      </c>
      <c r="N127" s="75" t="str">
        <f t="shared" si="35"/>
        <v>Stufe 3</v>
      </c>
      <c r="O127" s="75" t="str">
        <f t="shared" si="35"/>
        <v>Stufe 4</v>
      </c>
      <c r="P127" s="75" t="str">
        <f t="shared" si="35"/>
        <v>Stufe 5</v>
      </c>
      <c r="Q127" s="75" t="str">
        <f t="shared" si="35"/>
        <v>Stufe 6</v>
      </c>
    </row>
    <row r="128" spans="2:17">
      <c r="B128" s="277" t="str">
        <f t="shared" ref="B128:B139" si="36">B2</f>
        <v>12a</v>
      </c>
      <c r="C128" s="37" t="str">
        <f t="shared" ref="C128:H131" si="37">IF(C107="-","-",ROUND(C107*0.97,2))</f>
        <v>-</v>
      </c>
      <c r="D128" s="37" t="str">
        <f t="shared" si="37"/>
        <v>-</v>
      </c>
      <c r="E128" s="37">
        <f t="shared" si="37"/>
        <v>3202.94</v>
      </c>
      <c r="F128" s="37">
        <f t="shared" si="37"/>
        <v>3547.87</v>
      </c>
      <c r="G128" s="37">
        <f t="shared" si="37"/>
        <v>3991.36</v>
      </c>
      <c r="H128" s="37">
        <f t="shared" si="37"/>
        <v>4188.46</v>
      </c>
      <c r="K128" s="277" t="str">
        <f>B2</f>
        <v>12a</v>
      </c>
      <c r="L128" s="37" t="str">
        <f t="shared" ref="L128:Q128" si="38">IF(L107="-","-",ROUND(L107*0.97,2))</f>
        <v>-</v>
      </c>
      <c r="M128" s="37" t="str">
        <f t="shared" si="38"/>
        <v>-</v>
      </c>
      <c r="N128" s="37">
        <f t="shared" si="38"/>
        <v>3250.23</v>
      </c>
      <c r="O128" s="37">
        <f t="shared" si="38"/>
        <v>3600.25</v>
      </c>
      <c r="P128" s="37">
        <f t="shared" si="38"/>
        <v>4050.28</v>
      </c>
      <c r="Q128" s="37">
        <f t="shared" si="38"/>
        <v>4250.3</v>
      </c>
    </row>
    <row r="129" spans="2:17">
      <c r="B129" s="277" t="str">
        <f t="shared" si="36"/>
        <v>11b</v>
      </c>
      <c r="C129" s="37" t="str">
        <f t="shared" si="37"/>
        <v>-</v>
      </c>
      <c r="D129" s="37" t="str">
        <f t="shared" si="37"/>
        <v>-</v>
      </c>
      <c r="E129" s="37" t="str">
        <f t="shared" si="37"/>
        <v>-</v>
      </c>
      <c r="F129" s="37">
        <f t="shared" si="37"/>
        <v>3202.94</v>
      </c>
      <c r="G129" s="37">
        <f t="shared" si="37"/>
        <v>3631.64</v>
      </c>
      <c r="H129" s="37">
        <f t="shared" si="37"/>
        <v>3828.75</v>
      </c>
      <c r="K129" s="277" t="str">
        <f t="shared" ref="K129:K139" si="39">B3</f>
        <v>11b</v>
      </c>
      <c r="L129" s="37" t="str">
        <f t="shared" ref="L129:Q129" si="40">IF(L108="-","-",ROUND(L108*0.97,2))</f>
        <v>-</v>
      </c>
      <c r="M129" s="37" t="str">
        <f t="shared" si="40"/>
        <v>-</v>
      </c>
      <c r="N129" s="37" t="str">
        <f t="shared" si="40"/>
        <v>-</v>
      </c>
      <c r="O129" s="37">
        <f t="shared" si="40"/>
        <v>3250.23</v>
      </c>
      <c r="P129" s="37">
        <f t="shared" si="40"/>
        <v>3685.26</v>
      </c>
      <c r="Q129" s="37">
        <f t="shared" si="40"/>
        <v>3885.28</v>
      </c>
    </row>
    <row r="130" spans="2:17">
      <c r="B130" s="277" t="str">
        <f t="shared" si="36"/>
        <v>11a</v>
      </c>
      <c r="C130" s="37" t="str">
        <f t="shared" si="37"/>
        <v>-</v>
      </c>
      <c r="D130" s="37" t="str">
        <f t="shared" si="37"/>
        <v>-</v>
      </c>
      <c r="E130" s="37">
        <f t="shared" si="37"/>
        <v>2907.28</v>
      </c>
      <c r="F130" s="37">
        <f t="shared" si="37"/>
        <v>3202.94</v>
      </c>
      <c r="G130" s="37">
        <f t="shared" si="37"/>
        <v>3631.64</v>
      </c>
      <c r="H130" s="37" t="str">
        <f t="shared" si="37"/>
        <v>-</v>
      </c>
      <c r="K130" s="277" t="str">
        <f t="shared" si="39"/>
        <v>11a</v>
      </c>
      <c r="L130" s="37" t="str">
        <f t="shared" ref="L130:Q130" si="41">IF(L109="-","-",ROUND(L109*0.97,2))</f>
        <v>-</v>
      </c>
      <c r="M130" s="37" t="str">
        <f t="shared" si="41"/>
        <v>-</v>
      </c>
      <c r="N130" s="37">
        <f t="shared" si="41"/>
        <v>2950.21</v>
      </c>
      <c r="O130" s="37">
        <f t="shared" si="41"/>
        <v>3250.23</v>
      </c>
      <c r="P130" s="37">
        <f t="shared" si="41"/>
        <v>3685.26</v>
      </c>
      <c r="Q130" s="37" t="str">
        <f t="shared" si="41"/>
        <v>-</v>
      </c>
    </row>
    <row r="131" spans="2:17">
      <c r="B131" s="277" t="str">
        <f t="shared" si="36"/>
        <v>10a</v>
      </c>
      <c r="C131" s="37" t="str">
        <f t="shared" si="37"/>
        <v>-</v>
      </c>
      <c r="D131" s="37" t="str">
        <f t="shared" si="37"/>
        <v>-</v>
      </c>
      <c r="E131" s="37">
        <f t="shared" si="37"/>
        <v>2808.73</v>
      </c>
      <c r="F131" s="37">
        <f t="shared" si="37"/>
        <v>3005.84</v>
      </c>
      <c r="G131" s="37">
        <f t="shared" si="37"/>
        <v>3380.33</v>
      </c>
      <c r="H131" s="37" t="str">
        <f t="shared" si="37"/>
        <v>-</v>
      </c>
      <c r="K131" s="277" t="str">
        <f t="shared" si="39"/>
        <v>10a</v>
      </c>
      <c r="L131" s="37" t="str">
        <f t="shared" ref="L131:Q131" si="42">IF(L110="-","-",ROUND(L110*0.97,2))</f>
        <v>-</v>
      </c>
      <c r="M131" s="37" t="str">
        <f t="shared" si="42"/>
        <v>-</v>
      </c>
      <c r="N131" s="37">
        <f t="shared" si="42"/>
        <v>2850.2</v>
      </c>
      <c r="O131" s="37">
        <f t="shared" si="42"/>
        <v>3050.21</v>
      </c>
      <c r="P131" s="37">
        <f t="shared" si="42"/>
        <v>3430.24</v>
      </c>
      <c r="Q131" s="37" t="str">
        <f t="shared" si="42"/>
        <v>-</v>
      </c>
    </row>
    <row r="132" spans="2:17">
      <c r="B132" s="277" t="str">
        <f t="shared" si="36"/>
        <v>9d</v>
      </c>
      <c r="C132" s="37" t="str">
        <f t="shared" ref="C132:H132" si="43">C111</f>
        <v>-</v>
      </c>
      <c r="D132" s="37" t="str">
        <f t="shared" si="43"/>
        <v>-</v>
      </c>
      <c r="E132" s="37">
        <f t="shared" si="43"/>
        <v>2824.48</v>
      </c>
      <c r="F132" s="37">
        <f t="shared" si="43"/>
        <v>3078.48</v>
      </c>
      <c r="G132" s="37">
        <f t="shared" si="43"/>
        <v>3281.68</v>
      </c>
      <c r="H132" s="37" t="str">
        <f t="shared" si="43"/>
        <v>-</v>
      </c>
      <c r="K132" s="277" t="str">
        <f t="shared" si="39"/>
        <v>9d</v>
      </c>
      <c r="L132" s="37" t="str">
        <f t="shared" ref="L132:Q132" si="44">L111</f>
        <v>-</v>
      </c>
      <c r="M132" s="37" t="str">
        <f t="shared" si="44"/>
        <v>-</v>
      </c>
      <c r="N132" s="37">
        <f t="shared" si="44"/>
        <v>2866.18</v>
      </c>
      <c r="O132" s="37">
        <f t="shared" si="44"/>
        <v>3123.93</v>
      </c>
      <c r="P132" s="37">
        <f t="shared" si="44"/>
        <v>3330.13</v>
      </c>
      <c r="Q132" s="37" t="str">
        <f t="shared" si="44"/>
        <v>-</v>
      </c>
    </row>
    <row r="133" spans="2:17">
      <c r="B133" s="277" t="str">
        <f t="shared" si="36"/>
        <v>9c</v>
      </c>
      <c r="C133" s="37" t="str">
        <f t="shared" ref="C133:H133" si="45">C112</f>
        <v>-</v>
      </c>
      <c r="D133" s="37" t="str">
        <f t="shared" si="45"/>
        <v>-</v>
      </c>
      <c r="E133" s="37">
        <f t="shared" si="45"/>
        <v>2743.2</v>
      </c>
      <c r="F133" s="37">
        <f t="shared" si="45"/>
        <v>2936.24</v>
      </c>
      <c r="G133" s="37">
        <f t="shared" si="45"/>
        <v>3119.12</v>
      </c>
      <c r="H133" s="37" t="str">
        <f t="shared" si="45"/>
        <v>-</v>
      </c>
      <c r="K133" s="277" t="str">
        <f t="shared" si="39"/>
        <v>9c</v>
      </c>
      <c r="L133" s="37" t="str">
        <f t="shared" ref="L133:Q133" si="46">L112</f>
        <v>-</v>
      </c>
      <c r="M133" s="37" t="str">
        <f t="shared" si="46"/>
        <v>-</v>
      </c>
      <c r="N133" s="37">
        <f t="shared" si="46"/>
        <v>2783.7</v>
      </c>
      <c r="O133" s="37">
        <f t="shared" si="46"/>
        <v>2979.59</v>
      </c>
      <c r="P133" s="37">
        <f t="shared" si="46"/>
        <v>3165.17</v>
      </c>
      <c r="Q133" s="37" t="str">
        <f t="shared" si="46"/>
        <v>-</v>
      </c>
    </row>
    <row r="134" spans="2:17">
      <c r="B134" s="277" t="str">
        <f t="shared" si="36"/>
        <v>9b</v>
      </c>
      <c r="C134" s="37" t="str">
        <f t="shared" ref="C134:H134" si="47">C113</f>
        <v>-</v>
      </c>
      <c r="D134" s="37" t="str">
        <f t="shared" si="47"/>
        <v>-</v>
      </c>
      <c r="E134" s="37">
        <f t="shared" si="47"/>
        <v>2499.36</v>
      </c>
      <c r="F134" s="37">
        <f t="shared" si="47"/>
        <v>2824.48</v>
      </c>
      <c r="G134" s="37">
        <f t="shared" si="47"/>
        <v>2936.24</v>
      </c>
      <c r="H134" s="37" t="str">
        <f t="shared" si="47"/>
        <v>-</v>
      </c>
      <c r="K134" s="277" t="str">
        <f t="shared" si="39"/>
        <v>9b</v>
      </c>
      <c r="L134" s="37" t="str">
        <f t="shared" ref="L134:Q134" si="48">L113</f>
        <v>-</v>
      </c>
      <c r="M134" s="37" t="str">
        <f t="shared" si="48"/>
        <v>-</v>
      </c>
      <c r="N134" s="37">
        <f t="shared" si="48"/>
        <v>2536.2600000000002</v>
      </c>
      <c r="O134" s="37">
        <f t="shared" si="48"/>
        <v>2866.18</v>
      </c>
      <c r="P134" s="37">
        <f t="shared" si="48"/>
        <v>2979.59</v>
      </c>
      <c r="Q134" s="37" t="str">
        <f t="shared" si="48"/>
        <v>-</v>
      </c>
    </row>
    <row r="135" spans="2:17">
      <c r="B135" s="277" t="str">
        <f t="shared" si="36"/>
        <v>9a</v>
      </c>
      <c r="C135" s="37" t="str">
        <f t="shared" ref="C135:H135" si="49">C114</f>
        <v>-</v>
      </c>
      <c r="D135" s="37" t="str">
        <f t="shared" si="49"/>
        <v>-</v>
      </c>
      <c r="E135" s="37">
        <f t="shared" si="49"/>
        <v>2499.36</v>
      </c>
      <c r="F135" s="37">
        <f t="shared" si="49"/>
        <v>2585.7199999999998</v>
      </c>
      <c r="G135" s="37">
        <f t="shared" si="49"/>
        <v>2743.2</v>
      </c>
      <c r="H135" s="37" t="str">
        <f t="shared" si="49"/>
        <v>-</v>
      </c>
      <c r="K135" s="277" t="str">
        <f t="shared" si="39"/>
        <v>9a</v>
      </c>
      <c r="L135" s="37" t="str">
        <f t="shared" ref="L135:Q135" si="50">L114</f>
        <v>-</v>
      </c>
      <c r="M135" s="37" t="str">
        <f t="shared" si="50"/>
        <v>-</v>
      </c>
      <c r="N135" s="37">
        <f t="shared" si="50"/>
        <v>2536.2600000000002</v>
      </c>
      <c r="O135" s="37">
        <f t="shared" si="50"/>
        <v>2623.9</v>
      </c>
      <c r="P135" s="37">
        <f t="shared" si="50"/>
        <v>2783.7</v>
      </c>
      <c r="Q135" s="37" t="str">
        <f t="shared" si="50"/>
        <v>-</v>
      </c>
    </row>
    <row r="136" spans="2:17">
      <c r="B136" s="277" t="str">
        <f t="shared" si="36"/>
        <v>8a</v>
      </c>
      <c r="C136" s="37">
        <f t="shared" ref="C136:H136" si="51">C115</f>
        <v>2082.8000000000002</v>
      </c>
      <c r="D136" s="37">
        <f t="shared" si="51"/>
        <v>2214.88</v>
      </c>
      <c r="E136" s="37">
        <f t="shared" si="51"/>
        <v>2326.64</v>
      </c>
      <c r="F136" s="37">
        <f t="shared" si="51"/>
        <v>2418.08</v>
      </c>
      <c r="G136" s="37">
        <f t="shared" si="51"/>
        <v>2585.7199999999998</v>
      </c>
      <c r="H136" s="37">
        <f t="shared" si="51"/>
        <v>2743.2</v>
      </c>
      <c r="K136" s="277" t="str">
        <f t="shared" si="39"/>
        <v>8a</v>
      </c>
      <c r="L136" s="37">
        <f t="shared" ref="L136:Q136" si="52">L115</f>
        <v>2113.5500000000002</v>
      </c>
      <c r="M136" s="37">
        <f t="shared" si="52"/>
        <v>2247.58</v>
      </c>
      <c r="N136" s="37">
        <f t="shared" si="52"/>
        <v>2360.9899999999998</v>
      </c>
      <c r="O136" s="37">
        <f t="shared" si="52"/>
        <v>2453.7800000000002</v>
      </c>
      <c r="P136" s="37">
        <f t="shared" si="52"/>
        <v>2623.9</v>
      </c>
      <c r="Q136" s="37">
        <f t="shared" si="52"/>
        <v>2783.7</v>
      </c>
    </row>
    <row r="137" spans="2:17">
      <c r="B137" s="277" t="str">
        <f t="shared" si="36"/>
        <v>7a</v>
      </c>
      <c r="C137" s="37">
        <f t="shared" ref="C137:H137" si="53">C116</f>
        <v>1930.4</v>
      </c>
      <c r="D137" s="37">
        <f t="shared" si="53"/>
        <v>2082.8000000000002</v>
      </c>
      <c r="E137" s="37">
        <f t="shared" si="53"/>
        <v>2214.88</v>
      </c>
      <c r="F137" s="37">
        <f t="shared" si="53"/>
        <v>2418.08</v>
      </c>
      <c r="G137" s="37">
        <f t="shared" si="53"/>
        <v>2519.6799999999998</v>
      </c>
      <c r="H137" s="37">
        <f t="shared" si="53"/>
        <v>2624.33</v>
      </c>
      <c r="K137" s="277" t="str">
        <f t="shared" si="39"/>
        <v>7a</v>
      </c>
      <c r="L137" s="37">
        <f t="shared" ref="L137:Q137" si="54">L116</f>
        <v>1958.9</v>
      </c>
      <c r="M137" s="37">
        <f t="shared" si="54"/>
        <v>2113.5500000000002</v>
      </c>
      <c r="N137" s="37">
        <f t="shared" si="54"/>
        <v>2247.58</v>
      </c>
      <c r="O137" s="37">
        <f t="shared" si="54"/>
        <v>2453.7800000000002</v>
      </c>
      <c r="P137" s="37">
        <f t="shared" si="54"/>
        <v>2556.88</v>
      </c>
      <c r="Q137" s="37">
        <f t="shared" si="54"/>
        <v>2663.07</v>
      </c>
    </row>
    <row r="138" spans="2:17">
      <c r="B138" s="277" t="str">
        <f t="shared" si="36"/>
        <v>4a</v>
      </c>
      <c r="C138" s="37">
        <f t="shared" ref="C138:H138" si="55">C117</f>
        <v>1729.23</v>
      </c>
      <c r="D138" s="37">
        <f t="shared" si="55"/>
        <v>1859.28</v>
      </c>
      <c r="E138" s="37">
        <f t="shared" si="55"/>
        <v>1981.2</v>
      </c>
      <c r="F138" s="37">
        <f t="shared" si="55"/>
        <v>2240.2800000000002</v>
      </c>
      <c r="G138" s="37">
        <f t="shared" si="55"/>
        <v>2306.3200000000002</v>
      </c>
      <c r="H138" s="37">
        <f t="shared" si="55"/>
        <v>2428.2399999999998</v>
      </c>
      <c r="K138" s="277" t="str">
        <f t="shared" si="39"/>
        <v>4a</v>
      </c>
      <c r="L138" s="37">
        <f t="shared" ref="L138:Q138" si="56">L117</f>
        <v>1754.76</v>
      </c>
      <c r="M138" s="37">
        <f t="shared" si="56"/>
        <v>1886.73</v>
      </c>
      <c r="N138" s="37">
        <f t="shared" si="56"/>
        <v>2010.45</v>
      </c>
      <c r="O138" s="37">
        <f t="shared" si="56"/>
        <v>2273.36</v>
      </c>
      <c r="P138" s="37">
        <f t="shared" si="56"/>
        <v>2340.37</v>
      </c>
      <c r="Q138" s="37">
        <f t="shared" si="56"/>
        <v>2464.09</v>
      </c>
    </row>
    <row r="139" spans="2:17">
      <c r="B139" s="277" t="str">
        <f t="shared" si="36"/>
        <v>3a</v>
      </c>
      <c r="C139" s="37">
        <f t="shared" ref="C139:H139" si="57">C118</f>
        <v>1651</v>
      </c>
      <c r="D139" s="37">
        <f t="shared" si="57"/>
        <v>1828.8</v>
      </c>
      <c r="E139" s="37">
        <f t="shared" si="57"/>
        <v>1879.6</v>
      </c>
      <c r="F139" s="37">
        <f t="shared" si="57"/>
        <v>1960.88</v>
      </c>
      <c r="G139" s="37">
        <f t="shared" si="57"/>
        <v>2021.84</v>
      </c>
      <c r="H139" s="37">
        <f t="shared" si="57"/>
        <v>2165.1</v>
      </c>
      <c r="K139" s="277" t="str">
        <f t="shared" si="39"/>
        <v>3a</v>
      </c>
      <c r="L139" s="37">
        <f t="shared" ref="L139:Q139" si="58">L118</f>
        <v>1675.38</v>
      </c>
      <c r="M139" s="37">
        <f t="shared" si="58"/>
        <v>1855.8</v>
      </c>
      <c r="N139" s="37">
        <f t="shared" si="58"/>
        <v>1907.35</v>
      </c>
      <c r="O139" s="37">
        <f t="shared" si="58"/>
        <v>1989.83</v>
      </c>
      <c r="P139" s="37">
        <f t="shared" si="58"/>
        <v>2051.69</v>
      </c>
      <c r="Q139" s="37">
        <f t="shared" si="58"/>
        <v>2197.06</v>
      </c>
    </row>
    <row r="147" spans="1:17">
      <c r="B147" s="154" t="s">
        <v>124</v>
      </c>
      <c r="K147" s="154" t="s">
        <v>115</v>
      </c>
    </row>
    <row r="148" spans="1:17">
      <c r="A148" s="135" t="s">
        <v>125</v>
      </c>
      <c r="B148" s="75">
        <v>2009</v>
      </c>
      <c r="C148" s="75" t="str">
        <f t="shared" ref="C148:H148" si="59">C1</f>
        <v>Stufe 1</v>
      </c>
      <c r="D148" s="75" t="str">
        <f t="shared" si="59"/>
        <v>Stufe 2</v>
      </c>
      <c r="E148" s="75" t="str">
        <f t="shared" si="59"/>
        <v>Stufe 3</v>
      </c>
      <c r="F148" s="75" t="str">
        <f t="shared" si="59"/>
        <v>Stufe 4</v>
      </c>
      <c r="G148" s="75" t="str">
        <f t="shared" si="59"/>
        <v>Stufe 5</v>
      </c>
      <c r="H148" s="75" t="str">
        <f t="shared" si="59"/>
        <v>Stufe 6</v>
      </c>
      <c r="K148" s="75">
        <v>2009</v>
      </c>
      <c r="L148" s="75" t="str">
        <f t="shared" ref="L148:Q148" si="60">C1</f>
        <v>Stufe 1</v>
      </c>
      <c r="M148" s="75" t="str">
        <f t="shared" si="60"/>
        <v>Stufe 2</v>
      </c>
      <c r="N148" s="75" t="str">
        <f t="shared" si="60"/>
        <v>Stufe 3</v>
      </c>
      <c r="O148" s="75" t="str">
        <f t="shared" si="60"/>
        <v>Stufe 4</v>
      </c>
      <c r="P148" s="75" t="str">
        <f t="shared" si="60"/>
        <v>Stufe 5</v>
      </c>
      <c r="Q148" s="75" t="str">
        <f t="shared" si="60"/>
        <v>Stufe 6</v>
      </c>
    </row>
    <row r="149" spans="1:17">
      <c r="A149" s="135" t="str">
        <f>IF(C107="-","-",ROUND(C107*1.043,2))</f>
        <v>-</v>
      </c>
      <c r="B149" s="277" t="str">
        <f t="shared" ref="B149:B160" si="61">B2</f>
        <v>12a</v>
      </c>
      <c r="C149" s="37" t="str">
        <f>L149</f>
        <v>-</v>
      </c>
      <c r="D149" s="37" t="str">
        <f t="shared" ref="D149:H160" si="62">M149</f>
        <v>-</v>
      </c>
      <c r="E149" s="37">
        <f t="shared" si="62"/>
        <v>3444.57</v>
      </c>
      <c r="F149" s="37">
        <f t="shared" si="62"/>
        <v>3815.52</v>
      </c>
      <c r="G149" s="37">
        <f t="shared" si="62"/>
        <v>4292.47</v>
      </c>
      <c r="H149" s="37">
        <f t="shared" si="62"/>
        <v>4504.4399999999996</v>
      </c>
      <c r="K149" s="277" t="str">
        <f>B2</f>
        <v>12a</v>
      </c>
      <c r="L149" s="37" t="str">
        <f t="shared" ref="L149:Q149" si="63">IF(L107="-","-",ROUND(L107*1.028,2))</f>
        <v>-</v>
      </c>
      <c r="M149" s="37" t="str">
        <f t="shared" si="63"/>
        <v>-</v>
      </c>
      <c r="N149" s="37">
        <f t="shared" si="63"/>
        <v>3444.57</v>
      </c>
      <c r="O149" s="37">
        <f t="shared" si="63"/>
        <v>3815.52</v>
      </c>
      <c r="P149" s="37">
        <f t="shared" si="63"/>
        <v>4292.47</v>
      </c>
      <c r="Q149" s="37">
        <f t="shared" si="63"/>
        <v>4504.4399999999996</v>
      </c>
    </row>
    <row r="150" spans="1:17">
      <c r="B150" s="277" t="str">
        <f t="shared" si="61"/>
        <v>11b</v>
      </c>
      <c r="C150" s="37" t="str">
        <f t="shared" ref="C150:C160" si="64">L150</f>
        <v>-</v>
      </c>
      <c r="D150" s="37" t="str">
        <f t="shared" si="62"/>
        <v>-</v>
      </c>
      <c r="E150" s="37" t="str">
        <f t="shared" si="62"/>
        <v>-</v>
      </c>
      <c r="F150" s="37">
        <f t="shared" si="62"/>
        <v>3444.57</v>
      </c>
      <c r="G150" s="37">
        <f t="shared" si="62"/>
        <v>3905.62</v>
      </c>
      <c r="H150" s="37">
        <f t="shared" si="62"/>
        <v>4117.59</v>
      </c>
      <c r="K150" s="277" t="str">
        <f t="shared" ref="K150:K160" si="65">B3</f>
        <v>11b</v>
      </c>
      <c r="L150" s="37" t="str">
        <f t="shared" ref="L150:Q150" si="66">IF(L108="-","-",ROUND(L108*1.028,2))</f>
        <v>-</v>
      </c>
      <c r="M150" s="37" t="str">
        <f t="shared" si="66"/>
        <v>-</v>
      </c>
      <c r="N150" s="37" t="str">
        <f t="shared" si="66"/>
        <v>-</v>
      </c>
      <c r="O150" s="37">
        <f t="shared" si="66"/>
        <v>3444.57</v>
      </c>
      <c r="P150" s="37">
        <f t="shared" si="66"/>
        <v>3905.62</v>
      </c>
      <c r="Q150" s="37">
        <f t="shared" si="66"/>
        <v>4117.59</v>
      </c>
    </row>
    <row r="151" spans="1:17">
      <c r="B151" s="277" t="str">
        <f t="shared" si="61"/>
        <v>11a</v>
      </c>
      <c r="C151" s="37" t="str">
        <f t="shared" si="64"/>
        <v>-</v>
      </c>
      <c r="D151" s="37" t="str">
        <f t="shared" si="62"/>
        <v>-</v>
      </c>
      <c r="E151" s="37">
        <f t="shared" si="62"/>
        <v>3126.61</v>
      </c>
      <c r="F151" s="37">
        <f t="shared" si="62"/>
        <v>3444.57</v>
      </c>
      <c r="G151" s="37">
        <f t="shared" si="62"/>
        <v>3905.62</v>
      </c>
      <c r="H151" s="37" t="str">
        <f t="shared" si="62"/>
        <v>-</v>
      </c>
      <c r="K151" s="277" t="str">
        <f t="shared" si="65"/>
        <v>11a</v>
      </c>
      <c r="L151" s="37" t="str">
        <f t="shared" ref="L151:Q151" si="67">IF(L109="-","-",ROUND(L109*1.028,2))</f>
        <v>-</v>
      </c>
      <c r="M151" s="37" t="str">
        <f t="shared" si="67"/>
        <v>-</v>
      </c>
      <c r="N151" s="37">
        <f t="shared" si="67"/>
        <v>3126.61</v>
      </c>
      <c r="O151" s="37">
        <f t="shared" si="67"/>
        <v>3444.57</v>
      </c>
      <c r="P151" s="37">
        <f t="shared" si="67"/>
        <v>3905.62</v>
      </c>
      <c r="Q151" s="37" t="str">
        <f t="shared" si="67"/>
        <v>-</v>
      </c>
    </row>
    <row r="152" spans="1:17">
      <c r="B152" s="277" t="str">
        <f t="shared" si="61"/>
        <v>10a</v>
      </c>
      <c r="C152" s="37" t="str">
        <f t="shared" si="64"/>
        <v>-</v>
      </c>
      <c r="D152" s="37" t="str">
        <f t="shared" si="62"/>
        <v>-</v>
      </c>
      <c r="E152" s="37">
        <f t="shared" si="62"/>
        <v>3020.62</v>
      </c>
      <c r="F152" s="37">
        <f t="shared" si="62"/>
        <v>3232.6</v>
      </c>
      <c r="G152" s="37">
        <f t="shared" si="62"/>
        <v>3635.35</v>
      </c>
      <c r="H152" s="37" t="str">
        <f t="shared" si="62"/>
        <v>-</v>
      </c>
      <c r="K152" s="277" t="str">
        <f t="shared" si="65"/>
        <v>10a</v>
      </c>
      <c r="L152" s="37" t="str">
        <f t="shared" ref="L152:Q152" si="68">IF(L110="-","-",ROUND(L110*1.028,2))</f>
        <v>-</v>
      </c>
      <c r="M152" s="37" t="str">
        <f t="shared" si="68"/>
        <v>-</v>
      </c>
      <c r="N152" s="37">
        <f t="shared" si="68"/>
        <v>3020.62</v>
      </c>
      <c r="O152" s="37">
        <f t="shared" si="68"/>
        <v>3232.6</v>
      </c>
      <c r="P152" s="37">
        <f t="shared" si="68"/>
        <v>3635.35</v>
      </c>
      <c r="Q152" s="37" t="str">
        <f t="shared" si="68"/>
        <v>-</v>
      </c>
    </row>
    <row r="153" spans="1:17">
      <c r="B153" s="277" t="str">
        <f t="shared" si="61"/>
        <v>9d</v>
      </c>
      <c r="C153" s="37" t="str">
        <f t="shared" si="64"/>
        <v>-</v>
      </c>
      <c r="D153" s="37" t="str">
        <f t="shared" si="62"/>
        <v>-</v>
      </c>
      <c r="E153" s="37">
        <f t="shared" si="62"/>
        <v>2946.43</v>
      </c>
      <c r="F153" s="37">
        <f t="shared" si="62"/>
        <v>3211.4</v>
      </c>
      <c r="G153" s="37">
        <f t="shared" si="62"/>
        <v>3423.37</v>
      </c>
      <c r="H153" s="37" t="str">
        <f t="shared" si="62"/>
        <v>-</v>
      </c>
      <c r="K153" s="277" t="str">
        <f t="shared" si="65"/>
        <v>9d</v>
      </c>
      <c r="L153" s="37" t="str">
        <f t="shared" ref="L153:Q153" si="69">IF(L111="-","-",ROUND(L111*1.028,2))</f>
        <v>-</v>
      </c>
      <c r="M153" s="37" t="str">
        <f t="shared" si="69"/>
        <v>-</v>
      </c>
      <c r="N153" s="37">
        <f t="shared" si="69"/>
        <v>2946.43</v>
      </c>
      <c r="O153" s="37">
        <f t="shared" si="69"/>
        <v>3211.4</v>
      </c>
      <c r="P153" s="37">
        <f t="shared" si="69"/>
        <v>3423.37</v>
      </c>
      <c r="Q153" s="37" t="str">
        <f t="shared" si="69"/>
        <v>-</v>
      </c>
    </row>
    <row r="154" spans="1:17">
      <c r="B154" s="277" t="str">
        <f t="shared" si="61"/>
        <v>9c</v>
      </c>
      <c r="C154" s="37" t="str">
        <f t="shared" si="64"/>
        <v>-</v>
      </c>
      <c r="D154" s="37" t="str">
        <f t="shared" si="62"/>
        <v>-</v>
      </c>
      <c r="E154" s="37">
        <f t="shared" si="62"/>
        <v>2861.64</v>
      </c>
      <c r="F154" s="37">
        <f t="shared" si="62"/>
        <v>3063.02</v>
      </c>
      <c r="G154" s="37">
        <f t="shared" si="62"/>
        <v>3253.79</v>
      </c>
      <c r="H154" s="37" t="str">
        <f t="shared" si="62"/>
        <v>-</v>
      </c>
      <c r="K154" s="277" t="str">
        <f t="shared" si="65"/>
        <v>9c</v>
      </c>
      <c r="L154" s="37" t="str">
        <f t="shared" ref="L154:Q154" si="70">IF(L112="-","-",ROUND(L112*1.028,2))</f>
        <v>-</v>
      </c>
      <c r="M154" s="37" t="str">
        <f t="shared" si="70"/>
        <v>-</v>
      </c>
      <c r="N154" s="37">
        <f t="shared" si="70"/>
        <v>2861.64</v>
      </c>
      <c r="O154" s="37">
        <f t="shared" si="70"/>
        <v>3063.02</v>
      </c>
      <c r="P154" s="37">
        <f t="shared" si="70"/>
        <v>3253.79</v>
      </c>
      <c r="Q154" s="37" t="str">
        <f t="shared" si="70"/>
        <v>-</v>
      </c>
    </row>
    <row r="155" spans="1:17">
      <c r="B155" s="277" t="str">
        <f t="shared" si="61"/>
        <v>9b</v>
      </c>
      <c r="C155" s="37" t="str">
        <f t="shared" si="64"/>
        <v>-</v>
      </c>
      <c r="D155" s="37" t="str">
        <f t="shared" si="62"/>
        <v>-</v>
      </c>
      <c r="E155" s="37">
        <f t="shared" si="62"/>
        <v>2607.2800000000002</v>
      </c>
      <c r="F155" s="37">
        <f t="shared" si="62"/>
        <v>2946.43</v>
      </c>
      <c r="G155" s="37">
        <f t="shared" si="62"/>
        <v>3063.02</v>
      </c>
      <c r="H155" s="37" t="str">
        <f t="shared" si="62"/>
        <v>-</v>
      </c>
      <c r="K155" s="277" t="str">
        <f t="shared" si="65"/>
        <v>9b</v>
      </c>
      <c r="L155" s="37" t="str">
        <f t="shared" ref="L155:Q155" si="71">IF(L113="-","-",ROUND(L113*1.028,2))</f>
        <v>-</v>
      </c>
      <c r="M155" s="37" t="str">
        <f t="shared" si="71"/>
        <v>-</v>
      </c>
      <c r="N155" s="37">
        <f t="shared" si="71"/>
        <v>2607.2800000000002</v>
      </c>
      <c r="O155" s="37">
        <f t="shared" si="71"/>
        <v>2946.43</v>
      </c>
      <c r="P155" s="37">
        <f t="shared" si="71"/>
        <v>3063.02</v>
      </c>
      <c r="Q155" s="37" t="str">
        <f t="shared" si="71"/>
        <v>-</v>
      </c>
    </row>
    <row r="156" spans="1:17">
      <c r="B156" s="277" t="str">
        <f t="shared" si="61"/>
        <v>9a</v>
      </c>
      <c r="C156" s="37" t="str">
        <f t="shared" si="64"/>
        <v>-</v>
      </c>
      <c r="D156" s="37" t="str">
        <f t="shared" si="62"/>
        <v>-</v>
      </c>
      <c r="E156" s="37">
        <f t="shared" si="62"/>
        <v>2607.2800000000002</v>
      </c>
      <c r="F156" s="37">
        <f t="shared" si="62"/>
        <v>2697.37</v>
      </c>
      <c r="G156" s="37">
        <f t="shared" si="62"/>
        <v>2861.64</v>
      </c>
      <c r="H156" s="37" t="str">
        <f t="shared" si="62"/>
        <v>-</v>
      </c>
      <c r="K156" s="277" t="str">
        <f t="shared" si="65"/>
        <v>9a</v>
      </c>
      <c r="L156" s="37" t="str">
        <f t="shared" ref="L156:Q156" si="72">IF(L114="-","-",ROUND(L114*1.028,2))</f>
        <v>-</v>
      </c>
      <c r="M156" s="37" t="str">
        <f t="shared" si="72"/>
        <v>-</v>
      </c>
      <c r="N156" s="37">
        <f t="shared" si="72"/>
        <v>2607.2800000000002</v>
      </c>
      <c r="O156" s="37">
        <f t="shared" si="72"/>
        <v>2697.37</v>
      </c>
      <c r="P156" s="37">
        <f t="shared" si="72"/>
        <v>2861.64</v>
      </c>
      <c r="Q156" s="37" t="str">
        <f t="shared" si="72"/>
        <v>-</v>
      </c>
    </row>
    <row r="157" spans="1:17">
      <c r="B157" s="277" t="str">
        <f t="shared" si="61"/>
        <v>8a</v>
      </c>
      <c r="C157" s="37">
        <f t="shared" si="64"/>
        <v>2172.73</v>
      </c>
      <c r="D157" s="37">
        <f t="shared" si="62"/>
        <v>2310.5100000000002</v>
      </c>
      <c r="E157" s="37">
        <f t="shared" si="62"/>
        <v>2427.1</v>
      </c>
      <c r="F157" s="37">
        <f t="shared" si="62"/>
        <v>2522.4899999999998</v>
      </c>
      <c r="G157" s="37">
        <f t="shared" si="62"/>
        <v>2697.37</v>
      </c>
      <c r="H157" s="37">
        <f t="shared" si="62"/>
        <v>2861.64</v>
      </c>
      <c r="K157" s="277" t="str">
        <f t="shared" si="65"/>
        <v>8a</v>
      </c>
      <c r="L157" s="37">
        <f t="shared" ref="L157:Q157" si="73">IF(L115="-","-",ROUND(L115*1.028,2))</f>
        <v>2172.73</v>
      </c>
      <c r="M157" s="37">
        <f t="shared" si="73"/>
        <v>2310.5100000000002</v>
      </c>
      <c r="N157" s="37">
        <f t="shared" si="73"/>
        <v>2427.1</v>
      </c>
      <c r="O157" s="37">
        <f t="shared" si="73"/>
        <v>2522.4899999999998</v>
      </c>
      <c r="P157" s="37">
        <f t="shared" si="73"/>
        <v>2697.37</v>
      </c>
      <c r="Q157" s="37">
        <f t="shared" si="73"/>
        <v>2861.64</v>
      </c>
    </row>
    <row r="158" spans="1:17">
      <c r="B158" s="277" t="str">
        <f t="shared" si="61"/>
        <v>7a</v>
      </c>
      <c r="C158" s="37">
        <f t="shared" si="64"/>
        <v>2013.75</v>
      </c>
      <c r="D158" s="37">
        <f t="shared" si="62"/>
        <v>2172.73</v>
      </c>
      <c r="E158" s="37">
        <f t="shared" si="62"/>
        <v>2310.5100000000002</v>
      </c>
      <c r="F158" s="37">
        <f t="shared" si="62"/>
        <v>2522.4899999999998</v>
      </c>
      <c r="G158" s="37">
        <f t="shared" si="62"/>
        <v>2628.47</v>
      </c>
      <c r="H158" s="37">
        <f t="shared" si="62"/>
        <v>2737.64</v>
      </c>
      <c r="K158" s="277" t="str">
        <f t="shared" si="65"/>
        <v>7a</v>
      </c>
      <c r="L158" s="37">
        <f t="shared" ref="L158:Q158" si="74">IF(L116="-","-",ROUND(L116*1.028,2))</f>
        <v>2013.75</v>
      </c>
      <c r="M158" s="37">
        <f t="shared" si="74"/>
        <v>2172.73</v>
      </c>
      <c r="N158" s="37">
        <f t="shared" si="74"/>
        <v>2310.5100000000002</v>
      </c>
      <c r="O158" s="37">
        <f t="shared" si="74"/>
        <v>2522.4899999999998</v>
      </c>
      <c r="P158" s="37">
        <f t="shared" si="74"/>
        <v>2628.47</v>
      </c>
      <c r="Q158" s="37">
        <f t="shared" si="74"/>
        <v>2737.64</v>
      </c>
    </row>
    <row r="159" spans="1:17">
      <c r="B159" s="277" t="str">
        <f t="shared" si="61"/>
        <v>4a</v>
      </c>
      <c r="C159" s="37">
        <f t="shared" si="64"/>
        <v>1803.89</v>
      </c>
      <c r="D159" s="37">
        <f t="shared" si="62"/>
        <v>1939.56</v>
      </c>
      <c r="E159" s="37">
        <f t="shared" si="62"/>
        <v>2066.7399999999998</v>
      </c>
      <c r="F159" s="37">
        <f t="shared" si="62"/>
        <v>2337.0100000000002</v>
      </c>
      <c r="G159" s="37">
        <f t="shared" si="62"/>
        <v>2405.9</v>
      </c>
      <c r="H159" s="37">
        <f t="shared" si="62"/>
        <v>2533.08</v>
      </c>
      <c r="K159" s="277" t="str">
        <f t="shared" si="65"/>
        <v>4a</v>
      </c>
      <c r="L159" s="37">
        <f t="shared" ref="L159:Q159" si="75">IF(L117="-","-",ROUND(L117*1.028,2))</f>
        <v>1803.89</v>
      </c>
      <c r="M159" s="37">
        <f t="shared" si="75"/>
        <v>1939.56</v>
      </c>
      <c r="N159" s="37">
        <f t="shared" si="75"/>
        <v>2066.7399999999998</v>
      </c>
      <c r="O159" s="37">
        <f t="shared" si="75"/>
        <v>2337.0100000000002</v>
      </c>
      <c r="P159" s="37">
        <f t="shared" si="75"/>
        <v>2405.9</v>
      </c>
      <c r="Q159" s="37">
        <f t="shared" si="75"/>
        <v>2533.08</v>
      </c>
    </row>
    <row r="160" spans="1:17">
      <c r="B160" s="277" t="str">
        <f t="shared" si="61"/>
        <v>3a</v>
      </c>
      <c r="C160" s="37">
        <f t="shared" si="64"/>
        <v>1722.29</v>
      </c>
      <c r="D160" s="37">
        <f t="shared" si="62"/>
        <v>1907.76</v>
      </c>
      <c r="E160" s="37">
        <f t="shared" si="62"/>
        <v>1960.76</v>
      </c>
      <c r="F160" s="37">
        <f t="shared" si="62"/>
        <v>2045.55</v>
      </c>
      <c r="G160" s="37">
        <f t="shared" si="62"/>
        <v>2109.14</v>
      </c>
      <c r="H160" s="37">
        <f t="shared" si="62"/>
        <v>2258.58</v>
      </c>
      <c r="K160" s="277" t="str">
        <f t="shared" si="65"/>
        <v>3a</v>
      </c>
      <c r="L160" s="37">
        <f t="shared" ref="L160:Q160" si="76">IF(L118="-","-",ROUND(L118*1.028,2))</f>
        <v>1722.29</v>
      </c>
      <c r="M160" s="37">
        <f t="shared" si="76"/>
        <v>1907.76</v>
      </c>
      <c r="N160" s="37">
        <f t="shared" si="76"/>
        <v>1960.76</v>
      </c>
      <c r="O160" s="37">
        <f t="shared" si="76"/>
        <v>2045.55</v>
      </c>
      <c r="P160" s="37">
        <f t="shared" si="76"/>
        <v>2109.14</v>
      </c>
      <c r="Q160" s="37">
        <f t="shared" si="76"/>
        <v>2258.58</v>
      </c>
    </row>
    <row r="168" spans="2:17">
      <c r="B168" s="152">
        <f>B84</f>
        <v>1</v>
      </c>
      <c r="C168" s="148" t="str">
        <f>C126</f>
        <v>EG Kr 9d - 3a</v>
      </c>
      <c r="K168" s="152">
        <f>B84</f>
        <v>1</v>
      </c>
      <c r="L168" s="148" t="str">
        <f>C168</f>
        <v>EG Kr 9d - 3a</v>
      </c>
    </row>
    <row r="169" spans="2:17">
      <c r="B169" s="75">
        <v>2009</v>
      </c>
      <c r="C169" s="75" t="str">
        <f t="shared" ref="C169:H169" si="77">C1</f>
        <v>Stufe 1</v>
      </c>
      <c r="D169" s="75" t="str">
        <f t="shared" si="77"/>
        <v>Stufe 2</v>
      </c>
      <c r="E169" s="75" t="str">
        <f t="shared" si="77"/>
        <v>Stufe 3</v>
      </c>
      <c r="F169" s="75" t="str">
        <f t="shared" si="77"/>
        <v>Stufe 4</v>
      </c>
      <c r="G169" s="75" t="str">
        <f t="shared" si="77"/>
        <v>Stufe 5</v>
      </c>
      <c r="H169" s="75" t="str">
        <f t="shared" si="77"/>
        <v>Stufe 6</v>
      </c>
      <c r="K169" s="75">
        <v>2009</v>
      </c>
      <c r="L169" s="75" t="str">
        <f t="shared" ref="L169:Q169" si="78">C1</f>
        <v>Stufe 1</v>
      </c>
      <c r="M169" s="75" t="str">
        <f t="shared" si="78"/>
        <v>Stufe 2</v>
      </c>
      <c r="N169" s="75" t="str">
        <f t="shared" si="78"/>
        <v>Stufe 3</v>
      </c>
      <c r="O169" s="75" t="str">
        <f t="shared" si="78"/>
        <v>Stufe 4</v>
      </c>
      <c r="P169" s="75" t="str">
        <f t="shared" si="78"/>
        <v>Stufe 5</v>
      </c>
      <c r="Q169" s="75" t="str">
        <f t="shared" si="78"/>
        <v>Stufe 6</v>
      </c>
    </row>
    <row r="170" spans="2:17">
      <c r="B170" s="277" t="str">
        <f>B2</f>
        <v>12a</v>
      </c>
      <c r="C170" s="37" t="str">
        <f t="shared" ref="C170:H173" si="79">IF(C149="-","-",ROUND(C149*0.97,2))</f>
        <v>-</v>
      </c>
      <c r="D170" s="37" t="str">
        <f t="shared" si="79"/>
        <v>-</v>
      </c>
      <c r="E170" s="37">
        <f t="shared" si="79"/>
        <v>3341.23</v>
      </c>
      <c r="F170" s="37">
        <f t="shared" si="79"/>
        <v>3701.05</v>
      </c>
      <c r="G170" s="37">
        <f t="shared" si="79"/>
        <v>4163.7</v>
      </c>
      <c r="H170" s="37">
        <f t="shared" si="79"/>
        <v>4369.3100000000004</v>
      </c>
      <c r="K170" s="277" t="str">
        <f>B2</f>
        <v>12a</v>
      </c>
      <c r="L170" s="37" t="str">
        <f t="shared" ref="L170:Q170" si="80">IF(L149="-","-",ROUND(L149*0.97,2))</f>
        <v>-</v>
      </c>
      <c r="M170" s="37" t="str">
        <f t="shared" si="80"/>
        <v>-</v>
      </c>
      <c r="N170" s="37">
        <f t="shared" si="80"/>
        <v>3341.23</v>
      </c>
      <c r="O170" s="37">
        <f t="shared" si="80"/>
        <v>3701.05</v>
      </c>
      <c r="P170" s="37">
        <f t="shared" si="80"/>
        <v>4163.7</v>
      </c>
      <c r="Q170" s="37">
        <f t="shared" si="80"/>
        <v>4369.3100000000004</v>
      </c>
    </row>
    <row r="171" spans="2:17">
      <c r="B171" s="277" t="str">
        <f t="shared" ref="B171:B181" si="81">B3</f>
        <v>11b</v>
      </c>
      <c r="C171" s="37" t="str">
        <f t="shared" si="79"/>
        <v>-</v>
      </c>
      <c r="D171" s="37" t="str">
        <f t="shared" si="79"/>
        <v>-</v>
      </c>
      <c r="E171" s="37" t="str">
        <f t="shared" si="79"/>
        <v>-</v>
      </c>
      <c r="F171" s="37">
        <f t="shared" si="79"/>
        <v>3341.23</v>
      </c>
      <c r="G171" s="37">
        <f t="shared" si="79"/>
        <v>3788.45</v>
      </c>
      <c r="H171" s="37">
        <f t="shared" si="79"/>
        <v>3994.06</v>
      </c>
      <c r="K171" s="277" t="str">
        <f t="shared" ref="K171:K181" si="82">B3</f>
        <v>11b</v>
      </c>
      <c r="L171" s="37" t="str">
        <f t="shared" ref="L171:Q171" si="83">IF(L150="-","-",ROUND(L150*0.97,2))</f>
        <v>-</v>
      </c>
      <c r="M171" s="37" t="str">
        <f t="shared" si="83"/>
        <v>-</v>
      </c>
      <c r="N171" s="37" t="str">
        <f t="shared" si="83"/>
        <v>-</v>
      </c>
      <c r="O171" s="37">
        <f t="shared" si="83"/>
        <v>3341.23</v>
      </c>
      <c r="P171" s="37">
        <f t="shared" si="83"/>
        <v>3788.45</v>
      </c>
      <c r="Q171" s="37">
        <f t="shared" si="83"/>
        <v>3994.06</v>
      </c>
    </row>
    <row r="172" spans="2:17">
      <c r="B172" s="277" t="str">
        <f t="shared" si="81"/>
        <v>11a</v>
      </c>
      <c r="C172" s="37" t="str">
        <f t="shared" si="79"/>
        <v>-</v>
      </c>
      <c r="D172" s="37" t="str">
        <f t="shared" si="79"/>
        <v>-</v>
      </c>
      <c r="E172" s="37">
        <f t="shared" si="79"/>
        <v>3032.81</v>
      </c>
      <c r="F172" s="37">
        <f t="shared" si="79"/>
        <v>3341.23</v>
      </c>
      <c r="G172" s="37">
        <f t="shared" si="79"/>
        <v>3788.45</v>
      </c>
      <c r="H172" s="37" t="str">
        <f t="shared" si="79"/>
        <v>-</v>
      </c>
      <c r="K172" s="277" t="str">
        <f t="shared" si="82"/>
        <v>11a</v>
      </c>
      <c r="L172" s="37" t="str">
        <f t="shared" ref="L172:Q172" si="84">IF(L151="-","-",ROUND(L151*0.97,2))</f>
        <v>-</v>
      </c>
      <c r="M172" s="37" t="str">
        <f t="shared" si="84"/>
        <v>-</v>
      </c>
      <c r="N172" s="37">
        <f t="shared" si="84"/>
        <v>3032.81</v>
      </c>
      <c r="O172" s="37">
        <f t="shared" si="84"/>
        <v>3341.23</v>
      </c>
      <c r="P172" s="37">
        <f t="shared" si="84"/>
        <v>3788.45</v>
      </c>
      <c r="Q172" s="37" t="str">
        <f t="shared" si="84"/>
        <v>-</v>
      </c>
    </row>
    <row r="173" spans="2:17">
      <c r="B173" s="277" t="str">
        <f t="shared" si="81"/>
        <v>10a</v>
      </c>
      <c r="C173" s="37" t="str">
        <f t="shared" si="79"/>
        <v>-</v>
      </c>
      <c r="D173" s="37" t="str">
        <f t="shared" si="79"/>
        <v>-</v>
      </c>
      <c r="E173" s="37">
        <f t="shared" si="79"/>
        <v>2930</v>
      </c>
      <c r="F173" s="37">
        <f t="shared" si="79"/>
        <v>3135.62</v>
      </c>
      <c r="G173" s="37">
        <f t="shared" si="79"/>
        <v>3526.29</v>
      </c>
      <c r="H173" s="37" t="str">
        <f t="shared" si="79"/>
        <v>-</v>
      </c>
      <c r="K173" s="277" t="str">
        <f t="shared" si="82"/>
        <v>10a</v>
      </c>
      <c r="L173" s="37" t="str">
        <f t="shared" ref="L173:Q173" si="85">IF(L152="-","-",ROUND(L152*0.97,2))</f>
        <v>-</v>
      </c>
      <c r="M173" s="37" t="str">
        <f t="shared" si="85"/>
        <v>-</v>
      </c>
      <c r="N173" s="37">
        <f t="shared" si="85"/>
        <v>2930</v>
      </c>
      <c r="O173" s="37">
        <f t="shared" si="85"/>
        <v>3135.62</v>
      </c>
      <c r="P173" s="37">
        <f t="shared" si="85"/>
        <v>3526.29</v>
      </c>
      <c r="Q173" s="37" t="str">
        <f t="shared" si="85"/>
        <v>-</v>
      </c>
    </row>
    <row r="174" spans="2:17">
      <c r="B174" s="277" t="str">
        <f t="shared" si="81"/>
        <v>9d</v>
      </c>
      <c r="C174" s="37" t="str">
        <f t="shared" ref="C174:H174" si="86">C153</f>
        <v>-</v>
      </c>
      <c r="D174" s="37" t="str">
        <f t="shared" si="86"/>
        <v>-</v>
      </c>
      <c r="E174" s="37">
        <f t="shared" si="86"/>
        <v>2946.43</v>
      </c>
      <c r="F174" s="37">
        <f t="shared" si="86"/>
        <v>3211.4</v>
      </c>
      <c r="G174" s="37">
        <f t="shared" si="86"/>
        <v>3423.37</v>
      </c>
      <c r="H174" s="37" t="str">
        <f t="shared" si="86"/>
        <v>-</v>
      </c>
      <c r="K174" s="277" t="str">
        <f t="shared" si="82"/>
        <v>9d</v>
      </c>
      <c r="L174" s="37" t="str">
        <f t="shared" ref="L174:Q174" si="87">L153</f>
        <v>-</v>
      </c>
      <c r="M174" s="37" t="str">
        <f t="shared" si="87"/>
        <v>-</v>
      </c>
      <c r="N174" s="37">
        <f t="shared" si="87"/>
        <v>2946.43</v>
      </c>
      <c r="O174" s="37">
        <f t="shared" si="87"/>
        <v>3211.4</v>
      </c>
      <c r="P174" s="37">
        <f t="shared" si="87"/>
        <v>3423.37</v>
      </c>
      <c r="Q174" s="37" t="str">
        <f t="shared" si="87"/>
        <v>-</v>
      </c>
    </row>
    <row r="175" spans="2:17">
      <c r="B175" s="277" t="str">
        <f t="shared" si="81"/>
        <v>9c</v>
      </c>
      <c r="C175" s="37" t="str">
        <f t="shared" ref="C175:H175" si="88">C154</f>
        <v>-</v>
      </c>
      <c r="D175" s="37" t="str">
        <f t="shared" si="88"/>
        <v>-</v>
      </c>
      <c r="E175" s="37">
        <f t="shared" si="88"/>
        <v>2861.64</v>
      </c>
      <c r="F175" s="37">
        <f t="shared" si="88"/>
        <v>3063.02</v>
      </c>
      <c r="G175" s="37">
        <f t="shared" si="88"/>
        <v>3253.79</v>
      </c>
      <c r="H175" s="37" t="str">
        <f t="shared" si="88"/>
        <v>-</v>
      </c>
      <c r="K175" s="277" t="str">
        <f t="shared" si="82"/>
        <v>9c</v>
      </c>
      <c r="L175" s="37" t="str">
        <f t="shared" ref="L175:Q175" si="89">L154</f>
        <v>-</v>
      </c>
      <c r="M175" s="37" t="str">
        <f t="shared" si="89"/>
        <v>-</v>
      </c>
      <c r="N175" s="37">
        <f t="shared" si="89"/>
        <v>2861.64</v>
      </c>
      <c r="O175" s="37">
        <f t="shared" si="89"/>
        <v>3063.02</v>
      </c>
      <c r="P175" s="37">
        <f t="shared" si="89"/>
        <v>3253.79</v>
      </c>
      <c r="Q175" s="37" t="str">
        <f t="shared" si="89"/>
        <v>-</v>
      </c>
    </row>
    <row r="176" spans="2:17">
      <c r="B176" s="277" t="str">
        <f t="shared" si="81"/>
        <v>9b</v>
      </c>
      <c r="C176" s="37" t="str">
        <f t="shared" ref="C176:H176" si="90">C155</f>
        <v>-</v>
      </c>
      <c r="D176" s="37" t="str">
        <f t="shared" si="90"/>
        <v>-</v>
      </c>
      <c r="E176" s="37">
        <f t="shared" si="90"/>
        <v>2607.2800000000002</v>
      </c>
      <c r="F176" s="37">
        <f t="shared" si="90"/>
        <v>2946.43</v>
      </c>
      <c r="G176" s="37">
        <f t="shared" si="90"/>
        <v>3063.02</v>
      </c>
      <c r="H176" s="37" t="str">
        <f t="shared" si="90"/>
        <v>-</v>
      </c>
      <c r="K176" s="277" t="str">
        <f t="shared" si="82"/>
        <v>9b</v>
      </c>
      <c r="L176" s="37" t="str">
        <f t="shared" ref="L176:Q176" si="91">L155</f>
        <v>-</v>
      </c>
      <c r="M176" s="37" t="str">
        <f t="shared" si="91"/>
        <v>-</v>
      </c>
      <c r="N176" s="37">
        <f t="shared" si="91"/>
        <v>2607.2800000000002</v>
      </c>
      <c r="O176" s="37">
        <f t="shared" si="91"/>
        <v>2946.43</v>
      </c>
      <c r="P176" s="37">
        <f t="shared" si="91"/>
        <v>3063.02</v>
      </c>
      <c r="Q176" s="37" t="str">
        <f t="shared" si="91"/>
        <v>-</v>
      </c>
    </row>
    <row r="177" spans="2:17">
      <c r="B177" s="277" t="str">
        <f t="shared" si="81"/>
        <v>9a</v>
      </c>
      <c r="C177" s="37" t="str">
        <f t="shared" ref="C177:H177" si="92">C156</f>
        <v>-</v>
      </c>
      <c r="D177" s="37" t="str">
        <f t="shared" si="92"/>
        <v>-</v>
      </c>
      <c r="E177" s="37">
        <f t="shared" si="92"/>
        <v>2607.2800000000002</v>
      </c>
      <c r="F177" s="37">
        <f t="shared" si="92"/>
        <v>2697.37</v>
      </c>
      <c r="G177" s="37">
        <f t="shared" si="92"/>
        <v>2861.64</v>
      </c>
      <c r="H177" s="37" t="str">
        <f t="shared" si="92"/>
        <v>-</v>
      </c>
      <c r="K177" s="277" t="str">
        <f t="shared" si="82"/>
        <v>9a</v>
      </c>
      <c r="L177" s="37" t="str">
        <f t="shared" ref="L177:Q177" si="93">L156</f>
        <v>-</v>
      </c>
      <c r="M177" s="37" t="str">
        <f t="shared" si="93"/>
        <v>-</v>
      </c>
      <c r="N177" s="37">
        <f t="shared" si="93"/>
        <v>2607.2800000000002</v>
      </c>
      <c r="O177" s="37">
        <f t="shared" si="93"/>
        <v>2697.37</v>
      </c>
      <c r="P177" s="37">
        <f t="shared" si="93"/>
        <v>2861.64</v>
      </c>
      <c r="Q177" s="37" t="str">
        <f t="shared" si="93"/>
        <v>-</v>
      </c>
    </row>
    <row r="178" spans="2:17">
      <c r="B178" s="277" t="str">
        <f t="shared" si="81"/>
        <v>8a</v>
      </c>
      <c r="C178" s="37">
        <f t="shared" ref="C178:H178" si="94">C157</f>
        <v>2172.73</v>
      </c>
      <c r="D178" s="37">
        <f t="shared" si="94"/>
        <v>2310.5100000000002</v>
      </c>
      <c r="E178" s="37">
        <f t="shared" si="94"/>
        <v>2427.1</v>
      </c>
      <c r="F178" s="37">
        <f t="shared" si="94"/>
        <v>2522.4899999999998</v>
      </c>
      <c r="G178" s="37">
        <f t="shared" si="94"/>
        <v>2697.37</v>
      </c>
      <c r="H178" s="37">
        <f t="shared" si="94"/>
        <v>2861.64</v>
      </c>
      <c r="K178" s="277" t="str">
        <f t="shared" si="82"/>
        <v>8a</v>
      </c>
      <c r="L178" s="37">
        <f t="shared" ref="L178:Q178" si="95">L157</f>
        <v>2172.73</v>
      </c>
      <c r="M178" s="37">
        <f t="shared" si="95"/>
        <v>2310.5100000000002</v>
      </c>
      <c r="N178" s="37">
        <f t="shared" si="95"/>
        <v>2427.1</v>
      </c>
      <c r="O178" s="37">
        <f t="shared" si="95"/>
        <v>2522.4899999999998</v>
      </c>
      <c r="P178" s="37">
        <f t="shared" si="95"/>
        <v>2697.37</v>
      </c>
      <c r="Q178" s="37">
        <f t="shared" si="95"/>
        <v>2861.64</v>
      </c>
    </row>
    <row r="179" spans="2:17">
      <c r="B179" s="277" t="str">
        <f t="shared" si="81"/>
        <v>7a</v>
      </c>
      <c r="C179" s="37">
        <f t="shared" ref="C179:H179" si="96">C158</f>
        <v>2013.75</v>
      </c>
      <c r="D179" s="37">
        <f t="shared" si="96"/>
        <v>2172.73</v>
      </c>
      <c r="E179" s="37">
        <f t="shared" si="96"/>
        <v>2310.5100000000002</v>
      </c>
      <c r="F179" s="37">
        <f t="shared" si="96"/>
        <v>2522.4899999999998</v>
      </c>
      <c r="G179" s="37">
        <f t="shared" si="96"/>
        <v>2628.47</v>
      </c>
      <c r="H179" s="37">
        <f t="shared" si="96"/>
        <v>2737.64</v>
      </c>
      <c r="K179" s="277" t="str">
        <f t="shared" si="82"/>
        <v>7a</v>
      </c>
      <c r="L179" s="37">
        <f t="shared" ref="L179:Q179" si="97">L158</f>
        <v>2013.75</v>
      </c>
      <c r="M179" s="37">
        <f t="shared" si="97"/>
        <v>2172.73</v>
      </c>
      <c r="N179" s="37">
        <f t="shared" si="97"/>
        <v>2310.5100000000002</v>
      </c>
      <c r="O179" s="37">
        <f t="shared" si="97"/>
        <v>2522.4899999999998</v>
      </c>
      <c r="P179" s="37">
        <f t="shared" si="97"/>
        <v>2628.47</v>
      </c>
      <c r="Q179" s="37">
        <f t="shared" si="97"/>
        <v>2737.64</v>
      </c>
    </row>
    <row r="180" spans="2:17">
      <c r="B180" s="277" t="str">
        <f t="shared" si="81"/>
        <v>4a</v>
      </c>
      <c r="C180" s="37">
        <f t="shared" ref="C180:H180" si="98">C159</f>
        <v>1803.89</v>
      </c>
      <c r="D180" s="37">
        <f t="shared" si="98"/>
        <v>1939.56</v>
      </c>
      <c r="E180" s="37">
        <f t="shared" si="98"/>
        <v>2066.7399999999998</v>
      </c>
      <c r="F180" s="37">
        <f t="shared" si="98"/>
        <v>2337.0100000000002</v>
      </c>
      <c r="G180" s="37">
        <f t="shared" si="98"/>
        <v>2405.9</v>
      </c>
      <c r="H180" s="37">
        <f t="shared" si="98"/>
        <v>2533.08</v>
      </c>
      <c r="K180" s="277" t="str">
        <f t="shared" si="82"/>
        <v>4a</v>
      </c>
      <c r="L180" s="37">
        <f t="shared" ref="L180:Q180" si="99">L159</f>
        <v>1803.89</v>
      </c>
      <c r="M180" s="37">
        <f t="shared" si="99"/>
        <v>1939.56</v>
      </c>
      <c r="N180" s="37">
        <f t="shared" si="99"/>
        <v>2066.7399999999998</v>
      </c>
      <c r="O180" s="37">
        <f t="shared" si="99"/>
        <v>2337.0100000000002</v>
      </c>
      <c r="P180" s="37">
        <f t="shared" si="99"/>
        <v>2405.9</v>
      </c>
      <c r="Q180" s="37">
        <f t="shared" si="99"/>
        <v>2533.08</v>
      </c>
    </row>
    <row r="181" spans="2:17">
      <c r="B181" s="277" t="str">
        <f t="shared" si="81"/>
        <v>3a</v>
      </c>
      <c r="C181" s="37">
        <f t="shared" ref="C181:H181" si="100">C160</f>
        <v>1722.29</v>
      </c>
      <c r="D181" s="37">
        <f t="shared" si="100"/>
        <v>1907.76</v>
      </c>
      <c r="E181" s="37">
        <f t="shared" si="100"/>
        <v>1960.76</v>
      </c>
      <c r="F181" s="37">
        <f t="shared" si="100"/>
        <v>2045.55</v>
      </c>
      <c r="G181" s="37">
        <f t="shared" si="100"/>
        <v>2109.14</v>
      </c>
      <c r="H181" s="37">
        <f t="shared" si="100"/>
        <v>2258.58</v>
      </c>
      <c r="K181" s="277" t="str">
        <f t="shared" si="82"/>
        <v>3a</v>
      </c>
      <c r="L181" s="37">
        <f t="shared" ref="L181:Q181" si="101">L160</f>
        <v>1722.29</v>
      </c>
      <c r="M181" s="37">
        <f t="shared" si="101"/>
        <v>1907.76</v>
      </c>
      <c r="N181" s="37">
        <f t="shared" si="101"/>
        <v>1960.76</v>
      </c>
      <c r="O181" s="37">
        <f t="shared" si="101"/>
        <v>2045.55</v>
      </c>
      <c r="P181" s="37">
        <f t="shared" si="101"/>
        <v>2109.14</v>
      </c>
      <c r="Q181" s="37">
        <f t="shared" si="101"/>
        <v>2258.58</v>
      </c>
    </row>
    <row r="186" spans="2:17">
      <c r="B186" s="135" t="s">
        <v>127</v>
      </c>
      <c r="H186" s="155" t="str">
        <f>K102</f>
        <v>BT-B Kr</v>
      </c>
    </row>
    <row r="189" spans="2:17">
      <c r="B189" s="154" t="s">
        <v>139</v>
      </c>
    </row>
    <row r="190" spans="2:17">
      <c r="B190" s="75">
        <v>2010</v>
      </c>
      <c r="C190" s="75" t="str">
        <f t="shared" ref="C190:H190" si="102">C1</f>
        <v>Stufe 1</v>
      </c>
      <c r="D190" s="75" t="str">
        <f t="shared" si="102"/>
        <v>Stufe 2</v>
      </c>
      <c r="E190" s="75" t="str">
        <f t="shared" si="102"/>
        <v>Stufe 3</v>
      </c>
      <c r="F190" s="75" t="str">
        <f t="shared" si="102"/>
        <v>Stufe 4</v>
      </c>
      <c r="G190" s="75" t="str">
        <f t="shared" si="102"/>
        <v>Stufe 5</v>
      </c>
      <c r="H190" s="75" t="str">
        <f t="shared" si="102"/>
        <v>Stufe 6</v>
      </c>
    </row>
    <row r="191" spans="2:17">
      <c r="B191" s="277" t="str">
        <f>B2</f>
        <v>12a</v>
      </c>
      <c r="C191" s="37" t="str">
        <f t="shared" ref="C191:H191" si="103">IF(C149="-","-",ROUND(C149*$B$189,2))</f>
        <v>-</v>
      </c>
      <c r="D191" s="37" t="str">
        <f t="shared" si="103"/>
        <v>-</v>
      </c>
      <c r="E191" s="37">
        <f t="shared" si="103"/>
        <v>3485.9</v>
      </c>
      <c r="F191" s="37">
        <f t="shared" si="103"/>
        <v>3861.31</v>
      </c>
      <c r="G191" s="37">
        <f t="shared" si="103"/>
        <v>4343.9799999999996</v>
      </c>
      <c r="H191" s="37">
        <f t="shared" si="103"/>
        <v>4558.49</v>
      </c>
    </row>
    <row r="192" spans="2:17">
      <c r="B192" s="277" t="str">
        <f t="shared" ref="B192:B202" si="104">B3</f>
        <v>11b</v>
      </c>
      <c r="C192" s="37" t="str">
        <f t="shared" ref="C192:H192" si="105">IF(C150="-","-",ROUND(C150*$B$189,2))</f>
        <v>-</v>
      </c>
      <c r="D192" s="37" t="str">
        <f t="shared" si="105"/>
        <v>-</v>
      </c>
      <c r="E192" s="37" t="str">
        <f t="shared" si="105"/>
        <v>-</v>
      </c>
      <c r="F192" s="37">
        <f t="shared" si="105"/>
        <v>3485.9</v>
      </c>
      <c r="G192" s="37">
        <f t="shared" si="105"/>
        <v>3952.49</v>
      </c>
      <c r="H192" s="37">
        <f t="shared" si="105"/>
        <v>4167</v>
      </c>
    </row>
    <row r="193" spans="2:8">
      <c r="B193" s="277" t="str">
        <f t="shared" si="104"/>
        <v>11a</v>
      </c>
      <c r="C193" s="37" t="str">
        <f t="shared" ref="C193:H193" si="106">IF(C151="-","-",ROUND(C151*$B$189,2))</f>
        <v>-</v>
      </c>
      <c r="D193" s="37" t="str">
        <f t="shared" si="106"/>
        <v>-</v>
      </c>
      <c r="E193" s="37">
        <f t="shared" si="106"/>
        <v>3164.13</v>
      </c>
      <c r="F193" s="37">
        <f t="shared" si="106"/>
        <v>3485.9</v>
      </c>
      <c r="G193" s="37">
        <f t="shared" si="106"/>
        <v>3952.49</v>
      </c>
      <c r="H193" s="37" t="str">
        <f t="shared" si="106"/>
        <v>-</v>
      </c>
    </row>
    <row r="194" spans="2:8">
      <c r="B194" s="277" t="str">
        <f t="shared" si="104"/>
        <v>10a</v>
      </c>
      <c r="C194" s="37" t="str">
        <f t="shared" ref="C194:H194" si="107">IF(C152="-","-",ROUND(C152*$B$189,2))</f>
        <v>-</v>
      </c>
      <c r="D194" s="37" t="str">
        <f t="shared" si="107"/>
        <v>-</v>
      </c>
      <c r="E194" s="37">
        <f t="shared" si="107"/>
        <v>3056.87</v>
      </c>
      <c r="F194" s="37">
        <f t="shared" si="107"/>
        <v>3271.39</v>
      </c>
      <c r="G194" s="37">
        <f t="shared" si="107"/>
        <v>3678.97</v>
      </c>
      <c r="H194" s="37" t="str">
        <f t="shared" si="107"/>
        <v>-</v>
      </c>
    </row>
    <row r="195" spans="2:8">
      <c r="B195" s="277" t="str">
        <f t="shared" si="104"/>
        <v>9d</v>
      </c>
      <c r="C195" s="37" t="str">
        <f t="shared" ref="C195:H195" si="108">IF(C153="-","-",ROUND(C153*$B$189,2))</f>
        <v>-</v>
      </c>
      <c r="D195" s="37" t="str">
        <f t="shared" si="108"/>
        <v>-</v>
      </c>
      <c r="E195" s="37">
        <f t="shared" si="108"/>
        <v>2981.79</v>
      </c>
      <c r="F195" s="37">
        <f t="shared" si="108"/>
        <v>3249.94</v>
      </c>
      <c r="G195" s="37">
        <f t="shared" si="108"/>
        <v>3464.45</v>
      </c>
      <c r="H195" s="37" t="str">
        <f t="shared" si="108"/>
        <v>-</v>
      </c>
    </row>
    <row r="196" spans="2:8">
      <c r="B196" s="277" t="str">
        <f t="shared" si="104"/>
        <v>9c</v>
      </c>
      <c r="C196" s="37" t="str">
        <f t="shared" ref="C196:H196" si="109">IF(C154="-","-",ROUND(C154*$B$189,2))</f>
        <v>-</v>
      </c>
      <c r="D196" s="37" t="str">
        <f t="shared" si="109"/>
        <v>-</v>
      </c>
      <c r="E196" s="37">
        <f t="shared" si="109"/>
        <v>2895.98</v>
      </c>
      <c r="F196" s="37">
        <f t="shared" si="109"/>
        <v>3099.78</v>
      </c>
      <c r="G196" s="37">
        <f t="shared" si="109"/>
        <v>3292.84</v>
      </c>
      <c r="H196" s="37" t="str">
        <f t="shared" si="109"/>
        <v>-</v>
      </c>
    </row>
    <row r="197" spans="2:8">
      <c r="B197" s="277" t="str">
        <f t="shared" si="104"/>
        <v>9b</v>
      </c>
      <c r="C197" s="37" t="str">
        <f t="shared" ref="C197:H197" si="110">IF(C155="-","-",ROUND(C155*$B$189,2))</f>
        <v>-</v>
      </c>
      <c r="D197" s="37" t="str">
        <f t="shared" si="110"/>
        <v>-</v>
      </c>
      <c r="E197" s="37">
        <f t="shared" si="110"/>
        <v>2638.57</v>
      </c>
      <c r="F197" s="37">
        <f t="shared" si="110"/>
        <v>2981.79</v>
      </c>
      <c r="G197" s="37">
        <f t="shared" si="110"/>
        <v>3099.78</v>
      </c>
      <c r="H197" s="37" t="str">
        <f t="shared" si="110"/>
        <v>-</v>
      </c>
    </row>
    <row r="198" spans="2:8">
      <c r="B198" s="277" t="str">
        <f t="shared" si="104"/>
        <v>9a</v>
      </c>
      <c r="C198" s="37" t="str">
        <f t="shared" ref="C198:H198" si="111">IF(C156="-","-",ROUND(C156*$B$189,2))</f>
        <v>-</v>
      </c>
      <c r="D198" s="37" t="str">
        <f t="shared" si="111"/>
        <v>-</v>
      </c>
      <c r="E198" s="37">
        <f t="shared" si="111"/>
        <v>2638.57</v>
      </c>
      <c r="F198" s="37">
        <f t="shared" si="111"/>
        <v>2729.74</v>
      </c>
      <c r="G198" s="37">
        <f t="shared" si="111"/>
        <v>2895.98</v>
      </c>
      <c r="H198" s="37" t="str">
        <f t="shared" si="111"/>
        <v>-</v>
      </c>
    </row>
    <row r="199" spans="2:8">
      <c r="B199" s="277" t="str">
        <f t="shared" si="104"/>
        <v>8a</v>
      </c>
      <c r="C199" s="37">
        <f t="shared" ref="C199:H199" si="112">IF(C157="-","-",ROUND(C157*$B$189,2))</f>
        <v>2198.8000000000002</v>
      </c>
      <c r="D199" s="37">
        <f t="shared" si="112"/>
        <v>2338.2399999999998</v>
      </c>
      <c r="E199" s="37">
        <f t="shared" si="112"/>
        <v>2456.23</v>
      </c>
      <c r="F199" s="37">
        <f t="shared" si="112"/>
        <v>2552.7600000000002</v>
      </c>
      <c r="G199" s="37">
        <f t="shared" si="112"/>
        <v>2729.74</v>
      </c>
      <c r="H199" s="37">
        <f t="shared" si="112"/>
        <v>2895.98</v>
      </c>
    </row>
    <row r="200" spans="2:8">
      <c r="B200" s="277" t="str">
        <f t="shared" si="104"/>
        <v>7a</v>
      </c>
      <c r="C200" s="37">
        <f t="shared" ref="C200:H200" si="113">IF(C158="-","-",ROUND(C158*$B$189,2))</f>
        <v>2037.92</v>
      </c>
      <c r="D200" s="37">
        <f t="shared" si="113"/>
        <v>2198.8000000000002</v>
      </c>
      <c r="E200" s="37">
        <f t="shared" si="113"/>
        <v>2338.2399999999998</v>
      </c>
      <c r="F200" s="37">
        <f t="shared" si="113"/>
        <v>2552.7600000000002</v>
      </c>
      <c r="G200" s="37">
        <f t="shared" si="113"/>
        <v>2660.01</v>
      </c>
      <c r="H200" s="37">
        <f t="shared" si="113"/>
        <v>2770.49</v>
      </c>
    </row>
    <row r="201" spans="2:8">
      <c r="B201" s="277" t="str">
        <f t="shared" si="104"/>
        <v>4a</v>
      </c>
      <c r="C201" s="37">
        <f t="shared" ref="C201:H201" si="114">IF(C159="-","-",ROUND(C159*$B$189,2))</f>
        <v>1825.54</v>
      </c>
      <c r="D201" s="37">
        <f t="shared" si="114"/>
        <v>1962.83</v>
      </c>
      <c r="E201" s="37">
        <f t="shared" si="114"/>
        <v>2091.54</v>
      </c>
      <c r="F201" s="37">
        <f t="shared" si="114"/>
        <v>2365.0500000000002</v>
      </c>
      <c r="G201" s="37">
        <f t="shared" si="114"/>
        <v>2434.77</v>
      </c>
      <c r="H201" s="37">
        <f t="shared" si="114"/>
        <v>2563.48</v>
      </c>
    </row>
    <row r="202" spans="2:8">
      <c r="B202" s="277" t="str">
        <f t="shared" si="104"/>
        <v>3a</v>
      </c>
      <c r="C202" s="37">
        <f t="shared" ref="C202:H202" si="115">IF(C160="-","-",ROUND(C160*$B$189,2))</f>
        <v>1742.96</v>
      </c>
      <c r="D202" s="37">
        <f t="shared" si="115"/>
        <v>1930.65</v>
      </c>
      <c r="E202" s="37">
        <f t="shared" si="115"/>
        <v>1984.29</v>
      </c>
      <c r="F202" s="37">
        <f t="shared" si="115"/>
        <v>2070.1</v>
      </c>
      <c r="G202" s="37">
        <f t="shared" si="115"/>
        <v>2134.4499999999998</v>
      </c>
      <c r="H202" s="37">
        <f t="shared" si="115"/>
        <v>2285.6799999999998</v>
      </c>
    </row>
    <row r="210" spans="2:8">
      <c r="B210" s="154" t="s">
        <v>140</v>
      </c>
    </row>
    <row r="211" spans="2:8">
      <c r="B211" s="75">
        <v>2011</v>
      </c>
      <c r="C211" s="75" t="str">
        <f t="shared" ref="C211:H211" si="116">C1</f>
        <v>Stufe 1</v>
      </c>
      <c r="D211" s="75" t="str">
        <f t="shared" si="116"/>
        <v>Stufe 2</v>
      </c>
      <c r="E211" s="75" t="str">
        <f t="shared" si="116"/>
        <v>Stufe 3</v>
      </c>
      <c r="F211" s="75" t="str">
        <f t="shared" si="116"/>
        <v>Stufe 4</v>
      </c>
      <c r="G211" s="75" t="str">
        <f t="shared" si="116"/>
        <v>Stufe 5</v>
      </c>
      <c r="H211" s="75" t="str">
        <f t="shared" si="116"/>
        <v>Stufe 6</v>
      </c>
    </row>
    <row r="212" spans="2:8">
      <c r="B212" s="277" t="str">
        <f>B2</f>
        <v>12a</v>
      </c>
      <c r="C212" s="37" t="str">
        <f t="shared" ref="C212:H212" si="117">IF(C191="-","-",ROUND(C191*$B$210,2))</f>
        <v>-</v>
      </c>
      <c r="D212" s="37" t="str">
        <f t="shared" si="117"/>
        <v>-</v>
      </c>
      <c r="E212" s="37">
        <f t="shared" si="117"/>
        <v>3506.82</v>
      </c>
      <c r="F212" s="37">
        <f t="shared" si="117"/>
        <v>3884.48</v>
      </c>
      <c r="G212" s="37">
        <f t="shared" si="117"/>
        <v>4370.04</v>
      </c>
      <c r="H212" s="37">
        <f t="shared" si="117"/>
        <v>4585.84</v>
      </c>
    </row>
    <row r="213" spans="2:8">
      <c r="B213" s="277" t="str">
        <f t="shared" ref="B213:B223" si="118">B3</f>
        <v>11b</v>
      </c>
      <c r="C213" s="37" t="str">
        <f t="shared" ref="C213:H213" si="119">IF(C192="-","-",ROUND(C192*$B$210,2))</f>
        <v>-</v>
      </c>
      <c r="D213" s="37" t="str">
        <f t="shared" si="119"/>
        <v>-</v>
      </c>
      <c r="E213" s="37" t="str">
        <f t="shared" si="119"/>
        <v>-</v>
      </c>
      <c r="F213" s="37">
        <f t="shared" si="119"/>
        <v>3506.82</v>
      </c>
      <c r="G213" s="37">
        <f t="shared" si="119"/>
        <v>3976.2</v>
      </c>
      <c r="H213" s="37">
        <f t="shared" si="119"/>
        <v>4192</v>
      </c>
    </row>
    <row r="214" spans="2:8">
      <c r="B214" s="277" t="str">
        <f t="shared" si="118"/>
        <v>11a</v>
      </c>
      <c r="C214" s="37" t="str">
        <f t="shared" ref="C214:H214" si="120">IF(C193="-","-",ROUND(C193*$B$210,2))</f>
        <v>-</v>
      </c>
      <c r="D214" s="37" t="str">
        <f t="shared" si="120"/>
        <v>-</v>
      </c>
      <c r="E214" s="37">
        <f t="shared" si="120"/>
        <v>3183.11</v>
      </c>
      <c r="F214" s="37">
        <f t="shared" si="120"/>
        <v>3506.82</v>
      </c>
      <c r="G214" s="37">
        <f t="shared" si="120"/>
        <v>3976.2</v>
      </c>
      <c r="H214" s="37" t="str">
        <f t="shared" si="120"/>
        <v>-</v>
      </c>
    </row>
    <row r="215" spans="2:8">
      <c r="B215" s="277" t="str">
        <f t="shared" si="118"/>
        <v>10a</v>
      </c>
      <c r="C215" s="37" t="str">
        <f t="shared" ref="C215:H215" si="121">IF(C194="-","-",ROUND(C194*$B$210,2))</f>
        <v>-</v>
      </c>
      <c r="D215" s="37" t="str">
        <f t="shared" si="121"/>
        <v>-</v>
      </c>
      <c r="E215" s="37">
        <f t="shared" si="121"/>
        <v>3075.21</v>
      </c>
      <c r="F215" s="37">
        <f t="shared" si="121"/>
        <v>3291.02</v>
      </c>
      <c r="G215" s="37">
        <f t="shared" si="121"/>
        <v>3701.04</v>
      </c>
      <c r="H215" s="37" t="str">
        <f t="shared" si="121"/>
        <v>-</v>
      </c>
    </row>
    <row r="216" spans="2:8">
      <c r="B216" s="277" t="str">
        <f t="shared" si="118"/>
        <v>9d</v>
      </c>
      <c r="C216" s="37" t="str">
        <f t="shared" ref="C216:H216" si="122">IF(C195="-","-",ROUND(C195*$B$210,2))</f>
        <v>-</v>
      </c>
      <c r="D216" s="37" t="str">
        <f t="shared" si="122"/>
        <v>-</v>
      </c>
      <c r="E216" s="37">
        <f t="shared" si="122"/>
        <v>2999.68</v>
      </c>
      <c r="F216" s="37">
        <f t="shared" si="122"/>
        <v>3269.44</v>
      </c>
      <c r="G216" s="37">
        <f t="shared" si="122"/>
        <v>3485.24</v>
      </c>
      <c r="H216" s="37" t="str">
        <f t="shared" si="122"/>
        <v>-</v>
      </c>
    </row>
    <row r="217" spans="2:8">
      <c r="B217" s="277" t="str">
        <f t="shared" si="118"/>
        <v>9c</v>
      </c>
      <c r="C217" s="37" t="str">
        <f t="shared" ref="C217:H217" si="123">IF(C196="-","-",ROUND(C196*$B$210,2))</f>
        <v>-</v>
      </c>
      <c r="D217" s="37" t="str">
        <f t="shared" si="123"/>
        <v>-</v>
      </c>
      <c r="E217" s="37">
        <f t="shared" si="123"/>
        <v>2913.36</v>
      </c>
      <c r="F217" s="37">
        <f t="shared" si="123"/>
        <v>3118.38</v>
      </c>
      <c r="G217" s="37">
        <f t="shared" si="123"/>
        <v>3312.6</v>
      </c>
      <c r="H217" s="37" t="str">
        <f t="shared" si="123"/>
        <v>-</v>
      </c>
    </row>
    <row r="218" spans="2:8">
      <c r="B218" s="277" t="str">
        <f t="shared" si="118"/>
        <v>9b</v>
      </c>
      <c r="C218" s="37" t="str">
        <f t="shared" ref="C218:H218" si="124">IF(C197="-","-",ROUND(C197*$B$210,2))</f>
        <v>-</v>
      </c>
      <c r="D218" s="37" t="str">
        <f t="shared" si="124"/>
        <v>-</v>
      </c>
      <c r="E218" s="37">
        <f t="shared" si="124"/>
        <v>2654.4</v>
      </c>
      <c r="F218" s="37">
        <f t="shared" si="124"/>
        <v>2999.68</v>
      </c>
      <c r="G218" s="37">
        <f t="shared" si="124"/>
        <v>3118.38</v>
      </c>
      <c r="H218" s="37" t="str">
        <f t="shared" si="124"/>
        <v>-</v>
      </c>
    </row>
    <row r="219" spans="2:8">
      <c r="B219" s="277" t="str">
        <f t="shared" si="118"/>
        <v>9a</v>
      </c>
      <c r="C219" s="37" t="str">
        <f t="shared" ref="C219:H219" si="125">IF(C198="-","-",ROUND(C198*$B$210,2))</f>
        <v>-</v>
      </c>
      <c r="D219" s="37" t="str">
        <f t="shared" si="125"/>
        <v>-</v>
      </c>
      <c r="E219" s="37">
        <f t="shared" si="125"/>
        <v>2654.4</v>
      </c>
      <c r="F219" s="37">
        <f t="shared" si="125"/>
        <v>2746.12</v>
      </c>
      <c r="G219" s="37">
        <f t="shared" si="125"/>
        <v>2913.36</v>
      </c>
      <c r="H219" s="37" t="str">
        <f t="shared" si="125"/>
        <v>-</v>
      </c>
    </row>
    <row r="220" spans="2:8">
      <c r="B220" s="277" t="str">
        <f t="shared" si="118"/>
        <v>8a</v>
      </c>
      <c r="C220" s="37">
        <f t="shared" ref="C220:H220" si="126">IF(C199="-","-",ROUND(C199*$B$210,2))</f>
        <v>2211.9899999999998</v>
      </c>
      <c r="D220" s="37">
        <f t="shared" si="126"/>
        <v>2352.27</v>
      </c>
      <c r="E220" s="37">
        <f t="shared" si="126"/>
        <v>2470.9699999999998</v>
      </c>
      <c r="F220" s="37">
        <f t="shared" si="126"/>
        <v>2568.08</v>
      </c>
      <c r="G220" s="37">
        <f t="shared" si="126"/>
        <v>2746.12</v>
      </c>
      <c r="H220" s="37">
        <f t="shared" si="126"/>
        <v>2913.36</v>
      </c>
    </row>
    <row r="221" spans="2:8">
      <c r="B221" s="277" t="str">
        <f t="shared" si="118"/>
        <v>7a</v>
      </c>
      <c r="C221" s="37">
        <f t="shared" ref="C221:H221" si="127">IF(C200="-","-",ROUND(C200*$B$210,2))</f>
        <v>2050.15</v>
      </c>
      <c r="D221" s="37">
        <f t="shared" si="127"/>
        <v>2211.9899999999998</v>
      </c>
      <c r="E221" s="37">
        <f t="shared" si="127"/>
        <v>2352.27</v>
      </c>
      <c r="F221" s="37">
        <f t="shared" si="127"/>
        <v>2568.08</v>
      </c>
      <c r="G221" s="37">
        <f t="shared" si="127"/>
        <v>2675.97</v>
      </c>
      <c r="H221" s="37">
        <f t="shared" si="127"/>
        <v>2787.11</v>
      </c>
    </row>
    <row r="222" spans="2:8">
      <c r="B222" s="277" t="str">
        <f t="shared" si="118"/>
        <v>4a</v>
      </c>
      <c r="C222" s="37">
        <f t="shared" ref="C222:H222" si="128">IF(C201="-","-",ROUND(C201*$B$210,2))</f>
        <v>1836.49</v>
      </c>
      <c r="D222" s="37">
        <f t="shared" si="128"/>
        <v>1974.61</v>
      </c>
      <c r="E222" s="37">
        <f t="shared" si="128"/>
        <v>2104.09</v>
      </c>
      <c r="F222" s="37">
        <f t="shared" si="128"/>
        <v>2379.2399999999998</v>
      </c>
      <c r="G222" s="37">
        <f t="shared" si="128"/>
        <v>2449.38</v>
      </c>
      <c r="H222" s="37">
        <f t="shared" si="128"/>
        <v>2578.86</v>
      </c>
    </row>
    <row r="223" spans="2:8">
      <c r="B223" s="277" t="str">
        <f t="shared" si="118"/>
        <v>3a</v>
      </c>
      <c r="C223" s="37">
        <f t="shared" ref="C223:H223" si="129">IF(C202="-","-",ROUND(C202*$B$210,2))</f>
        <v>1753.42</v>
      </c>
      <c r="D223" s="37">
        <f t="shared" si="129"/>
        <v>1942.23</v>
      </c>
      <c r="E223" s="37">
        <f t="shared" si="129"/>
        <v>1996.2</v>
      </c>
      <c r="F223" s="37">
        <f t="shared" si="129"/>
        <v>2082.52</v>
      </c>
      <c r="G223" s="37">
        <f t="shared" si="129"/>
        <v>2147.2600000000002</v>
      </c>
      <c r="H223" s="37">
        <f t="shared" si="129"/>
        <v>2299.39</v>
      </c>
    </row>
    <row r="231" spans="2:8">
      <c r="B231" s="154" t="s">
        <v>150</v>
      </c>
    </row>
    <row r="232" spans="2:8">
      <c r="B232" s="75">
        <v>2011</v>
      </c>
      <c r="C232" s="75" t="str">
        <f t="shared" ref="C232:H232" si="130">C22</f>
        <v>Stufe 1</v>
      </c>
      <c r="D232" s="75" t="str">
        <f t="shared" si="130"/>
        <v>Stufe 2</v>
      </c>
      <c r="E232" s="75" t="str">
        <f t="shared" si="130"/>
        <v>Stufe 3</v>
      </c>
      <c r="F232" s="75" t="str">
        <f t="shared" si="130"/>
        <v>Stufe 4</v>
      </c>
      <c r="G232" s="75" t="str">
        <f t="shared" si="130"/>
        <v>Stufe 5</v>
      </c>
      <c r="H232" s="75" t="str">
        <f t="shared" si="130"/>
        <v>Stufe 6</v>
      </c>
    </row>
    <row r="233" spans="2:8">
      <c r="B233" s="277" t="str">
        <f>B2</f>
        <v>12a</v>
      </c>
      <c r="C233" s="37" t="str">
        <f t="shared" ref="C233:H233" si="131">IF(C212="-","-",ROUND(C212*$B$231,2))</f>
        <v>-</v>
      </c>
      <c r="D233" s="37" t="str">
        <f t="shared" si="131"/>
        <v>-</v>
      </c>
      <c r="E233" s="37">
        <f t="shared" si="131"/>
        <v>3524.35</v>
      </c>
      <c r="F233" s="37">
        <f t="shared" si="131"/>
        <v>3903.9</v>
      </c>
      <c r="G233" s="37">
        <f t="shared" si="131"/>
        <v>4391.8900000000003</v>
      </c>
      <c r="H233" s="37">
        <f t="shared" si="131"/>
        <v>4608.7700000000004</v>
      </c>
    </row>
    <row r="234" spans="2:8">
      <c r="B234" s="277" t="str">
        <f t="shared" ref="B234:B244" si="132">B3</f>
        <v>11b</v>
      </c>
      <c r="C234" s="37" t="str">
        <f t="shared" ref="C234:H234" si="133">IF(C213="-","-",ROUND(C213*$B$231,2))</f>
        <v>-</v>
      </c>
      <c r="D234" s="37" t="str">
        <f t="shared" si="133"/>
        <v>-</v>
      </c>
      <c r="E234" s="37" t="str">
        <f t="shared" si="133"/>
        <v>-</v>
      </c>
      <c r="F234" s="37">
        <f t="shared" si="133"/>
        <v>3524.35</v>
      </c>
      <c r="G234" s="37">
        <f t="shared" si="133"/>
        <v>3996.08</v>
      </c>
      <c r="H234" s="37">
        <f t="shared" si="133"/>
        <v>4212.96</v>
      </c>
    </row>
    <row r="235" spans="2:8">
      <c r="B235" s="277" t="str">
        <f t="shared" si="132"/>
        <v>11a</v>
      </c>
      <c r="C235" s="37" t="str">
        <f t="shared" ref="C235:H235" si="134">IF(C214="-","-",ROUND(C214*$B$231,2))</f>
        <v>-</v>
      </c>
      <c r="D235" s="37" t="str">
        <f t="shared" si="134"/>
        <v>-</v>
      </c>
      <c r="E235" s="37">
        <f t="shared" si="134"/>
        <v>3199.03</v>
      </c>
      <c r="F235" s="37">
        <f t="shared" si="134"/>
        <v>3524.35</v>
      </c>
      <c r="G235" s="37">
        <f t="shared" si="134"/>
        <v>3996.08</v>
      </c>
      <c r="H235" s="37" t="str">
        <f t="shared" si="134"/>
        <v>-</v>
      </c>
    </row>
    <row r="236" spans="2:8">
      <c r="B236" s="277" t="str">
        <f t="shared" si="132"/>
        <v>10a</v>
      </c>
      <c r="C236" s="37" t="str">
        <f t="shared" ref="C236:H236" si="135">IF(C215="-","-",ROUND(C215*$B$231,2))</f>
        <v>-</v>
      </c>
      <c r="D236" s="37" t="str">
        <f t="shared" si="135"/>
        <v>-</v>
      </c>
      <c r="E236" s="37">
        <f t="shared" si="135"/>
        <v>3090.59</v>
      </c>
      <c r="F236" s="37">
        <f t="shared" si="135"/>
        <v>3307.48</v>
      </c>
      <c r="G236" s="37">
        <f t="shared" si="135"/>
        <v>3719.55</v>
      </c>
      <c r="H236" s="37" t="str">
        <f t="shared" si="135"/>
        <v>-</v>
      </c>
    </row>
    <row r="237" spans="2:8">
      <c r="B237" s="277" t="str">
        <f t="shared" si="132"/>
        <v>9d</v>
      </c>
      <c r="C237" s="37" t="str">
        <f t="shared" ref="C237:H237" si="136">IF(C216="-","-",ROUND(C216*$B$231,2))</f>
        <v>-</v>
      </c>
      <c r="D237" s="37" t="str">
        <f t="shared" si="136"/>
        <v>-</v>
      </c>
      <c r="E237" s="37">
        <f t="shared" si="136"/>
        <v>3014.68</v>
      </c>
      <c r="F237" s="37">
        <f t="shared" si="136"/>
        <v>3285.79</v>
      </c>
      <c r="G237" s="37">
        <f t="shared" si="136"/>
        <v>3502.67</v>
      </c>
      <c r="H237" s="37" t="str">
        <f t="shared" si="136"/>
        <v>-</v>
      </c>
    </row>
    <row r="238" spans="2:8">
      <c r="B238" s="277" t="str">
        <f t="shared" si="132"/>
        <v>9c</v>
      </c>
      <c r="C238" s="37" t="str">
        <f t="shared" ref="C238:H238" si="137">IF(C217="-","-",ROUND(C217*$B$231,2))</f>
        <v>-</v>
      </c>
      <c r="D238" s="37" t="str">
        <f t="shared" si="137"/>
        <v>-</v>
      </c>
      <c r="E238" s="37">
        <f t="shared" si="137"/>
        <v>2927.93</v>
      </c>
      <c r="F238" s="37">
        <f t="shared" si="137"/>
        <v>3133.97</v>
      </c>
      <c r="G238" s="37">
        <f t="shared" si="137"/>
        <v>3329.16</v>
      </c>
      <c r="H238" s="37" t="str">
        <f t="shared" si="137"/>
        <v>-</v>
      </c>
    </row>
    <row r="239" spans="2:8">
      <c r="B239" s="277" t="str">
        <f t="shared" si="132"/>
        <v>9b</v>
      </c>
      <c r="C239" s="37" t="str">
        <f t="shared" ref="C239:H239" si="138">IF(C218="-","-",ROUND(C218*$B$231,2))</f>
        <v>-</v>
      </c>
      <c r="D239" s="37" t="str">
        <f t="shared" si="138"/>
        <v>-</v>
      </c>
      <c r="E239" s="37">
        <f t="shared" si="138"/>
        <v>2667.67</v>
      </c>
      <c r="F239" s="37">
        <f t="shared" si="138"/>
        <v>3014.68</v>
      </c>
      <c r="G239" s="37">
        <f t="shared" si="138"/>
        <v>3133.97</v>
      </c>
      <c r="H239" s="37" t="str">
        <f t="shared" si="138"/>
        <v>-</v>
      </c>
    </row>
    <row r="240" spans="2:8">
      <c r="B240" s="277" t="str">
        <f t="shared" si="132"/>
        <v>9a</v>
      </c>
      <c r="C240" s="37" t="str">
        <f t="shared" ref="C240:H240" si="139">IF(C219="-","-",ROUND(C219*$B$231,2))</f>
        <v>-</v>
      </c>
      <c r="D240" s="37" t="str">
        <f t="shared" si="139"/>
        <v>-</v>
      </c>
      <c r="E240" s="37">
        <f t="shared" si="139"/>
        <v>2667.67</v>
      </c>
      <c r="F240" s="37">
        <f t="shared" si="139"/>
        <v>2759.85</v>
      </c>
      <c r="G240" s="37">
        <f t="shared" si="139"/>
        <v>2927.93</v>
      </c>
      <c r="H240" s="37" t="str">
        <f t="shared" si="139"/>
        <v>-</v>
      </c>
    </row>
    <row r="241" spans="2:9">
      <c r="B241" s="277" t="str">
        <f t="shared" si="132"/>
        <v>8a</v>
      </c>
      <c r="C241" s="37">
        <f t="shared" ref="C241:H241" si="140">IF(C220="-","-",ROUND(C220*$B$231,2))</f>
        <v>2223.0500000000002</v>
      </c>
      <c r="D241" s="37">
        <f t="shared" si="140"/>
        <v>2364.0300000000002</v>
      </c>
      <c r="E241" s="37">
        <f t="shared" si="140"/>
        <v>2483.3200000000002</v>
      </c>
      <c r="F241" s="37">
        <f t="shared" si="140"/>
        <v>2580.92</v>
      </c>
      <c r="G241" s="37">
        <f t="shared" si="140"/>
        <v>2759.85</v>
      </c>
      <c r="H241" s="37">
        <f t="shared" si="140"/>
        <v>2927.93</v>
      </c>
    </row>
    <row r="242" spans="2:9">
      <c r="B242" s="277" t="str">
        <f t="shared" si="132"/>
        <v>7a</v>
      </c>
      <c r="C242" s="37">
        <f t="shared" ref="C242:H242" si="141">IF(C221="-","-",ROUND(C221*$B$231,2))</f>
        <v>2060.4</v>
      </c>
      <c r="D242" s="37">
        <f t="shared" si="141"/>
        <v>2223.0500000000002</v>
      </c>
      <c r="E242" s="37">
        <f t="shared" si="141"/>
        <v>2364.0300000000002</v>
      </c>
      <c r="F242" s="37">
        <f t="shared" si="141"/>
        <v>2580.92</v>
      </c>
      <c r="G242" s="37">
        <f t="shared" si="141"/>
        <v>2689.35</v>
      </c>
      <c r="H242" s="37">
        <f t="shared" si="141"/>
        <v>2801.05</v>
      </c>
    </row>
    <row r="243" spans="2:9">
      <c r="B243" s="277" t="str">
        <f t="shared" si="132"/>
        <v>4a</v>
      </c>
      <c r="C243" s="37">
        <f t="shared" ref="C243:H243" si="142">IF(C222="-","-",ROUND(C222*$B$231,2))</f>
        <v>1845.67</v>
      </c>
      <c r="D243" s="37">
        <f t="shared" si="142"/>
        <v>1984.48</v>
      </c>
      <c r="E243" s="37">
        <f t="shared" si="142"/>
        <v>2114.61</v>
      </c>
      <c r="F243" s="37">
        <f t="shared" si="142"/>
        <v>2391.14</v>
      </c>
      <c r="G243" s="37">
        <f t="shared" si="142"/>
        <v>2461.63</v>
      </c>
      <c r="H243" s="37">
        <f t="shared" si="142"/>
        <v>2591.75</v>
      </c>
    </row>
    <row r="244" spans="2:9">
      <c r="B244" s="277" t="str">
        <f t="shared" si="132"/>
        <v>3a</v>
      </c>
      <c r="C244" s="37">
        <f t="shared" ref="C244:H244" si="143">IF(C223="-","-",ROUND(C223*$B$231,2))</f>
        <v>1762.19</v>
      </c>
      <c r="D244" s="37">
        <f t="shared" si="143"/>
        <v>1951.94</v>
      </c>
      <c r="E244" s="37">
        <f t="shared" si="143"/>
        <v>2006.18</v>
      </c>
      <c r="F244" s="37">
        <f t="shared" si="143"/>
        <v>2092.9299999999998</v>
      </c>
      <c r="G244" s="37">
        <f t="shared" si="143"/>
        <v>2158</v>
      </c>
      <c r="H244" s="37">
        <f t="shared" si="143"/>
        <v>2310.89</v>
      </c>
    </row>
    <row r="252" spans="2:9">
      <c r="B252" s="154" t="s">
        <v>207</v>
      </c>
    </row>
    <row r="253" spans="2:9">
      <c r="B253" s="75">
        <v>2012</v>
      </c>
      <c r="C253" s="75" t="str">
        <f t="shared" ref="C253:H253" si="144">C43</f>
        <v>Stufe 1</v>
      </c>
      <c r="D253" s="75" t="str">
        <f t="shared" si="144"/>
        <v>Stufe 2</v>
      </c>
      <c r="E253" s="75" t="str">
        <f t="shared" si="144"/>
        <v>Stufe 3</v>
      </c>
      <c r="F253" s="75" t="str">
        <f t="shared" si="144"/>
        <v>Stufe 4</v>
      </c>
      <c r="G253" s="75" t="str">
        <f t="shared" si="144"/>
        <v>Stufe 5</v>
      </c>
      <c r="H253" s="75" t="str">
        <f t="shared" si="144"/>
        <v>Stufe 6</v>
      </c>
    </row>
    <row r="254" spans="2:9">
      <c r="B254" s="277" t="str">
        <f>B2</f>
        <v>12a</v>
      </c>
      <c r="C254" s="37" t="str">
        <f t="shared" ref="C254:H254" si="145">IF(C233="-","-",ROUND(C233*$B$252,2))</f>
        <v>-</v>
      </c>
      <c r="D254" s="37" t="str">
        <f t="shared" si="145"/>
        <v>-</v>
      </c>
      <c r="E254" s="37">
        <f t="shared" si="145"/>
        <v>3647.7</v>
      </c>
      <c r="F254" s="37">
        <f t="shared" si="145"/>
        <v>4040.54</v>
      </c>
      <c r="G254" s="37">
        <f t="shared" si="145"/>
        <v>4545.6099999999997</v>
      </c>
      <c r="H254" s="37">
        <f t="shared" si="145"/>
        <v>4770.08</v>
      </c>
      <c r="I254" s="422"/>
    </row>
    <row r="255" spans="2:9">
      <c r="B255" s="277" t="str">
        <f t="shared" ref="B255:B265" si="146">B3</f>
        <v>11b</v>
      </c>
      <c r="C255" s="37" t="str">
        <f t="shared" ref="C255:H255" si="147">IF(C234="-","-",ROUND(C234*$B$252,2))</f>
        <v>-</v>
      </c>
      <c r="D255" s="37" t="str">
        <f t="shared" si="147"/>
        <v>-</v>
      </c>
      <c r="E255" s="37" t="str">
        <f t="shared" si="147"/>
        <v>-</v>
      </c>
      <c r="F255" s="37">
        <f t="shared" si="147"/>
        <v>3647.7</v>
      </c>
      <c r="G255" s="37">
        <f t="shared" si="147"/>
        <v>4135.9399999999996</v>
      </c>
      <c r="H255" s="37">
        <f t="shared" si="147"/>
        <v>4360.41</v>
      </c>
      <c r="I255" s="422"/>
    </row>
    <row r="256" spans="2:9">
      <c r="B256" s="277" t="str">
        <f t="shared" si="146"/>
        <v>11a</v>
      </c>
      <c r="C256" s="37" t="str">
        <f t="shared" ref="C256:H256" si="148">IF(C235="-","-",ROUND(C235*$B$252,2))</f>
        <v>-</v>
      </c>
      <c r="D256" s="37" t="str">
        <f t="shared" si="148"/>
        <v>-</v>
      </c>
      <c r="E256" s="37">
        <f t="shared" si="148"/>
        <v>3311</v>
      </c>
      <c r="F256" s="37">
        <f t="shared" si="148"/>
        <v>3647.7</v>
      </c>
      <c r="G256" s="37">
        <f t="shared" si="148"/>
        <v>4135.9399999999996</v>
      </c>
      <c r="H256" s="37" t="str">
        <f t="shared" si="148"/>
        <v>-</v>
      </c>
    </row>
    <row r="257" spans="2:8">
      <c r="B257" s="277" t="str">
        <f t="shared" si="146"/>
        <v>10a</v>
      </c>
      <c r="C257" s="37" t="str">
        <f t="shared" ref="C257:H257" si="149">IF(C236="-","-",ROUND(C236*$B$252,2))</f>
        <v>-</v>
      </c>
      <c r="D257" s="37" t="str">
        <f t="shared" si="149"/>
        <v>-</v>
      </c>
      <c r="E257" s="37">
        <f t="shared" si="149"/>
        <v>3198.76</v>
      </c>
      <c r="F257" s="37">
        <f t="shared" si="149"/>
        <v>3423.24</v>
      </c>
      <c r="G257" s="37">
        <f t="shared" si="149"/>
        <v>3849.73</v>
      </c>
      <c r="H257" s="37" t="str">
        <f t="shared" si="149"/>
        <v>-</v>
      </c>
    </row>
    <row r="258" spans="2:8">
      <c r="B258" s="277" t="str">
        <f t="shared" si="146"/>
        <v>9d</v>
      </c>
      <c r="C258" s="37" t="str">
        <f t="shared" ref="C258:H258" si="150">IF(C237="-","-",ROUND(C237*$B$252,2))</f>
        <v>-</v>
      </c>
      <c r="D258" s="37" t="str">
        <f t="shared" si="150"/>
        <v>-</v>
      </c>
      <c r="E258" s="37">
        <f t="shared" si="150"/>
        <v>3120.19</v>
      </c>
      <c r="F258" s="37">
        <f t="shared" si="150"/>
        <v>3400.79</v>
      </c>
      <c r="G258" s="37">
        <f t="shared" si="150"/>
        <v>3625.26</v>
      </c>
      <c r="H258" s="37" t="str">
        <f t="shared" si="150"/>
        <v>-</v>
      </c>
    </row>
    <row r="259" spans="2:8">
      <c r="B259" s="277" t="str">
        <f t="shared" si="146"/>
        <v>9c</v>
      </c>
      <c r="C259" s="37" t="str">
        <f t="shared" ref="C259:H259" si="151">IF(C238="-","-",ROUND(C238*$B$252,2))</f>
        <v>-</v>
      </c>
      <c r="D259" s="37" t="str">
        <f t="shared" si="151"/>
        <v>-</v>
      </c>
      <c r="E259" s="37">
        <f t="shared" si="151"/>
        <v>3030.41</v>
      </c>
      <c r="F259" s="37">
        <f t="shared" si="151"/>
        <v>3243.66</v>
      </c>
      <c r="G259" s="37">
        <f t="shared" si="151"/>
        <v>3445.68</v>
      </c>
      <c r="H259" s="37" t="str">
        <f t="shared" si="151"/>
        <v>-</v>
      </c>
    </row>
    <row r="260" spans="2:8">
      <c r="B260" s="277" t="str">
        <f t="shared" si="146"/>
        <v>9b</v>
      </c>
      <c r="C260" s="37" t="str">
        <f t="shared" ref="C260:H260" si="152">IF(C239="-","-",ROUND(C239*$B$252,2))</f>
        <v>-</v>
      </c>
      <c r="D260" s="37" t="str">
        <f t="shared" si="152"/>
        <v>-</v>
      </c>
      <c r="E260" s="37">
        <f t="shared" si="152"/>
        <v>2761.04</v>
      </c>
      <c r="F260" s="37">
        <f t="shared" si="152"/>
        <v>3120.19</v>
      </c>
      <c r="G260" s="37">
        <f t="shared" si="152"/>
        <v>3243.66</v>
      </c>
      <c r="H260" s="37" t="str">
        <f t="shared" si="152"/>
        <v>-</v>
      </c>
    </row>
    <row r="261" spans="2:8">
      <c r="B261" s="277" t="str">
        <f t="shared" si="146"/>
        <v>9a</v>
      </c>
      <c r="C261" s="37" t="str">
        <f t="shared" ref="C261:H261" si="153">IF(C240="-","-",ROUND(C240*$B$252,2))</f>
        <v>-</v>
      </c>
      <c r="D261" s="37" t="str">
        <f t="shared" si="153"/>
        <v>-</v>
      </c>
      <c r="E261" s="37">
        <f t="shared" si="153"/>
        <v>2761.04</v>
      </c>
      <c r="F261" s="37">
        <f t="shared" si="153"/>
        <v>2856.44</v>
      </c>
      <c r="G261" s="37">
        <f t="shared" si="153"/>
        <v>3030.41</v>
      </c>
      <c r="H261" s="37" t="str">
        <f t="shared" si="153"/>
        <v>-</v>
      </c>
    </row>
    <row r="262" spans="2:8">
      <c r="B262" s="277" t="str">
        <f t="shared" si="146"/>
        <v>8a</v>
      </c>
      <c r="C262" s="37">
        <f t="shared" ref="C262:H262" si="154">IF(C241="-","-",ROUND(C241*$B$252,2))</f>
        <v>2300.86</v>
      </c>
      <c r="D262" s="37">
        <f t="shared" si="154"/>
        <v>2446.77</v>
      </c>
      <c r="E262" s="37">
        <f t="shared" si="154"/>
        <v>2570.2399999999998</v>
      </c>
      <c r="F262" s="37">
        <f t="shared" si="154"/>
        <v>2671.25</v>
      </c>
      <c r="G262" s="37">
        <f t="shared" si="154"/>
        <v>2856.44</v>
      </c>
      <c r="H262" s="37">
        <f t="shared" si="154"/>
        <v>3030.41</v>
      </c>
    </row>
    <row r="263" spans="2:8">
      <c r="B263" s="277" t="str">
        <f t="shared" si="146"/>
        <v>7a</v>
      </c>
      <c r="C263" s="37">
        <f t="shared" ref="C263:H263" si="155">IF(C242="-","-",ROUND(C242*$B$252,2))</f>
        <v>2132.5100000000002</v>
      </c>
      <c r="D263" s="37">
        <f t="shared" si="155"/>
        <v>2300.86</v>
      </c>
      <c r="E263" s="37">
        <f t="shared" si="155"/>
        <v>2446.77</v>
      </c>
      <c r="F263" s="37">
        <f t="shared" si="155"/>
        <v>2671.25</v>
      </c>
      <c r="G263" s="37">
        <f t="shared" si="155"/>
        <v>2783.48</v>
      </c>
      <c r="H263" s="37">
        <f t="shared" si="155"/>
        <v>2899.09</v>
      </c>
    </row>
    <row r="264" spans="2:8">
      <c r="B264" s="277" t="str">
        <f t="shared" si="146"/>
        <v>4a</v>
      </c>
      <c r="C264" s="37">
        <f t="shared" ref="C264:H264" si="156">IF(C243="-","-",ROUND(C243*$B$252,2))</f>
        <v>1910.27</v>
      </c>
      <c r="D264" s="37">
        <f t="shared" si="156"/>
        <v>2053.94</v>
      </c>
      <c r="E264" s="37">
        <f t="shared" si="156"/>
        <v>2188.62</v>
      </c>
      <c r="F264" s="37">
        <f t="shared" si="156"/>
        <v>2474.83</v>
      </c>
      <c r="G264" s="37">
        <f t="shared" si="156"/>
        <v>2547.79</v>
      </c>
      <c r="H264" s="37">
        <f t="shared" si="156"/>
        <v>2682.46</v>
      </c>
    </row>
    <row r="265" spans="2:8">
      <c r="B265" s="277" t="str">
        <f t="shared" si="146"/>
        <v>3a</v>
      </c>
      <c r="C265" s="37">
        <f t="shared" ref="C265:H265" si="157">IF(C244="-","-",ROUND(C244*$B$252,2))</f>
        <v>1823.87</v>
      </c>
      <c r="D265" s="37">
        <f t="shared" si="157"/>
        <v>2020.26</v>
      </c>
      <c r="E265" s="37">
        <f t="shared" si="157"/>
        <v>2076.4</v>
      </c>
      <c r="F265" s="37">
        <f t="shared" si="157"/>
        <v>2166.1799999999998</v>
      </c>
      <c r="G265" s="37">
        <f t="shared" si="157"/>
        <v>2233.5300000000002</v>
      </c>
      <c r="H265" s="37">
        <f t="shared" si="157"/>
        <v>2391.77</v>
      </c>
    </row>
    <row r="273" spans="2:9">
      <c r="B273" s="154" t="s">
        <v>209</v>
      </c>
    </row>
    <row r="274" spans="2:9">
      <c r="B274" s="75" t="s">
        <v>210</v>
      </c>
      <c r="C274" s="75" t="str">
        <f t="shared" ref="C274:H274" si="158">C64</f>
        <v>Stufe 1</v>
      </c>
      <c r="D274" s="75" t="str">
        <f t="shared" si="158"/>
        <v>Stufe 2</v>
      </c>
      <c r="E274" s="75" t="str">
        <f t="shared" si="158"/>
        <v>Stufe 3</v>
      </c>
      <c r="F274" s="75" t="str">
        <f t="shared" si="158"/>
        <v>Stufe 4</v>
      </c>
      <c r="G274" s="75" t="str">
        <f t="shared" si="158"/>
        <v>Stufe 5</v>
      </c>
      <c r="H274" s="75" t="str">
        <f t="shared" si="158"/>
        <v>Stufe 6</v>
      </c>
    </row>
    <row r="275" spans="2:9">
      <c r="B275" s="277" t="str">
        <f>B44</f>
        <v>12a</v>
      </c>
      <c r="C275" s="37" t="str">
        <f t="shared" ref="C275:H275" si="159">IF(C254="-","-",ROUND(C254*$B$273,2))</f>
        <v>-</v>
      </c>
      <c r="D275" s="37" t="str">
        <f t="shared" si="159"/>
        <v>-</v>
      </c>
      <c r="E275" s="37">
        <f t="shared" si="159"/>
        <v>3698.77</v>
      </c>
      <c r="F275" s="37">
        <f t="shared" si="159"/>
        <v>4097.1099999999997</v>
      </c>
      <c r="G275" s="37">
        <f t="shared" si="159"/>
        <v>4609.25</v>
      </c>
      <c r="H275" s="37">
        <f t="shared" si="159"/>
        <v>4836.8599999999997</v>
      </c>
      <c r="I275" s="422"/>
    </row>
    <row r="276" spans="2:9">
      <c r="B276" s="277" t="str">
        <f t="shared" ref="B276:B286" si="160">B45</f>
        <v>11b</v>
      </c>
      <c r="C276" s="37" t="str">
        <f t="shared" ref="C276:H276" si="161">IF(C255="-","-",ROUND(C255*$B$273,2))</f>
        <v>-</v>
      </c>
      <c r="D276" s="37" t="str">
        <f t="shared" si="161"/>
        <v>-</v>
      </c>
      <c r="E276" s="37" t="str">
        <f t="shared" si="161"/>
        <v>-</v>
      </c>
      <c r="F276" s="37">
        <f t="shared" si="161"/>
        <v>3698.77</v>
      </c>
      <c r="G276" s="37">
        <f t="shared" si="161"/>
        <v>4193.84</v>
      </c>
      <c r="H276" s="37">
        <f t="shared" si="161"/>
        <v>4421.46</v>
      </c>
      <c r="I276" s="422"/>
    </row>
    <row r="277" spans="2:9">
      <c r="B277" s="277" t="str">
        <f t="shared" si="160"/>
        <v>11a</v>
      </c>
      <c r="C277" s="37" t="str">
        <f t="shared" ref="C277:H277" si="162">IF(C256="-","-",ROUND(C256*$B$273,2))</f>
        <v>-</v>
      </c>
      <c r="D277" s="37" t="str">
        <f t="shared" si="162"/>
        <v>-</v>
      </c>
      <c r="E277" s="37">
        <f t="shared" si="162"/>
        <v>3357.35</v>
      </c>
      <c r="F277" s="37">
        <f t="shared" si="162"/>
        <v>3698.77</v>
      </c>
      <c r="G277" s="37">
        <f t="shared" si="162"/>
        <v>4193.84</v>
      </c>
      <c r="H277" s="37" t="str">
        <f t="shared" si="162"/>
        <v>-</v>
      </c>
    </row>
    <row r="278" spans="2:9">
      <c r="B278" s="277" t="str">
        <f t="shared" si="160"/>
        <v>10a</v>
      </c>
      <c r="C278" s="37" t="str">
        <f t="shared" ref="C278:H278" si="163">IF(C257="-","-",ROUND(C257*$B$273,2))</f>
        <v>-</v>
      </c>
      <c r="D278" s="37" t="str">
        <f t="shared" si="163"/>
        <v>-</v>
      </c>
      <c r="E278" s="37">
        <f t="shared" si="163"/>
        <v>3243.54</v>
      </c>
      <c r="F278" s="37">
        <f t="shared" si="163"/>
        <v>3471.17</v>
      </c>
      <c r="G278" s="37">
        <f t="shared" si="163"/>
        <v>3903.63</v>
      </c>
      <c r="H278" s="37" t="str">
        <f t="shared" si="163"/>
        <v>-</v>
      </c>
    </row>
    <row r="279" spans="2:9">
      <c r="B279" s="277" t="str">
        <f t="shared" si="160"/>
        <v>9d</v>
      </c>
      <c r="C279" s="37" t="str">
        <f t="shared" ref="C279:H279" si="164">IF(C258="-","-",ROUND(C258*$B$273,2))</f>
        <v>-</v>
      </c>
      <c r="D279" s="37" t="str">
        <f t="shared" si="164"/>
        <v>-</v>
      </c>
      <c r="E279" s="37">
        <f t="shared" si="164"/>
        <v>3163.87</v>
      </c>
      <c r="F279" s="37">
        <f t="shared" si="164"/>
        <v>3448.4</v>
      </c>
      <c r="G279" s="37">
        <f t="shared" si="164"/>
        <v>3676.01</v>
      </c>
      <c r="H279" s="37" t="str">
        <f t="shared" si="164"/>
        <v>-</v>
      </c>
    </row>
    <row r="280" spans="2:9">
      <c r="B280" s="277" t="str">
        <f t="shared" si="160"/>
        <v>9c</v>
      </c>
      <c r="C280" s="37" t="str">
        <f t="shared" ref="C280:H280" si="165">IF(C259="-","-",ROUND(C259*$B$273,2))</f>
        <v>-</v>
      </c>
      <c r="D280" s="37" t="str">
        <f t="shared" si="165"/>
        <v>-</v>
      </c>
      <c r="E280" s="37">
        <f t="shared" si="165"/>
        <v>3072.84</v>
      </c>
      <c r="F280" s="37">
        <f t="shared" si="165"/>
        <v>3289.07</v>
      </c>
      <c r="G280" s="37">
        <f t="shared" si="165"/>
        <v>3493.92</v>
      </c>
      <c r="H280" s="37" t="str">
        <f t="shared" si="165"/>
        <v>-</v>
      </c>
    </row>
    <row r="281" spans="2:9">
      <c r="B281" s="277" t="str">
        <f t="shared" si="160"/>
        <v>9b</v>
      </c>
      <c r="C281" s="37" t="str">
        <f t="shared" ref="C281:H281" si="166">IF(C260="-","-",ROUND(C260*$B$273,2))</f>
        <v>-</v>
      </c>
      <c r="D281" s="37" t="str">
        <f t="shared" si="166"/>
        <v>-</v>
      </c>
      <c r="E281" s="37">
        <f t="shared" si="166"/>
        <v>2799.69</v>
      </c>
      <c r="F281" s="37">
        <f t="shared" si="166"/>
        <v>3163.87</v>
      </c>
      <c r="G281" s="37">
        <f t="shared" si="166"/>
        <v>3289.07</v>
      </c>
      <c r="H281" s="37" t="str">
        <f t="shared" si="166"/>
        <v>-</v>
      </c>
    </row>
    <row r="282" spans="2:9">
      <c r="B282" s="277" t="str">
        <f t="shared" si="160"/>
        <v>9a</v>
      </c>
      <c r="C282" s="37" t="str">
        <f t="shared" ref="C282:H282" si="167">IF(C261="-","-",ROUND(C261*$B$273,2))</f>
        <v>-</v>
      </c>
      <c r="D282" s="37" t="str">
        <f t="shared" si="167"/>
        <v>-</v>
      </c>
      <c r="E282" s="37">
        <f t="shared" si="167"/>
        <v>2799.69</v>
      </c>
      <c r="F282" s="37">
        <f t="shared" si="167"/>
        <v>2896.43</v>
      </c>
      <c r="G282" s="37">
        <f t="shared" si="167"/>
        <v>3072.84</v>
      </c>
      <c r="H282" s="37" t="str">
        <f t="shared" si="167"/>
        <v>-</v>
      </c>
    </row>
    <row r="283" spans="2:9">
      <c r="B283" s="277" t="str">
        <f t="shared" si="160"/>
        <v>8a</v>
      </c>
      <c r="C283" s="37">
        <f t="shared" ref="C283:H283" si="168">IF(C262="-","-",ROUND(C262*$B$273,2))</f>
        <v>2333.0700000000002</v>
      </c>
      <c r="D283" s="37">
        <f t="shared" si="168"/>
        <v>2481.02</v>
      </c>
      <c r="E283" s="37">
        <f t="shared" si="168"/>
        <v>2606.2199999999998</v>
      </c>
      <c r="F283" s="37">
        <f t="shared" si="168"/>
        <v>2708.65</v>
      </c>
      <c r="G283" s="37">
        <f t="shared" si="168"/>
        <v>2896.43</v>
      </c>
      <c r="H283" s="37">
        <f t="shared" si="168"/>
        <v>3072.84</v>
      </c>
    </row>
    <row r="284" spans="2:9">
      <c r="B284" s="277" t="str">
        <f t="shared" si="160"/>
        <v>7a</v>
      </c>
      <c r="C284" s="37">
        <f t="shared" ref="C284:H284" si="169">IF(C263="-","-",ROUND(C263*$B$273,2))</f>
        <v>2162.37</v>
      </c>
      <c r="D284" s="37">
        <f t="shared" si="169"/>
        <v>2333.0700000000002</v>
      </c>
      <c r="E284" s="37">
        <f t="shared" si="169"/>
        <v>2481.02</v>
      </c>
      <c r="F284" s="37">
        <f t="shared" si="169"/>
        <v>2708.65</v>
      </c>
      <c r="G284" s="37">
        <f t="shared" si="169"/>
        <v>2822.45</v>
      </c>
      <c r="H284" s="37">
        <f t="shared" si="169"/>
        <v>2939.68</v>
      </c>
    </row>
    <row r="285" spans="2:9">
      <c r="B285" s="277" t="str">
        <f t="shared" si="160"/>
        <v>4a</v>
      </c>
      <c r="C285" s="37">
        <f t="shared" ref="C285:H285" si="170">IF(C264="-","-",ROUND(C264*$B$273,2))</f>
        <v>1937.01</v>
      </c>
      <c r="D285" s="37">
        <f t="shared" si="170"/>
        <v>2082.6999999999998</v>
      </c>
      <c r="E285" s="37">
        <f t="shared" si="170"/>
        <v>2219.2600000000002</v>
      </c>
      <c r="F285" s="37">
        <f t="shared" si="170"/>
        <v>2509.48</v>
      </c>
      <c r="G285" s="37">
        <f t="shared" si="170"/>
        <v>2583.46</v>
      </c>
      <c r="H285" s="37">
        <f t="shared" si="170"/>
        <v>2720.01</v>
      </c>
    </row>
    <row r="286" spans="2:9">
      <c r="B286" s="277" t="str">
        <f t="shared" si="160"/>
        <v>3a</v>
      </c>
      <c r="C286" s="37">
        <f t="shared" ref="C286:H286" si="171">IF(C265="-","-",ROUND(C265*$B$273,2))</f>
        <v>1849.4</v>
      </c>
      <c r="D286" s="37">
        <f t="shared" si="171"/>
        <v>2048.54</v>
      </c>
      <c r="E286" s="37">
        <f t="shared" si="171"/>
        <v>2105.4699999999998</v>
      </c>
      <c r="F286" s="37">
        <f t="shared" si="171"/>
        <v>2196.5100000000002</v>
      </c>
      <c r="G286" s="37">
        <f t="shared" si="171"/>
        <v>2264.8000000000002</v>
      </c>
      <c r="H286" s="37">
        <f t="shared" si="171"/>
        <v>2425.25</v>
      </c>
    </row>
    <row r="294" spans="2:9">
      <c r="B294" s="154" t="s">
        <v>209</v>
      </c>
    </row>
    <row r="295" spans="2:9">
      <c r="B295" s="75" t="s">
        <v>211</v>
      </c>
      <c r="C295" s="75" t="str">
        <f t="shared" ref="C295:H295" si="172">C85</f>
        <v>Stufe 1</v>
      </c>
      <c r="D295" s="75" t="str">
        <f t="shared" si="172"/>
        <v>Stufe 2</v>
      </c>
      <c r="E295" s="75" t="str">
        <f t="shared" si="172"/>
        <v>Stufe 3</v>
      </c>
      <c r="F295" s="75" t="str">
        <f t="shared" si="172"/>
        <v>Stufe 4</v>
      </c>
      <c r="G295" s="75" t="str">
        <f t="shared" si="172"/>
        <v>Stufe 5</v>
      </c>
      <c r="H295" s="75" t="str">
        <f t="shared" si="172"/>
        <v>Stufe 6</v>
      </c>
    </row>
    <row r="296" spans="2:9">
      <c r="B296" s="277" t="str">
        <f>B65</f>
        <v>12a</v>
      </c>
      <c r="C296" s="37" t="str">
        <f t="shared" ref="C296:H296" si="173">IF(C275="-","-",ROUND(C275*$B$294,2))</f>
        <v>-</v>
      </c>
      <c r="D296" s="37" t="str">
        <f t="shared" si="173"/>
        <v>-</v>
      </c>
      <c r="E296" s="37">
        <f t="shared" si="173"/>
        <v>3750.55</v>
      </c>
      <c r="F296" s="37">
        <f t="shared" si="173"/>
        <v>4154.47</v>
      </c>
      <c r="G296" s="37">
        <f t="shared" si="173"/>
        <v>4673.78</v>
      </c>
      <c r="H296" s="37">
        <f t="shared" si="173"/>
        <v>4904.58</v>
      </c>
      <c r="I296" s="422"/>
    </row>
    <row r="297" spans="2:9">
      <c r="B297" s="277" t="str">
        <f t="shared" ref="B297:B307" si="174">B66</f>
        <v>11b</v>
      </c>
      <c r="C297" s="37" t="str">
        <f t="shared" ref="C297:H297" si="175">IF(C276="-","-",ROUND(C276*$B$294,2))</f>
        <v>-</v>
      </c>
      <c r="D297" s="37" t="str">
        <f t="shared" si="175"/>
        <v>-</v>
      </c>
      <c r="E297" s="37" t="str">
        <f t="shared" si="175"/>
        <v>-</v>
      </c>
      <c r="F297" s="37">
        <f t="shared" si="175"/>
        <v>3750.55</v>
      </c>
      <c r="G297" s="37">
        <f t="shared" si="175"/>
        <v>4252.55</v>
      </c>
      <c r="H297" s="37">
        <f t="shared" si="175"/>
        <v>4483.3599999999997</v>
      </c>
      <c r="I297" s="422"/>
    </row>
    <row r="298" spans="2:9">
      <c r="B298" s="277" t="str">
        <f t="shared" si="174"/>
        <v>11a</v>
      </c>
      <c r="C298" s="37" t="str">
        <f t="shared" ref="C298:H298" si="176">IF(C277="-","-",ROUND(C277*$B$294,2))</f>
        <v>-</v>
      </c>
      <c r="D298" s="37" t="str">
        <f t="shared" si="176"/>
        <v>-</v>
      </c>
      <c r="E298" s="37">
        <f t="shared" si="176"/>
        <v>3404.35</v>
      </c>
      <c r="F298" s="37">
        <f t="shared" si="176"/>
        <v>3750.55</v>
      </c>
      <c r="G298" s="37">
        <f t="shared" si="176"/>
        <v>4252.55</v>
      </c>
      <c r="H298" s="37" t="str">
        <f t="shared" si="176"/>
        <v>-</v>
      </c>
    </row>
    <row r="299" spans="2:9">
      <c r="B299" s="277" t="str">
        <f t="shared" si="174"/>
        <v>10a</v>
      </c>
      <c r="C299" s="37" t="str">
        <f t="shared" ref="C299:H299" si="177">IF(C278="-","-",ROUND(C278*$B$294,2))</f>
        <v>-</v>
      </c>
      <c r="D299" s="37" t="str">
        <f t="shared" si="177"/>
        <v>-</v>
      </c>
      <c r="E299" s="37">
        <f t="shared" si="177"/>
        <v>3288.95</v>
      </c>
      <c r="F299" s="37">
        <f t="shared" si="177"/>
        <v>3519.77</v>
      </c>
      <c r="G299" s="37">
        <f t="shared" si="177"/>
        <v>3958.28</v>
      </c>
      <c r="H299" s="37" t="str">
        <f t="shared" si="177"/>
        <v>-</v>
      </c>
    </row>
    <row r="300" spans="2:9">
      <c r="B300" s="277" t="str">
        <f t="shared" si="174"/>
        <v>9d</v>
      </c>
      <c r="C300" s="37" t="str">
        <f t="shared" ref="C300:H300" si="178">IF(C279="-","-",ROUND(C279*$B$294,2))</f>
        <v>-</v>
      </c>
      <c r="D300" s="37" t="str">
        <f t="shared" si="178"/>
        <v>-</v>
      </c>
      <c r="E300" s="37">
        <f t="shared" si="178"/>
        <v>3208.16</v>
      </c>
      <c r="F300" s="37">
        <f t="shared" si="178"/>
        <v>3496.68</v>
      </c>
      <c r="G300" s="37">
        <f t="shared" si="178"/>
        <v>3727.47</v>
      </c>
      <c r="H300" s="37" t="str">
        <f t="shared" si="178"/>
        <v>-</v>
      </c>
    </row>
    <row r="301" spans="2:9">
      <c r="B301" s="277" t="str">
        <f t="shared" si="174"/>
        <v>9c</v>
      </c>
      <c r="C301" s="37" t="str">
        <f t="shared" ref="C301:H301" si="179">IF(C280="-","-",ROUND(C280*$B$294,2))</f>
        <v>-</v>
      </c>
      <c r="D301" s="37" t="str">
        <f t="shared" si="179"/>
        <v>-</v>
      </c>
      <c r="E301" s="37">
        <f t="shared" si="179"/>
        <v>3115.86</v>
      </c>
      <c r="F301" s="37">
        <f t="shared" si="179"/>
        <v>3335.12</v>
      </c>
      <c r="G301" s="37">
        <f t="shared" si="179"/>
        <v>3542.83</v>
      </c>
      <c r="H301" s="37" t="str">
        <f t="shared" si="179"/>
        <v>-</v>
      </c>
    </row>
    <row r="302" spans="2:9">
      <c r="B302" s="277" t="str">
        <f t="shared" si="174"/>
        <v>9b</v>
      </c>
      <c r="C302" s="37" t="str">
        <f t="shared" ref="C302:H302" si="180">IF(C281="-","-",ROUND(C281*$B$294,2))</f>
        <v>-</v>
      </c>
      <c r="D302" s="37" t="str">
        <f t="shared" si="180"/>
        <v>-</v>
      </c>
      <c r="E302" s="37">
        <f t="shared" si="180"/>
        <v>2838.89</v>
      </c>
      <c r="F302" s="37">
        <f t="shared" si="180"/>
        <v>3208.16</v>
      </c>
      <c r="G302" s="37">
        <f t="shared" si="180"/>
        <v>3335.12</v>
      </c>
      <c r="H302" s="37" t="str">
        <f t="shared" si="180"/>
        <v>-</v>
      </c>
    </row>
    <row r="303" spans="2:9">
      <c r="B303" s="277" t="str">
        <f t="shared" si="174"/>
        <v>9a</v>
      </c>
      <c r="C303" s="37" t="str">
        <f t="shared" ref="C303:H303" si="181">IF(C282="-","-",ROUND(C282*$B$294,2))</f>
        <v>-</v>
      </c>
      <c r="D303" s="37" t="str">
        <f t="shared" si="181"/>
        <v>-</v>
      </c>
      <c r="E303" s="37">
        <f t="shared" si="181"/>
        <v>2838.89</v>
      </c>
      <c r="F303" s="37">
        <f t="shared" si="181"/>
        <v>2936.98</v>
      </c>
      <c r="G303" s="37">
        <f t="shared" si="181"/>
        <v>3115.86</v>
      </c>
      <c r="H303" s="37" t="str">
        <f t="shared" si="181"/>
        <v>-</v>
      </c>
    </row>
    <row r="304" spans="2:9">
      <c r="B304" s="277" t="str">
        <f t="shared" si="174"/>
        <v>8a</v>
      </c>
      <c r="C304" s="37">
        <f t="shared" ref="C304:H304" si="182">IF(C283="-","-",ROUND(C283*$B$294,2))</f>
        <v>2365.73</v>
      </c>
      <c r="D304" s="37">
        <f t="shared" si="182"/>
        <v>2515.75</v>
      </c>
      <c r="E304" s="37">
        <f t="shared" si="182"/>
        <v>2642.71</v>
      </c>
      <c r="F304" s="37">
        <f t="shared" si="182"/>
        <v>2746.57</v>
      </c>
      <c r="G304" s="37">
        <f t="shared" si="182"/>
        <v>2936.98</v>
      </c>
      <c r="H304" s="37">
        <f t="shared" si="182"/>
        <v>3115.86</v>
      </c>
    </row>
    <row r="305" spans="2:9">
      <c r="B305" s="277" t="str">
        <f t="shared" si="174"/>
        <v>7a</v>
      </c>
      <c r="C305" s="37">
        <f t="shared" ref="C305:H305" si="183">IF(C284="-","-",ROUND(C284*$B$294,2))</f>
        <v>2192.64</v>
      </c>
      <c r="D305" s="37">
        <f t="shared" si="183"/>
        <v>2365.73</v>
      </c>
      <c r="E305" s="37">
        <f t="shared" si="183"/>
        <v>2515.75</v>
      </c>
      <c r="F305" s="37">
        <f t="shared" si="183"/>
        <v>2746.57</v>
      </c>
      <c r="G305" s="37">
        <f t="shared" si="183"/>
        <v>2861.96</v>
      </c>
      <c r="H305" s="37">
        <f t="shared" si="183"/>
        <v>2980.84</v>
      </c>
    </row>
    <row r="306" spans="2:9">
      <c r="B306" s="277" t="str">
        <f t="shared" si="174"/>
        <v>4a</v>
      </c>
      <c r="C306" s="37">
        <f t="shared" ref="C306:H306" si="184">IF(C285="-","-",ROUND(C285*$B$294,2))</f>
        <v>1964.13</v>
      </c>
      <c r="D306" s="37">
        <f t="shared" si="184"/>
        <v>2111.86</v>
      </c>
      <c r="E306" s="37">
        <f t="shared" si="184"/>
        <v>2250.33</v>
      </c>
      <c r="F306" s="37">
        <f t="shared" si="184"/>
        <v>2544.61</v>
      </c>
      <c r="G306" s="37">
        <f t="shared" si="184"/>
        <v>2619.63</v>
      </c>
      <c r="H306" s="37">
        <f t="shared" si="184"/>
        <v>2758.09</v>
      </c>
    </row>
    <row r="307" spans="2:9">
      <c r="B307" s="277" t="str">
        <f t="shared" si="174"/>
        <v>3a</v>
      </c>
      <c r="C307" s="37">
        <f t="shared" ref="C307:H307" si="185">IF(C286="-","-",ROUND(C286*$B$294,2))</f>
        <v>1875.29</v>
      </c>
      <c r="D307" s="37">
        <f t="shared" si="185"/>
        <v>2077.2199999999998</v>
      </c>
      <c r="E307" s="37">
        <f t="shared" si="185"/>
        <v>2134.9499999999998</v>
      </c>
      <c r="F307" s="37">
        <f t="shared" si="185"/>
        <v>2227.2600000000002</v>
      </c>
      <c r="G307" s="37">
        <f t="shared" si="185"/>
        <v>2296.5100000000002</v>
      </c>
      <c r="H307" s="37">
        <f t="shared" si="185"/>
        <v>2459.1999999999998</v>
      </c>
    </row>
    <row r="315" spans="2:9">
      <c r="B315" s="154" t="s">
        <v>262</v>
      </c>
      <c r="C315" s="135">
        <v>90</v>
      </c>
    </row>
    <row r="316" spans="2:9">
      <c r="B316" s="75">
        <v>2014</v>
      </c>
      <c r="C316" s="75" t="str">
        <f t="shared" ref="C316:H316" si="186">C106</f>
        <v>Stufe 1</v>
      </c>
      <c r="D316" s="75" t="str">
        <f t="shared" si="186"/>
        <v>Stufe 2</v>
      </c>
      <c r="E316" s="75" t="str">
        <f t="shared" si="186"/>
        <v>Stufe 3</v>
      </c>
      <c r="F316" s="75" t="str">
        <f t="shared" si="186"/>
        <v>Stufe 4</v>
      </c>
      <c r="G316" s="75" t="str">
        <f t="shared" si="186"/>
        <v>Stufe 5</v>
      </c>
      <c r="H316" s="75" t="str">
        <f t="shared" si="186"/>
        <v>Stufe 6</v>
      </c>
    </row>
    <row r="317" spans="2:9">
      <c r="B317" s="277" t="str">
        <f>B86</f>
        <v>12a</v>
      </c>
      <c r="C317" s="37" t="str">
        <f t="shared" ref="C317:H317" si="187">IF(C296="-","-",IF((ROUND(C296*$B$315,2)-C296)&lt;$C$315,C296+$C$315,ROUND(C296*$B$315,2)))</f>
        <v>-</v>
      </c>
      <c r="D317" s="37" t="str">
        <f t="shared" si="187"/>
        <v>-</v>
      </c>
      <c r="E317" s="37">
        <f t="shared" si="187"/>
        <v>3863.07</v>
      </c>
      <c r="F317" s="37">
        <f t="shared" si="187"/>
        <v>4279.1000000000004</v>
      </c>
      <c r="G317" s="37">
        <f t="shared" si="187"/>
        <v>4813.99</v>
      </c>
      <c r="H317" s="37">
        <f t="shared" si="187"/>
        <v>5051.72</v>
      </c>
      <c r="I317" s="422"/>
    </row>
    <row r="318" spans="2:9">
      <c r="B318" s="277" t="str">
        <f t="shared" ref="B318:B328" si="188">B87</f>
        <v>11b</v>
      </c>
      <c r="C318" s="37" t="str">
        <f t="shared" ref="C318:H318" si="189">IF(C297="-","-",IF((ROUND(C297*$B$315,2)-C297)&lt;$C$315,C297+$C$315,ROUND(C297*$B$315,2)))</f>
        <v>-</v>
      </c>
      <c r="D318" s="37" t="str">
        <f t="shared" si="189"/>
        <v>-</v>
      </c>
      <c r="E318" s="37" t="str">
        <f t="shared" si="189"/>
        <v>-</v>
      </c>
      <c r="F318" s="37">
        <f t="shared" si="189"/>
        <v>3863.07</v>
      </c>
      <c r="G318" s="37">
        <f t="shared" si="189"/>
        <v>4380.13</v>
      </c>
      <c r="H318" s="37">
        <f t="shared" si="189"/>
        <v>4617.8599999999997</v>
      </c>
      <c r="I318" s="422"/>
    </row>
    <row r="319" spans="2:9">
      <c r="B319" s="277" t="str">
        <f t="shared" si="188"/>
        <v>11a</v>
      </c>
      <c r="C319" s="37" t="str">
        <f t="shared" ref="C319:H319" si="190">IF(C298="-","-",IF((ROUND(C298*$B$315,2)-C298)&lt;$C$315,C298+$C$315,ROUND(C298*$B$315,2)))</f>
        <v>-</v>
      </c>
      <c r="D319" s="37" t="str">
        <f t="shared" si="190"/>
        <v>-</v>
      </c>
      <c r="E319" s="37">
        <f t="shared" si="190"/>
        <v>3506.48</v>
      </c>
      <c r="F319" s="37">
        <f t="shared" si="190"/>
        <v>3863.07</v>
      </c>
      <c r="G319" s="37">
        <f t="shared" si="190"/>
        <v>4380.13</v>
      </c>
      <c r="H319" s="37" t="str">
        <f t="shared" si="190"/>
        <v>-</v>
      </c>
    </row>
    <row r="320" spans="2:9">
      <c r="B320" s="277" t="str">
        <f t="shared" si="188"/>
        <v>10a</v>
      </c>
      <c r="C320" s="37" t="str">
        <f t="shared" ref="C320:H320" si="191">IF(C299="-","-",IF((ROUND(C299*$B$315,2)-C299)&lt;$C$315,C299+$C$315,ROUND(C299*$B$315,2)))</f>
        <v>-</v>
      </c>
      <c r="D320" s="37" t="str">
        <f t="shared" si="191"/>
        <v>-</v>
      </c>
      <c r="E320" s="37">
        <f t="shared" si="191"/>
        <v>3387.62</v>
      </c>
      <c r="F320" s="37">
        <f t="shared" si="191"/>
        <v>3625.36</v>
      </c>
      <c r="G320" s="37">
        <f t="shared" si="191"/>
        <v>4077.03</v>
      </c>
      <c r="H320" s="37" t="str">
        <f t="shared" si="191"/>
        <v>-</v>
      </c>
    </row>
    <row r="321" spans="2:8">
      <c r="B321" s="277" t="str">
        <f t="shared" si="188"/>
        <v>9d</v>
      </c>
      <c r="C321" s="37" t="str">
        <f t="shared" ref="C321:H321" si="192">IF(C300="-","-",IF((ROUND(C300*$B$315,2)-C300)&lt;$C$315,C300+$C$315,ROUND(C300*$B$315,2)))</f>
        <v>-</v>
      </c>
      <c r="D321" s="37" t="str">
        <f t="shared" si="192"/>
        <v>-</v>
      </c>
      <c r="E321" s="37">
        <f t="shared" si="192"/>
        <v>3304.4</v>
      </c>
      <c r="F321" s="37">
        <f t="shared" si="192"/>
        <v>3601.58</v>
      </c>
      <c r="G321" s="37">
        <f t="shared" si="192"/>
        <v>3839.29</v>
      </c>
      <c r="H321" s="37" t="str">
        <f t="shared" si="192"/>
        <v>-</v>
      </c>
    </row>
    <row r="322" spans="2:8">
      <c r="B322" s="277" t="str">
        <f t="shared" si="188"/>
        <v>9c</v>
      </c>
      <c r="C322" s="37" t="str">
        <f t="shared" ref="C322:H322" si="193">IF(C301="-","-",IF((ROUND(C301*$B$315,2)-C301)&lt;$C$315,C301+$C$315,ROUND(C301*$B$315,2)))</f>
        <v>-</v>
      </c>
      <c r="D322" s="37" t="str">
        <f t="shared" si="193"/>
        <v>-</v>
      </c>
      <c r="E322" s="37">
        <f t="shared" si="193"/>
        <v>3209.34</v>
      </c>
      <c r="F322" s="37">
        <f t="shared" si="193"/>
        <v>3435.17</v>
      </c>
      <c r="G322" s="37">
        <f t="shared" si="193"/>
        <v>3649.11</v>
      </c>
      <c r="H322" s="37" t="str">
        <f t="shared" si="193"/>
        <v>-</v>
      </c>
    </row>
    <row r="323" spans="2:8">
      <c r="B323" s="277" t="str">
        <f t="shared" si="188"/>
        <v>9b</v>
      </c>
      <c r="C323" s="37" t="str">
        <f t="shared" ref="C323:H323" si="194">IF(C302="-","-",IF((ROUND(C302*$B$315,2)-C302)&lt;$C$315,C302+$C$315,ROUND(C302*$B$315,2)))</f>
        <v>-</v>
      </c>
      <c r="D323" s="37" t="str">
        <f t="shared" si="194"/>
        <v>-</v>
      </c>
      <c r="E323" s="37">
        <f t="shared" si="194"/>
        <v>2928.89</v>
      </c>
      <c r="F323" s="37">
        <f t="shared" si="194"/>
        <v>3304.4</v>
      </c>
      <c r="G323" s="37">
        <f t="shared" si="194"/>
        <v>3435.17</v>
      </c>
      <c r="H323" s="37" t="str">
        <f t="shared" si="194"/>
        <v>-</v>
      </c>
    </row>
    <row r="324" spans="2:8">
      <c r="B324" s="277" t="str">
        <f t="shared" si="188"/>
        <v>9a</v>
      </c>
      <c r="C324" s="37" t="str">
        <f t="shared" ref="C324:H324" si="195">IF(C303="-","-",IF((ROUND(C303*$B$315,2)-C303)&lt;$C$315,C303+$C$315,ROUND(C303*$B$315,2)))</f>
        <v>-</v>
      </c>
      <c r="D324" s="37" t="str">
        <f t="shared" si="195"/>
        <v>-</v>
      </c>
      <c r="E324" s="37">
        <f t="shared" si="195"/>
        <v>2928.89</v>
      </c>
      <c r="F324" s="37">
        <f t="shared" si="195"/>
        <v>3026.98</v>
      </c>
      <c r="G324" s="37">
        <f t="shared" si="195"/>
        <v>3209.34</v>
      </c>
      <c r="H324" s="37" t="str">
        <f t="shared" si="195"/>
        <v>-</v>
      </c>
    </row>
    <row r="325" spans="2:8">
      <c r="B325" s="277" t="str">
        <f t="shared" si="188"/>
        <v>8a</v>
      </c>
      <c r="C325" s="37">
        <f t="shared" ref="C325:H325" si="196">IF(C304="-","-",IF((ROUND(C304*$B$315,2)-C304)&lt;$C$315,C304+$C$315,ROUND(C304*$B$315,2)))</f>
        <v>2455.73</v>
      </c>
      <c r="D325" s="37">
        <f t="shared" si="196"/>
        <v>2605.75</v>
      </c>
      <c r="E325" s="37">
        <f t="shared" si="196"/>
        <v>2732.71</v>
      </c>
      <c r="F325" s="37">
        <f t="shared" si="196"/>
        <v>2836.57</v>
      </c>
      <c r="G325" s="37">
        <f t="shared" si="196"/>
        <v>3026.98</v>
      </c>
      <c r="H325" s="37">
        <f t="shared" si="196"/>
        <v>3209.34</v>
      </c>
    </row>
    <row r="326" spans="2:8">
      <c r="B326" s="277" t="str">
        <f t="shared" si="188"/>
        <v>7a</v>
      </c>
      <c r="C326" s="37">
        <f t="shared" ref="C326:H326" si="197">IF(C305="-","-",IF((ROUND(C305*$B$315,2)-C305)&lt;$C$315,C305+$C$315,ROUND(C305*$B$315,2)))</f>
        <v>2282.64</v>
      </c>
      <c r="D326" s="37">
        <f t="shared" si="197"/>
        <v>2455.73</v>
      </c>
      <c r="E326" s="37">
        <f t="shared" si="197"/>
        <v>2605.75</v>
      </c>
      <c r="F326" s="37">
        <f t="shared" si="197"/>
        <v>2836.57</v>
      </c>
      <c r="G326" s="37">
        <f t="shared" si="197"/>
        <v>2951.96</v>
      </c>
      <c r="H326" s="37">
        <f t="shared" si="197"/>
        <v>3070.84</v>
      </c>
    </row>
    <row r="327" spans="2:8">
      <c r="B327" s="277" t="str">
        <f t="shared" si="188"/>
        <v>4a</v>
      </c>
      <c r="C327" s="37">
        <f t="shared" ref="C327:H327" si="198">IF(C306="-","-",IF((ROUND(C306*$B$315,2)-C306)&lt;$C$315,C306+$C$315,ROUND(C306*$B$315,2)))</f>
        <v>2054.13</v>
      </c>
      <c r="D327" s="37">
        <f t="shared" si="198"/>
        <v>2201.86</v>
      </c>
      <c r="E327" s="37">
        <f t="shared" si="198"/>
        <v>2340.33</v>
      </c>
      <c r="F327" s="37">
        <f t="shared" si="198"/>
        <v>2634.61</v>
      </c>
      <c r="G327" s="37">
        <f t="shared" si="198"/>
        <v>2709.63</v>
      </c>
      <c r="H327" s="37">
        <f t="shared" si="198"/>
        <v>2848.09</v>
      </c>
    </row>
    <row r="328" spans="2:8">
      <c r="B328" s="277" t="str">
        <f t="shared" si="188"/>
        <v>3a</v>
      </c>
      <c r="C328" s="37">
        <f t="shared" ref="C328:H328" si="199">IF(C307="-","-",IF((ROUND(C307*$B$315,2)-C307)&lt;$C$315,C307+$C$315,ROUND(C307*$B$315,2)))</f>
        <v>1965.29</v>
      </c>
      <c r="D328" s="37">
        <f t="shared" si="199"/>
        <v>2167.2199999999998</v>
      </c>
      <c r="E328" s="37">
        <f t="shared" si="199"/>
        <v>2224.9499999999998</v>
      </c>
      <c r="F328" s="37">
        <f t="shared" si="199"/>
        <v>2317.2600000000002</v>
      </c>
      <c r="G328" s="37">
        <f t="shared" si="199"/>
        <v>2386.5100000000002</v>
      </c>
      <c r="H328" s="37">
        <f t="shared" si="199"/>
        <v>2549.1999999999998</v>
      </c>
    </row>
    <row r="336" spans="2:8">
      <c r="B336" s="172" t="s">
        <v>264</v>
      </c>
    </row>
    <row r="337" spans="1:16">
      <c r="A337" s="155" t="s">
        <v>263</v>
      </c>
      <c r="B337" s="75">
        <v>2015</v>
      </c>
      <c r="C337" s="75" t="str">
        <f t="shared" ref="C337:H337" si="200">C127</f>
        <v>Stufe 1</v>
      </c>
      <c r="D337" s="75" t="str">
        <f t="shared" si="200"/>
        <v>Stufe 2</v>
      </c>
      <c r="E337" s="75" t="str">
        <f t="shared" si="200"/>
        <v>Stufe 3</v>
      </c>
      <c r="F337" s="75" t="str">
        <f t="shared" si="200"/>
        <v>Stufe 4</v>
      </c>
      <c r="G337" s="75" t="str">
        <f t="shared" si="200"/>
        <v>Stufe 5</v>
      </c>
      <c r="H337" s="75" t="str">
        <f t="shared" si="200"/>
        <v>Stufe 6</v>
      </c>
    </row>
    <row r="338" spans="1:16">
      <c r="B338" s="277" t="str">
        <f>B107</f>
        <v>12a</v>
      </c>
      <c r="C338" s="37" t="str">
        <f t="shared" ref="C338:H338" si="201">IF(C317="-","-",ROUND(C317*$B$336,2))</f>
        <v>-</v>
      </c>
      <c r="D338" s="37" t="str">
        <f t="shared" si="201"/>
        <v>-</v>
      </c>
      <c r="E338" s="37">
        <f t="shared" si="201"/>
        <v>3955.78</v>
      </c>
      <c r="F338" s="37">
        <f t="shared" si="201"/>
        <v>4381.8</v>
      </c>
      <c r="G338" s="37">
        <f t="shared" si="201"/>
        <v>4929.53</v>
      </c>
      <c r="H338" s="37">
        <f t="shared" si="201"/>
        <v>5172.96</v>
      </c>
      <c r="I338" s="422"/>
      <c r="J338" s="277" t="s">
        <v>357</v>
      </c>
      <c r="K338" s="37" t="s">
        <v>15</v>
      </c>
      <c r="L338" s="37">
        <v>3865</v>
      </c>
      <c r="M338" s="414">
        <v>4000.5</v>
      </c>
      <c r="N338" s="414">
        <v>4438</v>
      </c>
      <c r="O338" s="414">
        <v>4948</v>
      </c>
      <c r="P338" s="37">
        <v>5172.96</v>
      </c>
    </row>
    <row r="339" spans="1:16">
      <c r="B339" s="277" t="str">
        <f t="shared" ref="B339:B349" si="202">B108</f>
        <v>11b</v>
      </c>
      <c r="C339" s="37" t="str">
        <f t="shared" ref="C339:H339" si="203">IF(C318="-","-",ROUND(C318*$B$336,2))</f>
        <v>-</v>
      </c>
      <c r="D339" s="37" t="str">
        <f t="shared" si="203"/>
        <v>-</v>
      </c>
      <c r="E339" s="37" t="str">
        <f t="shared" si="203"/>
        <v>-</v>
      </c>
      <c r="F339" s="37">
        <f t="shared" si="203"/>
        <v>3955.78</v>
      </c>
      <c r="G339" s="37">
        <f t="shared" si="203"/>
        <v>4485.25</v>
      </c>
      <c r="H339" s="37">
        <f t="shared" si="203"/>
        <v>4728.6899999999996</v>
      </c>
      <c r="I339" s="422"/>
      <c r="J339" s="277" t="s">
        <v>358</v>
      </c>
      <c r="K339" s="37" t="s">
        <v>15</v>
      </c>
      <c r="L339" s="37">
        <v>3782</v>
      </c>
      <c r="M339" s="37">
        <v>3906</v>
      </c>
      <c r="N339" s="37">
        <v>4216</v>
      </c>
      <c r="O339" s="37">
        <v>4587</v>
      </c>
      <c r="P339" s="37">
        <v>4728.6899999999996</v>
      </c>
    </row>
    <row r="340" spans="1:16">
      <c r="B340" s="277" t="str">
        <f t="shared" si="202"/>
        <v>11a</v>
      </c>
      <c r="C340" s="37" t="str">
        <f t="shared" ref="C340:H340" si="204">IF(C319="-","-",ROUND(C319*$B$336,2))</f>
        <v>-</v>
      </c>
      <c r="D340" s="37" t="str">
        <f t="shared" si="204"/>
        <v>-</v>
      </c>
      <c r="E340" s="37">
        <f t="shared" si="204"/>
        <v>3590.64</v>
      </c>
      <c r="F340" s="37">
        <f t="shared" si="204"/>
        <v>3955.78</v>
      </c>
      <c r="G340" s="37">
        <f t="shared" si="204"/>
        <v>4485.25</v>
      </c>
      <c r="H340" s="37" t="str">
        <f t="shared" si="204"/>
        <v>-</v>
      </c>
      <c r="J340" s="277" t="s">
        <v>359</v>
      </c>
      <c r="K340" s="37" t="s">
        <v>15</v>
      </c>
      <c r="L340" s="37">
        <v>3690.5</v>
      </c>
      <c r="M340" s="37">
        <v>3811.5</v>
      </c>
      <c r="N340" s="37">
        <v>4114</v>
      </c>
      <c r="O340" s="37">
        <v>4525</v>
      </c>
      <c r="P340" s="37">
        <v>4600</v>
      </c>
    </row>
    <row r="341" spans="1:16">
      <c r="B341" s="277" t="str">
        <f t="shared" si="202"/>
        <v>10a</v>
      </c>
      <c r="C341" s="37" t="str">
        <f t="shared" ref="C341:H341" si="205">IF(C320="-","-",ROUND(C320*$B$336,2))</f>
        <v>-</v>
      </c>
      <c r="D341" s="37" t="str">
        <f t="shared" si="205"/>
        <v>-</v>
      </c>
      <c r="E341" s="37">
        <f t="shared" si="205"/>
        <v>3468.92</v>
      </c>
      <c r="F341" s="37">
        <f t="shared" si="205"/>
        <v>3712.37</v>
      </c>
      <c r="G341" s="37">
        <f t="shared" si="205"/>
        <v>4174.88</v>
      </c>
      <c r="H341" s="37" t="str">
        <f t="shared" si="205"/>
        <v>-</v>
      </c>
      <c r="J341" s="277" t="s">
        <v>360</v>
      </c>
      <c r="K341" s="37" t="s">
        <v>15</v>
      </c>
      <c r="L341" s="37">
        <v>3599</v>
      </c>
      <c r="M341" s="37">
        <v>3717</v>
      </c>
      <c r="N341" s="37">
        <v>4012</v>
      </c>
      <c r="O341" s="37">
        <v>4225</v>
      </c>
      <c r="P341" s="37">
        <v>4280</v>
      </c>
    </row>
    <row r="342" spans="1:16">
      <c r="B342" s="277" t="str">
        <f t="shared" si="202"/>
        <v>9d</v>
      </c>
      <c r="C342" s="37" t="str">
        <f t="shared" ref="C342:H342" si="206">IF(C321="-","-",ROUND(C321*$B$336,2))</f>
        <v>-</v>
      </c>
      <c r="D342" s="37" t="str">
        <f t="shared" si="206"/>
        <v>-</v>
      </c>
      <c r="E342" s="37">
        <f t="shared" si="206"/>
        <v>3383.71</v>
      </c>
      <c r="F342" s="37">
        <f t="shared" si="206"/>
        <v>3688.02</v>
      </c>
      <c r="G342" s="37">
        <f t="shared" si="206"/>
        <v>3931.43</v>
      </c>
      <c r="H342" s="37" t="str">
        <f t="shared" si="206"/>
        <v>-</v>
      </c>
      <c r="J342" s="277" t="s">
        <v>361</v>
      </c>
      <c r="K342" s="37" t="s">
        <v>15</v>
      </c>
      <c r="L342" s="37">
        <v>3416</v>
      </c>
      <c r="M342" s="37">
        <v>3528</v>
      </c>
      <c r="N342" s="37">
        <v>3808</v>
      </c>
      <c r="O342" s="37">
        <v>3980</v>
      </c>
      <c r="P342" s="37">
        <v>4060</v>
      </c>
    </row>
    <row r="343" spans="1:16">
      <c r="B343" s="277" t="str">
        <f t="shared" si="202"/>
        <v>9c</v>
      </c>
      <c r="C343" s="37" t="str">
        <f t="shared" ref="C343:H343" si="207">IF(C322="-","-",ROUND(C322*$B$336,2))</f>
        <v>-</v>
      </c>
      <c r="D343" s="37" t="str">
        <f t="shared" si="207"/>
        <v>-</v>
      </c>
      <c r="E343" s="37">
        <f t="shared" si="207"/>
        <v>3286.36</v>
      </c>
      <c r="F343" s="37">
        <f t="shared" si="207"/>
        <v>3517.61</v>
      </c>
      <c r="G343" s="37">
        <f t="shared" si="207"/>
        <v>3736.69</v>
      </c>
      <c r="H343" s="37" t="str">
        <f t="shared" si="207"/>
        <v>-</v>
      </c>
      <c r="J343" s="277" t="s">
        <v>362</v>
      </c>
      <c r="K343" s="37" t="s">
        <v>15</v>
      </c>
      <c r="L343" s="37">
        <v>3233</v>
      </c>
      <c r="M343" s="37">
        <v>3339</v>
      </c>
      <c r="N343" s="37">
        <v>3604</v>
      </c>
      <c r="O343" s="37">
        <v>3780</v>
      </c>
      <c r="P343" s="37">
        <v>3860</v>
      </c>
    </row>
    <row r="344" spans="1:16">
      <c r="B344" s="277" t="str">
        <f t="shared" si="202"/>
        <v>9b</v>
      </c>
      <c r="C344" s="37" t="str">
        <f t="shared" ref="C344:H344" si="208">IF(C323="-","-",ROUND(C323*$B$336,2))</f>
        <v>-</v>
      </c>
      <c r="D344" s="37" t="str">
        <f t="shared" si="208"/>
        <v>-</v>
      </c>
      <c r="E344" s="37">
        <f t="shared" si="208"/>
        <v>2999.18</v>
      </c>
      <c r="F344" s="37">
        <f t="shared" si="208"/>
        <v>3383.71</v>
      </c>
      <c r="G344" s="37">
        <f t="shared" si="208"/>
        <v>3517.61</v>
      </c>
      <c r="H344" s="37" t="str">
        <f t="shared" si="208"/>
        <v>-</v>
      </c>
      <c r="J344" s="277" t="s">
        <v>363</v>
      </c>
      <c r="K344" s="37" t="s">
        <v>15</v>
      </c>
      <c r="L344" s="37">
        <v>3050</v>
      </c>
      <c r="M344" s="414">
        <v>3150</v>
      </c>
      <c r="N344" s="414">
        <v>3430</v>
      </c>
      <c r="O344" s="414">
        <v>3565</v>
      </c>
      <c r="P344" s="414">
        <v>3650</v>
      </c>
    </row>
    <row r="345" spans="1:16">
      <c r="B345" s="277" t="str">
        <f t="shared" si="202"/>
        <v>9a</v>
      </c>
      <c r="C345" s="37" t="str">
        <f t="shared" ref="C345:H345" si="209">IF(C324="-","-",ROUND(C324*$B$336,2))</f>
        <v>-</v>
      </c>
      <c r="D345" s="37" t="str">
        <f t="shared" si="209"/>
        <v>-</v>
      </c>
      <c r="E345" s="37">
        <f t="shared" si="209"/>
        <v>2999.18</v>
      </c>
      <c r="F345" s="37">
        <f t="shared" si="209"/>
        <v>3099.63</v>
      </c>
      <c r="G345" s="37">
        <f t="shared" si="209"/>
        <v>3286.36</v>
      </c>
      <c r="H345" s="37" t="str">
        <f t="shared" si="209"/>
        <v>-</v>
      </c>
      <c r="J345" s="277" t="s">
        <v>364</v>
      </c>
      <c r="K345" s="37" t="s">
        <v>15</v>
      </c>
      <c r="L345" s="37">
        <v>2900</v>
      </c>
      <c r="M345" s="414">
        <v>3050</v>
      </c>
      <c r="N345" s="414">
        <v>3150</v>
      </c>
      <c r="O345" s="414">
        <v>3340</v>
      </c>
      <c r="P345" s="414">
        <v>3420</v>
      </c>
    </row>
    <row r="346" spans="1:16">
      <c r="B346" s="277" t="str">
        <f t="shared" si="202"/>
        <v>8a</v>
      </c>
      <c r="C346" s="37">
        <f t="shared" ref="C346:H346" si="210">IF(C325="-","-",ROUND(C325*$B$336,2))</f>
        <v>2514.67</v>
      </c>
      <c r="D346" s="37">
        <f t="shared" si="210"/>
        <v>2668.29</v>
      </c>
      <c r="E346" s="37">
        <f t="shared" si="210"/>
        <v>2798.3</v>
      </c>
      <c r="F346" s="37">
        <f t="shared" si="210"/>
        <v>2904.65</v>
      </c>
      <c r="G346" s="37">
        <f t="shared" si="210"/>
        <v>3099.63</v>
      </c>
      <c r="H346" s="37">
        <f t="shared" si="210"/>
        <v>3286.36</v>
      </c>
      <c r="J346" s="277" t="s">
        <v>365</v>
      </c>
      <c r="K346" s="414" t="s">
        <v>15</v>
      </c>
      <c r="L346" s="37">
        <v>2668.29</v>
      </c>
      <c r="M346" s="37">
        <v>2798.3</v>
      </c>
      <c r="N346" s="414">
        <v>2965</v>
      </c>
      <c r="O346" s="37">
        <v>3099.63</v>
      </c>
      <c r="P346" s="37">
        <v>3286.36</v>
      </c>
    </row>
    <row r="347" spans="1:16">
      <c r="B347" s="277" t="str">
        <f t="shared" si="202"/>
        <v>7a</v>
      </c>
      <c r="C347" s="37">
        <f t="shared" ref="C347:H347" si="211">IF(C326="-","-",ROUND(C326*$B$336,2))</f>
        <v>2337.42</v>
      </c>
      <c r="D347" s="37">
        <f t="shared" si="211"/>
        <v>2514.67</v>
      </c>
      <c r="E347" s="37">
        <f t="shared" si="211"/>
        <v>2668.29</v>
      </c>
      <c r="F347" s="37">
        <f t="shared" si="211"/>
        <v>2904.65</v>
      </c>
      <c r="G347" s="37">
        <f t="shared" si="211"/>
        <v>3022.81</v>
      </c>
      <c r="H347" s="37">
        <f t="shared" si="211"/>
        <v>3144.54</v>
      </c>
      <c r="J347" s="277" t="s">
        <v>366</v>
      </c>
      <c r="K347" s="414" t="s">
        <v>15</v>
      </c>
      <c r="L347" s="37">
        <v>2514.67</v>
      </c>
      <c r="M347" s="37">
        <v>2668.29</v>
      </c>
      <c r="N347" s="37">
        <v>2904.65</v>
      </c>
      <c r="O347" s="37">
        <v>3022.81</v>
      </c>
      <c r="P347" s="37">
        <v>3144.54</v>
      </c>
    </row>
    <row r="348" spans="1:16">
      <c r="B348" s="277" t="str">
        <f t="shared" si="202"/>
        <v>4a</v>
      </c>
      <c r="C348" s="37">
        <f t="shared" ref="C348:H348" si="212">IF(C327="-","-",ROUND(C327*$B$336,2))</f>
        <v>2103.4299999999998</v>
      </c>
      <c r="D348" s="37">
        <f t="shared" si="212"/>
        <v>2254.6999999999998</v>
      </c>
      <c r="E348" s="37">
        <f t="shared" si="212"/>
        <v>2396.5</v>
      </c>
      <c r="F348" s="37">
        <f t="shared" si="212"/>
        <v>2697.84</v>
      </c>
      <c r="G348" s="37">
        <f t="shared" si="212"/>
        <v>2774.66</v>
      </c>
      <c r="H348" s="37">
        <f t="shared" si="212"/>
        <v>2916.44</v>
      </c>
      <c r="J348" s="277" t="s">
        <v>367</v>
      </c>
      <c r="K348" s="37">
        <v>2103.4299999999998</v>
      </c>
      <c r="L348" s="37">
        <v>2254.6999999999998</v>
      </c>
      <c r="M348" s="37">
        <v>2396.5</v>
      </c>
      <c r="N348" s="37">
        <v>2697.84</v>
      </c>
      <c r="O348" s="37">
        <v>2774.66</v>
      </c>
      <c r="P348" s="37">
        <v>2916.44</v>
      </c>
    </row>
    <row r="349" spans="1:16">
      <c r="B349" s="277" t="str">
        <f t="shared" si="202"/>
        <v>3a</v>
      </c>
      <c r="C349" s="37">
        <f t="shared" ref="C349:H349" si="213">IF(C328="-","-",ROUND(C328*$B$336,2))</f>
        <v>2012.46</v>
      </c>
      <c r="D349" s="37">
        <f t="shared" si="213"/>
        <v>2219.23</v>
      </c>
      <c r="E349" s="37">
        <f t="shared" si="213"/>
        <v>2278.35</v>
      </c>
      <c r="F349" s="37">
        <f t="shared" si="213"/>
        <v>2372.87</v>
      </c>
      <c r="G349" s="37">
        <f t="shared" si="213"/>
        <v>2443.79</v>
      </c>
      <c r="H349" s="37">
        <f t="shared" si="213"/>
        <v>2610.38</v>
      </c>
      <c r="J349" s="277" t="s">
        <v>368</v>
      </c>
      <c r="K349" s="37">
        <v>2012.46</v>
      </c>
      <c r="L349" s="37">
        <v>2219.23</v>
      </c>
      <c r="M349" s="37">
        <v>2278.35</v>
      </c>
      <c r="N349" s="37">
        <v>2372.87</v>
      </c>
      <c r="O349" s="37">
        <v>2443.79</v>
      </c>
      <c r="P349" s="37">
        <v>2610.38</v>
      </c>
    </row>
    <row r="357" spans="1:9">
      <c r="B357" s="172" t="s">
        <v>264</v>
      </c>
    </row>
    <row r="358" spans="1:9">
      <c r="A358" s="155" t="s">
        <v>354</v>
      </c>
      <c r="B358" s="75">
        <v>2016</v>
      </c>
      <c r="C358" s="75" t="str">
        <f t="shared" ref="C358:H358" si="214">C148</f>
        <v>Stufe 1</v>
      </c>
      <c r="D358" s="75" t="str">
        <f t="shared" si="214"/>
        <v>Stufe 2</v>
      </c>
      <c r="E358" s="75" t="str">
        <f t="shared" si="214"/>
        <v>Stufe 3</v>
      </c>
      <c r="F358" s="75" t="str">
        <f t="shared" si="214"/>
        <v>Stufe 4</v>
      </c>
      <c r="G358" s="75" t="str">
        <f t="shared" si="214"/>
        <v>Stufe 5</v>
      </c>
      <c r="H358" s="75" t="str">
        <f t="shared" si="214"/>
        <v>Stufe 6</v>
      </c>
    </row>
    <row r="359" spans="1:9">
      <c r="B359" s="277" t="str">
        <f>B128</f>
        <v>12a</v>
      </c>
      <c r="C359" s="37" t="str">
        <f t="shared" ref="C359:H359" si="215">IF(C338="-","-",ROUND(C338*$B$357,2))</f>
        <v>-</v>
      </c>
      <c r="D359" s="37" t="str">
        <f t="shared" si="215"/>
        <v>-</v>
      </c>
      <c r="E359" s="37">
        <f t="shared" si="215"/>
        <v>4050.72</v>
      </c>
      <c r="F359" s="37">
        <f t="shared" si="215"/>
        <v>4486.96</v>
      </c>
      <c r="G359" s="37">
        <f t="shared" si="215"/>
        <v>5047.84</v>
      </c>
      <c r="H359" s="37">
        <f t="shared" si="215"/>
        <v>5297.11</v>
      </c>
      <c r="I359" s="422"/>
    </row>
    <row r="360" spans="1:9">
      <c r="B360" s="277" t="str">
        <f t="shared" ref="B360:B370" si="216">B129</f>
        <v>11b</v>
      </c>
      <c r="C360" s="37" t="str">
        <f t="shared" ref="C360:H360" si="217">IF(C339="-","-",ROUND(C339*$B$357,2))</f>
        <v>-</v>
      </c>
      <c r="D360" s="37" t="str">
        <f t="shared" si="217"/>
        <v>-</v>
      </c>
      <c r="E360" s="37" t="str">
        <f t="shared" si="217"/>
        <v>-</v>
      </c>
      <c r="F360" s="37">
        <f t="shared" si="217"/>
        <v>4050.72</v>
      </c>
      <c r="G360" s="37">
        <f t="shared" si="217"/>
        <v>4592.8999999999996</v>
      </c>
      <c r="H360" s="37">
        <f t="shared" si="217"/>
        <v>4842.18</v>
      </c>
      <c r="I360" s="422"/>
    </row>
    <row r="361" spans="1:9">
      <c r="B361" s="277" t="str">
        <f t="shared" si="216"/>
        <v>11a</v>
      </c>
      <c r="C361" s="37" t="str">
        <f t="shared" ref="C361:H361" si="218">IF(C340="-","-",ROUND(C340*$B$357,2))</f>
        <v>-</v>
      </c>
      <c r="D361" s="37" t="str">
        <f t="shared" si="218"/>
        <v>-</v>
      </c>
      <c r="E361" s="37">
        <f t="shared" si="218"/>
        <v>3676.82</v>
      </c>
      <c r="F361" s="37">
        <f t="shared" si="218"/>
        <v>4050.72</v>
      </c>
      <c r="G361" s="37">
        <f t="shared" si="218"/>
        <v>4592.8999999999996</v>
      </c>
      <c r="H361" s="37" t="str">
        <f t="shared" si="218"/>
        <v>-</v>
      </c>
    </row>
    <row r="362" spans="1:9">
      <c r="B362" s="277" t="str">
        <f t="shared" si="216"/>
        <v>10a</v>
      </c>
      <c r="C362" s="37" t="str">
        <f t="shared" ref="C362:H362" si="219">IF(C341="-","-",ROUND(C341*$B$357,2))</f>
        <v>-</v>
      </c>
      <c r="D362" s="37" t="str">
        <f t="shared" si="219"/>
        <v>-</v>
      </c>
      <c r="E362" s="37">
        <f t="shared" si="219"/>
        <v>3552.17</v>
      </c>
      <c r="F362" s="37">
        <f t="shared" si="219"/>
        <v>3801.47</v>
      </c>
      <c r="G362" s="37">
        <f t="shared" si="219"/>
        <v>4275.08</v>
      </c>
      <c r="H362" s="37" t="str">
        <f t="shared" si="219"/>
        <v>-</v>
      </c>
    </row>
    <row r="363" spans="1:9">
      <c r="B363" s="277" t="str">
        <f t="shared" si="216"/>
        <v>9d</v>
      </c>
      <c r="C363" s="37" t="str">
        <f t="shared" ref="C363:H363" si="220">IF(C342="-","-",ROUND(C342*$B$357,2))</f>
        <v>-</v>
      </c>
      <c r="D363" s="37" t="str">
        <f t="shared" si="220"/>
        <v>-</v>
      </c>
      <c r="E363" s="37">
        <f t="shared" si="220"/>
        <v>3464.92</v>
      </c>
      <c r="F363" s="37">
        <f t="shared" si="220"/>
        <v>3776.53</v>
      </c>
      <c r="G363" s="37">
        <f t="shared" si="220"/>
        <v>4025.78</v>
      </c>
      <c r="H363" s="37" t="str">
        <f t="shared" si="220"/>
        <v>-</v>
      </c>
    </row>
    <row r="364" spans="1:9">
      <c r="B364" s="277" t="str">
        <f t="shared" si="216"/>
        <v>9c</v>
      </c>
      <c r="C364" s="37" t="str">
        <f t="shared" ref="C364:H364" si="221">IF(C343="-","-",ROUND(C343*$B$357,2))</f>
        <v>-</v>
      </c>
      <c r="D364" s="37" t="str">
        <f t="shared" si="221"/>
        <v>-</v>
      </c>
      <c r="E364" s="37">
        <f t="shared" si="221"/>
        <v>3365.23</v>
      </c>
      <c r="F364" s="37">
        <f t="shared" si="221"/>
        <v>3602.03</v>
      </c>
      <c r="G364" s="37">
        <f t="shared" si="221"/>
        <v>3826.37</v>
      </c>
      <c r="H364" s="37" t="str">
        <f t="shared" si="221"/>
        <v>-</v>
      </c>
    </row>
    <row r="365" spans="1:9">
      <c r="B365" s="277" t="str">
        <f t="shared" si="216"/>
        <v>9b</v>
      </c>
      <c r="C365" s="37" t="str">
        <f t="shared" ref="C365:H365" si="222">IF(C344="-","-",ROUND(C344*$B$357,2))</f>
        <v>-</v>
      </c>
      <c r="D365" s="37" t="str">
        <f t="shared" si="222"/>
        <v>-</v>
      </c>
      <c r="E365" s="37">
        <f t="shared" si="222"/>
        <v>3071.16</v>
      </c>
      <c r="F365" s="37">
        <f t="shared" si="222"/>
        <v>3464.92</v>
      </c>
      <c r="G365" s="37">
        <f t="shared" si="222"/>
        <v>3602.03</v>
      </c>
      <c r="H365" s="37" t="str">
        <f t="shared" si="222"/>
        <v>-</v>
      </c>
    </row>
    <row r="366" spans="1:9">
      <c r="B366" s="277" t="str">
        <f t="shared" si="216"/>
        <v>9a</v>
      </c>
      <c r="C366" s="37" t="str">
        <f t="shared" ref="C366:H366" si="223">IF(C345="-","-",ROUND(C345*$B$357,2))</f>
        <v>-</v>
      </c>
      <c r="D366" s="37" t="str">
        <f t="shared" si="223"/>
        <v>-</v>
      </c>
      <c r="E366" s="37">
        <f t="shared" si="223"/>
        <v>3071.16</v>
      </c>
      <c r="F366" s="37">
        <f t="shared" si="223"/>
        <v>3174.02</v>
      </c>
      <c r="G366" s="37">
        <f t="shared" si="223"/>
        <v>3365.23</v>
      </c>
      <c r="H366" s="37" t="str">
        <f t="shared" si="223"/>
        <v>-</v>
      </c>
    </row>
    <row r="367" spans="1:9">
      <c r="B367" s="277" t="str">
        <f t="shared" si="216"/>
        <v>8a</v>
      </c>
      <c r="C367" s="37">
        <f t="shared" ref="C367:H367" si="224">IF(C346="-","-",ROUND(C346*$B$357,2))</f>
        <v>2575.02</v>
      </c>
      <c r="D367" s="37">
        <f t="shared" si="224"/>
        <v>2732.33</v>
      </c>
      <c r="E367" s="37">
        <f t="shared" si="224"/>
        <v>2865.46</v>
      </c>
      <c r="F367" s="37">
        <f t="shared" si="224"/>
        <v>2974.36</v>
      </c>
      <c r="G367" s="37">
        <f t="shared" si="224"/>
        <v>3174.02</v>
      </c>
      <c r="H367" s="37">
        <f t="shared" si="224"/>
        <v>3365.23</v>
      </c>
    </row>
    <row r="368" spans="1:9">
      <c r="B368" s="277" t="str">
        <f t="shared" si="216"/>
        <v>7a</v>
      </c>
      <c r="C368" s="37">
        <f t="shared" ref="C368:H368" si="225">IF(C347="-","-",ROUND(C347*$B$357,2))</f>
        <v>2393.52</v>
      </c>
      <c r="D368" s="37">
        <f t="shared" si="225"/>
        <v>2575.02</v>
      </c>
      <c r="E368" s="37">
        <f t="shared" si="225"/>
        <v>2732.33</v>
      </c>
      <c r="F368" s="37">
        <f t="shared" si="225"/>
        <v>2974.36</v>
      </c>
      <c r="G368" s="37">
        <f t="shared" si="225"/>
        <v>3095.36</v>
      </c>
      <c r="H368" s="37">
        <f t="shared" si="225"/>
        <v>3220.01</v>
      </c>
    </row>
    <row r="369" spans="1:8">
      <c r="B369" s="277" t="str">
        <f t="shared" si="216"/>
        <v>4a</v>
      </c>
      <c r="C369" s="37">
        <f t="shared" ref="C369:H369" si="226">IF(C348="-","-",ROUND(C348*$B$357,2))</f>
        <v>2153.91</v>
      </c>
      <c r="D369" s="37">
        <f t="shared" si="226"/>
        <v>2308.81</v>
      </c>
      <c r="E369" s="37">
        <f t="shared" si="226"/>
        <v>2454.02</v>
      </c>
      <c r="F369" s="37">
        <f t="shared" si="226"/>
        <v>2762.59</v>
      </c>
      <c r="G369" s="37">
        <f t="shared" si="226"/>
        <v>2841.25</v>
      </c>
      <c r="H369" s="37">
        <f t="shared" si="226"/>
        <v>2986.43</v>
      </c>
    </row>
    <row r="370" spans="1:8">
      <c r="B370" s="277" t="str">
        <f t="shared" si="216"/>
        <v>3a</v>
      </c>
      <c r="C370" s="37">
        <f t="shared" ref="C370:H370" si="227">IF(C349="-","-",ROUND(C349*$B$357,2))</f>
        <v>2060.7600000000002</v>
      </c>
      <c r="D370" s="37">
        <f t="shared" si="227"/>
        <v>2272.4899999999998</v>
      </c>
      <c r="E370" s="37">
        <f t="shared" si="227"/>
        <v>2333.0300000000002</v>
      </c>
      <c r="F370" s="37">
        <f t="shared" si="227"/>
        <v>2429.8200000000002</v>
      </c>
      <c r="G370" s="37">
        <f t="shared" si="227"/>
        <v>2502.44</v>
      </c>
      <c r="H370" s="37">
        <f t="shared" si="227"/>
        <v>2673.03</v>
      </c>
    </row>
    <row r="378" spans="1:8">
      <c r="B378" s="172"/>
    </row>
    <row r="379" spans="1:8">
      <c r="A379" s="155" t="s">
        <v>355</v>
      </c>
      <c r="B379" s="75">
        <v>2017</v>
      </c>
      <c r="C379" s="75" t="str">
        <f t="shared" ref="C379:H379" si="228">C169</f>
        <v>Stufe 1</v>
      </c>
      <c r="D379" s="75" t="str">
        <f t="shared" si="228"/>
        <v>Stufe 2</v>
      </c>
      <c r="E379" s="75" t="str">
        <f t="shared" si="228"/>
        <v>Stufe 3</v>
      </c>
      <c r="F379" s="75" t="str">
        <f t="shared" si="228"/>
        <v>Stufe 4</v>
      </c>
      <c r="G379" s="75" t="str">
        <f t="shared" si="228"/>
        <v>Stufe 5</v>
      </c>
      <c r="H379" s="75" t="str">
        <f t="shared" si="228"/>
        <v>Stufe 6</v>
      </c>
    </row>
    <row r="380" spans="1:8">
      <c r="B380" s="277">
        <v>16</v>
      </c>
      <c r="C380" s="37" t="str">
        <f t="shared" ref="C380:C391" si="229">IF(K338="-","-",ROUND(K338*$B$357,2))</f>
        <v>-</v>
      </c>
      <c r="D380" s="37">
        <f t="shared" ref="D380:D391" si="230">IF(L338="-","-",ROUND(L338*$B$357,2))</f>
        <v>3957.76</v>
      </c>
      <c r="E380" s="37">
        <f t="shared" ref="E380:E391" si="231">IF(M338="-","-",ROUND(M338*$B$357,2))</f>
        <v>4096.51</v>
      </c>
      <c r="F380" s="37">
        <f t="shared" ref="F380:F391" si="232">IF(N338="-","-",ROUND(N338*$B$357,2))</f>
        <v>4544.51</v>
      </c>
      <c r="G380" s="37">
        <f t="shared" ref="G380:G391" si="233">IF(O338="-","-",ROUND(O338*$B$357,2))</f>
        <v>5066.75</v>
      </c>
      <c r="H380" s="37">
        <f t="shared" ref="H380:H391" si="234">IF(P338="-","-",ROUND(P338*$B$357,2))</f>
        <v>5297.11</v>
      </c>
    </row>
    <row r="381" spans="1:8">
      <c r="B381" s="277">
        <v>15</v>
      </c>
      <c r="C381" s="37" t="str">
        <f t="shared" si="229"/>
        <v>-</v>
      </c>
      <c r="D381" s="37">
        <f t="shared" si="230"/>
        <v>3872.77</v>
      </c>
      <c r="E381" s="37">
        <f t="shared" si="231"/>
        <v>3999.74</v>
      </c>
      <c r="F381" s="37">
        <f t="shared" si="232"/>
        <v>4317.18</v>
      </c>
      <c r="G381" s="37">
        <f t="shared" si="233"/>
        <v>4697.09</v>
      </c>
      <c r="H381" s="37">
        <f t="shared" si="234"/>
        <v>4842.18</v>
      </c>
    </row>
    <row r="382" spans="1:8">
      <c r="B382" s="277">
        <v>14</v>
      </c>
      <c r="C382" s="37" t="str">
        <f t="shared" si="229"/>
        <v>-</v>
      </c>
      <c r="D382" s="37">
        <f t="shared" si="230"/>
        <v>3779.07</v>
      </c>
      <c r="E382" s="37">
        <f t="shared" si="231"/>
        <v>3902.98</v>
      </c>
      <c r="F382" s="37">
        <f t="shared" si="232"/>
        <v>4212.74</v>
      </c>
      <c r="G382" s="37">
        <f t="shared" si="233"/>
        <v>4633.6000000000004</v>
      </c>
      <c r="H382" s="37">
        <f t="shared" si="234"/>
        <v>4710.3999999999996</v>
      </c>
    </row>
    <row r="383" spans="1:8">
      <c r="B383" s="277">
        <v>13</v>
      </c>
      <c r="C383" s="37" t="str">
        <f t="shared" si="229"/>
        <v>-</v>
      </c>
      <c r="D383" s="37">
        <f t="shared" si="230"/>
        <v>3685.38</v>
      </c>
      <c r="E383" s="37">
        <f t="shared" si="231"/>
        <v>3806.21</v>
      </c>
      <c r="F383" s="37">
        <f t="shared" si="232"/>
        <v>4108.29</v>
      </c>
      <c r="G383" s="37">
        <f t="shared" si="233"/>
        <v>4326.3999999999996</v>
      </c>
      <c r="H383" s="37">
        <f t="shared" si="234"/>
        <v>4382.72</v>
      </c>
    </row>
    <row r="384" spans="1:8">
      <c r="B384" s="277">
        <v>12</v>
      </c>
      <c r="C384" s="37" t="str">
        <f t="shared" si="229"/>
        <v>-</v>
      </c>
      <c r="D384" s="37">
        <f t="shared" si="230"/>
        <v>3497.98</v>
      </c>
      <c r="E384" s="37">
        <f t="shared" si="231"/>
        <v>3612.67</v>
      </c>
      <c r="F384" s="37">
        <f t="shared" si="232"/>
        <v>3899.39</v>
      </c>
      <c r="G384" s="37">
        <f t="shared" si="233"/>
        <v>4075.52</v>
      </c>
      <c r="H384" s="37">
        <f t="shared" si="234"/>
        <v>4157.4399999999996</v>
      </c>
    </row>
    <row r="385" spans="1:8">
      <c r="B385" s="277">
        <v>11</v>
      </c>
      <c r="C385" s="37" t="str">
        <f t="shared" si="229"/>
        <v>-</v>
      </c>
      <c r="D385" s="37">
        <f t="shared" si="230"/>
        <v>3310.59</v>
      </c>
      <c r="E385" s="37">
        <f t="shared" si="231"/>
        <v>3419.14</v>
      </c>
      <c r="F385" s="37">
        <f t="shared" si="232"/>
        <v>3690.5</v>
      </c>
      <c r="G385" s="37">
        <f t="shared" si="233"/>
        <v>3870.72</v>
      </c>
      <c r="H385" s="37">
        <f t="shared" si="234"/>
        <v>3952.64</v>
      </c>
    </row>
    <row r="386" spans="1:8">
      <c r="B386" s="277">
        <v>10</v>
      </c>
      <c r="C386" s="37" t="str">
        <f t="shared" si="229"/>
        <v>-</v>
      </c>
      <c r="D386" s="37">
        <f t="shared" si="230"/>
        <v>3123.2</v>
      </c>
      <c r="E386" s="37">
        <f t="shared" si="231"/>
        <v>3225.6</v>
      </c>
      <c r="F386" s="37">
        <f t="shared" si="232"/>
        <v>3512.32</v>
      </c>
      <c r="G386" s="37">
        <f t="shared" si="233"/>
        <v>3650.56</v>
      </c>
      <c r="H386" s="37">
        <f t="shared" si="234"/>
        <v>3737.6</v>
      </c>
    </row>
    <row r="387" spans="1:8">
      <c r="B387" s="277">
        <v>9</v>
      </c>
      <c r="C387" s="37" t="str">
        <f t="shared" si="229"/>
        <v>-</v>
      </c>
      <c r="D387" s="37">
        <f t="shared" si="230"/>
        <v>2969.6</v>
      </c>
      <c r="E387" s="37">
        <f t="shared" si="231"/>
        <v>3123.2</v>
      </c>
      <c r="F387" s="37">
        <f t="shared" si="232"/>
        <v>3225.6</v>
      </c>
      <c r="G387" s="37">
        <f t="shared" si="233"/>
        <v>3420.16</v>
      </c>
      <c r="H387" s="37">
        <f t="shared" si="234"/>
        <v>3502.08</v>
      </c>
    </row>
    <row r="388" spans="1:8">
      <c r="B388" s="277">
        <v>8</v>
      </c>
      <c r="C388" s="37" t="str">
        <f t="shared" si="229"/>
        <v>-</v>
      </c>
      <c r="D388" s="37">
        <f t="shared" si="230"/>
        <v>2732.33</v>
      </c>
      <c r="E388" s="37">
        <f t="shared" si="231"/>
        <v>2865.46</v>
      </c>
      <c r="F388" s="37">
        <f t="shared" si="232"/>
        <v>3036.16</v>
      </c>
      <c r="G388" s="37">
        <f t="shared" si="233"/>
        <v>3174.02</v>
      </c>
      <c r="H388" s="37">
        <f t="shared" si="234"/>
        <v>3365.23</v>
      </c>
    </row>
    <row r="389" spans="1:8">
      <c r="B389" s="277">
        <v>7</v>
      </c>
      <c r="C389" s="37" t="str">
        <f t="shared" si="229"/>
        <v>-</v>
      </c>
      <c r="D389" s="37">
        <f t="shared" si="230"/>
        <v>2575.02</v>
      </c>
      <c r="E389" s="37">
        <f t="shared" si="231"/>
        <v>2732.33</v>
      </c>
      <c r="F389" s="37">
        <f t="shared" si="232"/>
        <v>2974.36</v>
      </c>
      <c r="G389" s="37">
        <f t="shared" si="233"/>
        <v>3095.36</v>
      </c>
      <c r="H389" s="37">
        <f t="shared" si="234"/>
        <v>3220.01</v>
      </c>
    </row>
    <row r="390" spans="1:8">
      <c r="B390" s="277">
        <v>6</v>
      </c>
      <c r="C390" s="37">
        <f t="shared" si="229"/>
        <v>2153.91</v>
      </c>
      <c r="D390" s="37">
        <f t="shared" si="230"/>
        <v>2308.81</v>
      </c>
      <c r="E390" s="37">
        <f t="shared" si="231"/>
        <v>2454.02</v>
      </c>
      <c r="F390" s="37">
        <f t="shared" si="232"/>
        <v>2762.59</v>
      </c>
      <c r="G390" s="37">
        <f t="shared" si="233"/>
        <v>2841.25</v>
      </c>
      <c r="H390" s="37">
        <f t="shared" si="234"/>
        <v>2986.43</v>
      </c>
    </row>
    <row r="391" spans="1:8">
      <c r="B391" s="277">
        <v>5</v>
      </c>
      <c r="C391" s="37">
        <f t="shared" si="229"/>
        <v>2060.7600000000002</v>
      </c>
      <c r="D391" s="37">
        <f t="shared" si="230"/>
        <v>2272.4899999999998</v>
      </c>
      <c r="E391" s="37">
        <f t="shared" si="231"/>
        <v>2333.0300000000002</v>
      </c>
      <c r="F391" s="37">
        <f t="shared" si="232"/>
        <v>2429.8200000000002</v>
      </c>
      <c r="G391" s="37">
        <f t="shared" si="233"/>
        <v>2502.44</v>
      </c>
      <c r="H391" s="37">
        <f t="shared" si="234"/>
        <v>2673.03</v>
      </c>
    </row>
    <row r="399" spans="1:8">
      <c r="B399" s="172" t="s">
        <v>376</v>
      </c>
    </row>
    <row r="400" spans="1:8">
      <c r="A400" s="155" t="s">
        <v>356</v>
      </c>
      <c r="B400" s="75">
        <v>2017</v>
      </c>
      <c r="C400" s="75" t="str">
        <f t="shared" ref="C400:H400" si="235">C190</f>
        <v>Stufe 1</v>
      </c>
      <c r="D400" s="75" t="str">
        <f t="shared" si="235"/>
        <v>Stufe 2</v>
      </c>
      <c r="E400" s="75" t="str">
        <f t="shared" si="235"/>
        <v>Stufe 3</v>
      </c>
      <c r="F400" s="75" t="str">
        <f t="shared" si="235"/>
        <v>Stufe 4</v>
      </c>
      <c r="G400" s="75" t="str">
        <f t="shared" si="235"/>
        <v>Stufe 5</v>
      </c>
      <c r="H400" s="75" t="str">
        <f t="shared" si="235"/>
        <v>Stufe 6</v>
      </c>
    </row>
    <row r="401" spans="2:8">
      <c r="B401" s="277">
        <f>B380</f>
        <v>16</v>
      </c>
      <c r="C401" s="37" t="str">
        <f t="shared" ref="C401:H412" si="236">IF(C380="-","-",ROUND(C380*$B$399,2))</f>
        <v>-</v>
      </c>
      <c r="D401" s="37">
        <f t="shared" si="236"/>
        <v>4050.77</v>
      </c>
      <c r="E401" s="37">
        <f t="shared" si="236"/>
        <v>4192.78</v>
      </c>
      <c r="F401" s="37">
        <f t="shared" si="236"/>
        <v>4651.3100000000004</v>
      </c>
      <c r="G401" s="37">
        <f t="shared" si="236"/>
        <v>5185.82</v>
      </c>
      <c r="H401" s="37">
        <f t="shared" si="236"/>
        <v>5421.59</v>
      </c>
    </row>
    <row r="402" spans="2:8">
      <c r="B402" s="277">
        <f t="shared" ref="B402:B412" si="237">B381</f>
        <v>15</v>
      </c>
      <c r="C402" s="37" t="str">
        <f t="shared" si="236"/>
        <v>-</v>
      </c>
      <c r="D402" s="37">
        <f t="shared" si="236"/>
        <v>3963.78</v>
      </c>
      <c r="E402" s="37">
        <f t="shared" si="236"/>
        <v>4093.73</v>
      </c>
      <c r="F402" s="37">
        <f t="shared" si="236"/>
        <v>4418.63</v>
      </c>
      <c r="G402" s="37">
        <f t="shared" si="236"/>
        <v>4807.47</v>
      </c>
      <c r="H402" s="37">
        <f t="shared" si="236"/>
        <v>4955.97</v>
      </c>
    </row>
    <row r="403" spans="2:8">
      <c r="B403" s="277">
        <f t="shared" si="237"/>
        <v>14</v>
      </c>
      <c r="C403" s="37" t="str">
        <f t="shared" si="236"/>
        <v>-</v>
      </c>
      <c r="D403" s="37">
        <f t="shared" si="236"/>
        <v>3867.88</v>
      </c>
      <c r="E403" s="37">
        <f t="shared" si="236"/>
        <v>3994.7</v>
      </c>
      <c r="F403" s="37">
        <f t="shared" si="236"/>
        <v>4311.74</v>
      </c>
      <c r="G403" s="37">
        <f t="shared" si="236"/>
        <v>4742.49</v>
      </c>
      <c r="H403" s="37">
        <f t="shared" si="236"/>
        <v>4821.09</v>
      </c>
    </row>
    <row r="404" spans="2:8">
      <c r="B404" s="277">
        <f t="shared" si="237"/>
        <v>13</v>
      </c>
      <c r="C404" s="37" t="str">
        <f t="shared" si="236"/>
        <v>-</v>
      </c>
      <c r="D404" s="37">
        <f t="shared" si="236"/>
        <v>3771.99</v>
      </c>
      <c r="E404" s="37">
        <f t="shared" si="236"/>
        <v>3895.66</v>
      </c>
      <c r="F404" s="37">
        <f t="shared" si="236"/>
        <v>4204.83</v>
      </c>
      <c r="G404" s="37">
        <f t="shared" si="236"/>
        <v>4428.07</v>
      </c>
      <c r="H404" s="37">
        <f t="shared" si="236"/>
        <v>4485.71</v>
      </c>
    </row>
    <row r="405" spans="2:8">
      <c r="B405" s="277">
        <f t="shared" si="237"/>
        <v>12</v>
      </c>
      <c r="C405" s="37" t="str">
        <f t="shared" si="236"/>
        <v>-</v>
      </c>
      <c r="D405" s="37">
        <f t="shared" si="236"/>
        <v>3580.18</v>
      </c>
      <c r="E405" s="37">
        <f t="shared" si="236"/>
        <v>3697.57</v>
      </c>
      <c r="F405" s="37">
        <f t="shared" si="236"/>
        <v>3991.03</v>
      </c>
      <c r="G405" s="37">
        <f t="shared" si="236"/>
        <v>4171.29</v>
      </c>
      <c r="H405" s="37">
        <f t="shared" si="236"/>
        <v>4255.1400000000003</v>
      </c>
    </row>
    <row r="406" spans="2:8">
      <c r="B406" s="277">
        <f t="shared" si="237"/>
        <v>11</v>
      </c>
      <c r="C406" s="37" t="str">
        <f t="shared" si="236"/>
        <v>-</v>
      </c>
      <c r="D406" s="37">
        <f t="shared" si="236"/>
        <v>3388.39</v>
      </c>
      <c r="E406" s="37">
        <f t="shared" si="236"/>
        <v>3499.49</v>
      </c>
      <c r="F406" s="37">
        <f t="shared" si="236"/>
        <v>3777.23</v>
      </c>
      <c r="G406" s="37">
        <f t="shared" si="236"/>
        <v>3961.68</v>
      </c>
      <c r="H406" s="37">
        <f t="shared" si="236"/>
        <v>4045.53</v>
      </c>
    </row>
    <row r="407" spans="2:8">
      <c r="B407" s="277">
        <f t="shared" si="237"/>
        <v>10</v>
      </c>
      <c r="C407" s="37" t="str">
        <f t="shared" si="236"/>
        <v>-</v>
      </c>
      <c r="D407" s="37">
        <f t="shared" si="236"/>
        <v>3196.6</v>
      </c>
      <c r="E407" s="37">
        <f t="shared" si="236"/>
        <v>3301.4</v>
      </c>
      <c r="F407" s="37">
        <f t="shared" si="236"/>
        <v>3594.86</v>
      </c>
      <c r="G407" s="37">
        <f t="shared" si="236"/>
        <v>3736.35</v>
      </c>
      <c r="H407" s="37">
        <f t="shared" si="236"/>
        <v>3825.43</v>
      </c>
    </row>
    <row r="408" spans="2:8">
      <c r="B408" s="277">
        <f t="shared" si="237"/>
        <v>9</v>
      </c>
      <c r="C408" s="37" t="str">
        <f t="shared" si="236"/>
        <v>-</v>
      </c>
      <c r="D408" s="37">
        <f t="shared" si="236"/>
        <v>3039.39</v>
      </c>
      <c r="E408" s="37">
        <f t="shared" si="236"/>
        <v>3196.6</v>
      </c>
      <c r="F408" s="37">
        <f t="shared" si="236"/>
        <v>3301.4</v>
      </c>
      <c r="G408" s="37">
        <f t="shared" si="236"/>
        <v>3500.53</v>
      </c>
      <c r="H408" s="37">
        <f t="shared" si="236"/>
        <v>3584.38</v>
      </c>
    </row>
    <row r="409" spans="2:8">
      <c r="B409" s="277">
        <f t="shared" si="237"/>
        <v>8</v>
      </c>
      <c r="C409" s="37" t="str">
        <f t="shared" si="236"/>
        <v>-</v>
      </c>
      <c r="D409" s="37">
        <f t="shared" si="236"/>
        <v>2796.54</v>
      </c>
      <c r="E409" s="37">
        <f t="shared" si="236"/>
        <v>2932.8</v>
      </c>
      <c r="F409" s="37">
        <f t="shared" si="236"/>
        <v>3107.51</v>
      </c>
      <c r="G409" s="37">
        <f t="shared" si="236"/>
        <v>3248.61</v>
      </c>
      <c r="H409" s="37">
        <f t="shared" si="236"/>
        <v>3444.31</v>
      </c>
    </row>
    <row r="410" spans="2:8">
      <c r="B410" s="277">
        <f t="shared" si="237"/>
        <v>7</v>
      </c>
      <c r="C410" s="37" t="str">
        <f t="shared" si="236"/>
        <v>-</v>
      </c>
      <c r="D410" s="37">
        <f t="shared" si="236"/>
        <v>2635.53</v>
      </c>
      <c r="E410" s="37">
        <f t="shared" si="236"/>
        <v>2796.54</v>
      </c>
      <c r="F410" s="37">
        <f t="shared" si="236"/>
        <v>3044.26</v>
      </c>
      <c r="G410" s="37">
        <f t="shared" si="236"/>
        <v>3168.1</v>
      </c>
      <c r="H410" s="37">
        <f t="shared" si="236"/>
        <v>3295.68</v>
      </c>
    </row>
    <row r="411" spans="2:8">
      <c r="B411" s="277">
        <f t="shared" si="237"/>
        <v>6</v>
      </c>
      <c r="C411" s="37">
        <f t="shared" si="236"/>
        <v>2204.5300000000002</v>
      </c>
      <c r="D411" s="37">
        <f t="shared" si="236"/>
        <v>2363.0700000000002</v>
      </c>
      <c r="E411" s="37">
        <f t="shared" si="236"/>
        <v>2511.69</v>
      </c>
      <c r="F411" s="37">
        <f t="shared" si="236"/>
        <v>2827.51</v>
      </c>
      <c r="G411" s="37">
        <f t="shared" si="236"/>
        <v>2908.02</v>
      </c>
      <c r="H411" s="37">
        <f t="shared" si="236"/>
        <v>3056.61</v>
      </c>
    </row>
    <row r="412" spans="2:8">
      <c r="B412" s="277">
        <f t="shared" si="237"/>
        <v>5</v>
      </c>
      <c r="C412" s="37">
        <f t="shared" si="236"/>
        <v>2109.19</v>
      </c>
      <c r="D412" s="37">
        <f t="shared" si="236"/>
        <v>2325.89</v>
      </c>
      <c r="E412" s="37">
        <f t="shared" si="236"/>
        <v>2387.86</v>
      </c>
      <c r="F412" s="37">
        <f t="shared" si="236"/>
        <v>2486.92</v>
      </c>
      <c r="G412" s="37">
        <f t="shared" si="236"/>
        <v>2561.25</v>
      </c>
      <c r="H412" s="37">
        <f t="shared" si="236"/>
        <v>2735.85</v>
      </c>
    </row>
    <row r="420" spans="1:8">
      <c r="B420" s="172" t="s">
        <v>501</v>
      </c>
    </row>
    <row r="421" spans="1:8">
      <c r="A421" s="155" t="s">
        <v>487</v>
      </c>
      <c r="B421" s="75">
        <v>2018</v>
      </c>
      <c r="C421" s="75" t="str">
        <f t="shared" ref="C421:H421" si="238">C211</f>
        <v>Stufe 1</v>
      </c>
      <c r="D421" s="75" t="str">
        <f t="shared" si="238"/>
        <v>Stufe 2</v>
      </c>
      <c r="E421" s="75" t="str">
        <f t="shared" si="238"/>
        <v>Stufe 3</v>
      </c>
      <c r="F421" s="75" t="str">
        <f t="shared" si="238"/>
        <v>Stufe 4</v>
      </c>
      <c r="G421" s="75" t="str">
        <f t="shared" si="238"/>
        <v>Stufe 5</v>
      </c>
      <c r="H421" s="75" t="str">
        <f t="shared" si="238"/>
        <v>Stufe 6</v>
      </c>
    </row>
    <row r="422" spans="1:8">
      <c r="B422" s="277">
        <f>B401</f>
        <v>16</v>
      </c>
      <c r="C422" s="37" t="s">
        <v>15</v>
      </c>
      <c r="D422" s="37">
        <v>4168.28</v>
      </c>
      <c r="E422" s="37">
        <v>4314.41</v>
      </c>
      <c r="F422" s="37">
        <v>4786.24</v>
      </c>
      <c r="G422" s="37">
        <v>5336.25</v>
      </c>
      <c r="H422" s="37">
        <v>5578.86</v>
      </c>
    </row>
    <row r="423" spans="1:8">
      <c r="B423" s="277">
        <f t="shared" ref="B423:B433" si="239">B402</f>
        <v>15</v>
      </c>
      <c r="C423" s="37" t="s">
        <v>15</v>
      </c>
      <c r="D423" s="37">
        <v>4078.76</v>
      </c>
      <c r="E423" s="37">
        <v>4212.4799999999996</v>
      </c>
      <c r="F423" s="37">
        <v>4546.8100000000004</v>
      </c>
      <c r="G423" s="37">
        <v>4946.92</v>
      </c>
      <c r="H423" s="37">
        <v>5099.7299999999996</v>
      </c>
    </row>
    <row r="424" spans="1:8">
      <c r="B424" s="277">
        <f t="shared" si="239"/>
        <v>14</v>
      </c>
      <c r="C424" s="37" t="s">
        <v>15</v>
      </c>
      <c r="D424" s="37">
        <v>3980.08</v>
      </c>
      <c r="E424" s="37">
        <v>4110.58</v>
      </c>
      <c r="F424" s="37">
        <v>4436.82</v>
      </c>
      <c r="G424" s="37">
        <v>4880.0600000000004</v>
      </c>
      <c r="H424" s="37">
        <v>4960.9399999999996</v>
      </c>
    </row>
    <row r="425" spans="1:8">
      <c r="B425" s="277">
        <f t="shared" si="239"/>
        <v>13</v>
      </c>
      <c r="C425" s="37" t="s">
        <v>15</v>
      </c>
      <c r="D425" s="37">
        <v>3881.41</v>
      </c>
      <c r="E425" s="37">
        <v>4008.67</v>
      </c>
      <c r="F425" s="37">
        <v>4326.8</v>
      </c>
      <c r="G425" s="37">
        <v>4556.5200000000004</v>
      </c>
      <c r="H425" s="37">
        <v>4615.83</v>
      </c>
    </row>
    <row r="426" spans="1:8">
      <c r="B426" s="277">
        <f t="shared" si="239"/>
        <v>12</v>
      </c>
      <c r="C426" s="37" t="s">
        <v>15</v>
      </c>
      <c r="D426" s="37">
        <v>3684.03</v>
      </c>
      <c r="E426" s="37">
        <v>3804.83</v>
      </c>
      <c r="F426" s="37">
        <v>4106.8</v>
      </c>
      <c r="G426" s="37">
        <v>4292.29</v>
      </c>
      <c r="H426" s="37">
        <v>4378.57</v>
      </c>
    </row>
    <row r="427" spans="1:8">
      <c r="B427" s="277">
        <f t="shared" si="239"/>
        <v>11</v>
      </c>
      <c r="C427" s="37" t="s">
        <v>15</v>
      </c>
      <c r="D427" s="37">
        <v>3486.68</v>
      </c>
      <c r="E427" s="37">
        <v>3601</v>
      </c>
      <c r="F427" s="37">
        <v>3886.8</v>
      </c>
      <c r="G427" s="37">
        <v>4076.6</v>
      </c>
      <c r="H427" s="37">
        <v>4162.88</v>
      </c>
    </row>
    <row r="428" spans="1:8">
      <c r="B428" s="277">
        <f t="shared" si="239"/>
        <v>10</v>
      </c>
      <c r="C428" s="37" t="s">
        <v>15</v>
      </c>
      <c r="D428" s="37">
        <v>3289.33</v>
      </c>
      <c r="E428" s="37">
        <v>3397.17</v>
      </c>
      <c r="F428" s="37">
        <v>3699.14</v>
      </c>
      <c r="G428" s="37">
        <v>3844.73</v>
      </c>
      <c r="H428" s="37">
        <v>3936.4</v>
      </c>
    </row>
    <row r="429" spans="1:8">
      <c r="B429" s="277">
        <f t="shared" si="239"/>
        <v>9</v>
      </c>
      <c r="C429" s="37" t="s">
        <v>15</v>
      </c>
      <c r="D429" s="37">
        <v>3127.55</v>
      </c>
      <c r="E429" s="37">
        <v>3289.33</v>
      </c>
      <c r="F429" s="37">
        <v>3397.17</v>
      </c>
      <c r="G429" s="37">
        <v>3602.07</v>
      </c>
      <c r="H429" s="37">
        <v>3688.35</v>
      </c>
    </row>
    <row r="430" spans="1:8">
      <c r="B430" s="277">
        <f t="shared" si="239"/>
        <v>8</v>
      </c>
      <c r="C430" s="37" t="s">
        <v>15</v>
      </c>
      <c r="D430" s="37">
        <v>2877.66</v>
      </c>
      <c r="E430" s="37">
        <v>3017.88</v>
      </c>
      <c r="F430" s="37">
        <v>3197.65</v>
      </c>
      <c r="G430" s="37">
        <v>3342.85</v>
      </c>
      <c r="H430" s="37">
        <v>3544.22</v>
      </c>
    </row>
    <row r="431" spans="1:8">
      <c r="B431" s="277">
        <f t="shared" si="239"/>
        <v>7</v>
      </c>
      <c r="C431" s="37" t="s">
        <v>15</v>
      </c>
      <c r="D431" s="37">
        <v>2711.98</v>
      </c>
      <c r="E431" s="37">
        <v>2877.66</v>
      </c>
      <c r="F431" s="37">
        <v>3132.57</v>
      </c>
      <c r="G431" s="37">
        <v>3260</v>
      </c>
      <c r="H431" s="37">
        <v>3391.28</v>
      </c>
    </row>
    <row r="432" spans="1:8">
      <c r="B432" s="277">
        <f t="shared" si="239"/>
        <v>6</v>
      </c>
      <c r="C432" s="37">
        <v>2273.1799999999998</v>
      </c>
      <c r="D432" s="37">
        <v>2431.6799999999998</v>
      </c>
      <c r="E432" s="37">
        <v>2584.5500000000002</v>
      </c>
      <c r="F432" s="37">
        <v>2909.53</v>
      </c>
      <c r="G432" s="37">
        <v>2992.37</v>
      </c>
      <c r="H432" s="37">
        <v>3145.28</v>
      </c>
    </row>
    <row r="433" spans="1:8">
      <c r="B433" s="277">
        <f t="shared" si="239"/>
        <v>5</v>
      </c>
      <c r="C433" s="37">
        <v>2177.8200000000002</v>
      </c>
      <c r="D433" s="37">
        <v>2394.4899999999998</v>
      </c>
      <c r="E433" s="37">
        <v>2457.13</v>
      </c>
      <c r="F433" s="37">
        <v>2559.06</v>
      </c>
      <c r="G433" s="37">
        <v>2635.55</v>
      </c>
      <c r="H433" s="37">
        <v>2815.21</v>
      </c>
    </row>
    <row r="441" spans="1:8">
      <c r="B441" s="172" t="s">
        <v>502</v>
      </c>
    </row>
    <row r="442" spans="1:8">
      <c r="A442" s="155" t="s">
        <v>500</v>
      </c>
      <c r="B442" s="75">
        <v>2019</v>
      </c>
      <c r="C442" s="75" t="str">
        <f t="shared" ref="C442:H442" si="240">C232</f>
        <v>Stufe 1</v>
      </c>
      <c r="D442" s="75" t="str">
        <f t="shared" si="240"/>
        <v>Stufe 2</v>
      </c>
      <c r="E442" s="75" t="str">
        <f t="shared" si="240"/>
        <v>Stufe 3</v>
      </c>
      <c r="F442" s="75" t="str">
        <f t="shared" si="240"/>
        <v>Stufe 4</v>
      </c>
      <c r="G442" s="75" t="str">
        <f t="shared" si="240"/>
        <v>Stufe 5</v>
      </c>
      <c r="H442" s="75" t="str">
        <f t="shared" si="240"/>
        <v>Stufe 6</v>
      </c>
    </row>
    <row r="443" spans="1:8">
      <c r="B443" s="277">
        <f>B422</f>
        <v>16</v>
      </c>
      <c r="C443" s="37" t="s">
        <v>15</v>
      </c>
      <c r="D443" s="37">
        <v>4305.57</v>
      </c>
      <c r="E443" s="37">
        <v>4456.51</v>
      </c>
      <c r="F443" s="37">
        <v>4943.88</v>
      </c>
      <c r="G443" s="37">
        <v>5512.01</v>
      </c>
      <c r="H443" s="37">
        <v>5762.61</v>
      </c>
    </row>
    <row r="444" spans="1:8">
      <c r="B444" s="277">
        <f t="shared" ref="B444:B454" si="241">B423</f>
        <v>15</v>
      </c>
      <c r="C444" s="37" t="s">
        <v>15</v>
      </c>
      <c r="D444" s="37">
        <v>4213.1000000000004</v>
      </c>
      <c r="E444" s="37">
        <v>4351.2299999999996</v>
      </c>
      <c r="F444" s="37">
        <v>4696.57</v>
      </c>
      <c r="G444" s="37">
        <v>5109.8500000000004</v>
      </c>
      <c r="H444" s="37">
        <v>5267.7</v>
      </c>
    </row>
    <row r="445" spans="1:8">
      <c r="B445" s="277">
        <f t="shared" si="241"/>
        <v>14</v>
      </c>
      <c r="C445" s="37" t="s">
        <v>15</v>
      </c>
      <c r="D445" s="37">
        <v>4111.17</v>
      </c>
      <c r="E445" s="37">
        <v>4245.97</v>
      </c>
      <c r="F445" s="37">
        <v>4582.95</v>
      </c>
      <c r="G445" s="37">
        <v>5040.79</v>
      </c>
      <c r="H445" s="37">
        <v>5124.34</v>
      </c>
    </row>
    <row r="446" spans="1:8">
      <c r="B446" s="277">
        <f t="shared" si="241"/>
        <v>13</v>
      </c>
      <c r="C446" s="37" t="s">
        <v>15</v>
      </c>
      <c r="D446" s="37">
        <v>4009.25</v>
      </c>
      <c r="E446" s="37">
        <v>4140.7</v>
      </c>
      <c r="F446" s="37">
        <v>4469.3100000000004</v>
      </c>
      <c r="G446" s="37">
        <v>4706.6000000000004</v>
      </c>
      <c r="H446" s="37">
        <v>4767.8599999999997</v>
      </c>
    </row>
    <row r="447" spans="1:8">
      <c r="B447" s="277">
        <f t="shared" si="241"/>
        <v>12</v>
      </c>
      <c r="C447" s="37" t="s">
        <v>15</v>
      </c>
      <c r="D447" s="37">
        <v>3805.37</v>
      </c>
      <c r="E447" s="37">
        <v>3930.15</v>
      </c>
      <c r="F447" s="37">
        <v>4242.07</v>
      </c>
      <c r="G447" s="37">
        <v>4433.67</v>
      </c>
      <c r="H447" s="37">
        <v>4522.79</v>
      </c>
    </row>
    <row r="448" spans="1:8">
      <c r="B448" s="277">
        <f t="shared" si="241"/>
        <v>11</v>
      </c>
      <c r="C448" s="37" t="s">
        <v>15</v>
      </c>
      <c r="D448" s="37">
        <v>3601.52</v>
      </c>
      <c r="E448" s="37">
        <v>3719.6</v>
      </c>
      <c r="F448" s="37">
        <v>4014.82</v>
      </c>
      <c r="G448" s="37">
        <v>4210.87</v>
      </c>
      <c r="H448" s="37">
        <v>4299.99</v>
      </c>
    </row>
    <row r="449" spans="1:8">
      <c r="B449" s="277">
        <f t="shared" si="241"/>
        <v>10</v>
      </c>
      <c r="C449" s="37" t="s">
        <v>15</v>
      </c>
      <c r="D449" s="37">
        <v>3397.67</v>
      </c>
      <c r="E449" s="37">
        <v>3509.06</v>
      </c>
      <c r="F449" s="37">
        <v>3820.98</v>
      </c>
      <c r="G449" s="37">
        <v>3971.36</v>
      </c>
      <c r="H449" s="37">
        <v>4066.05</v>
      </c>
    </row>
    <row r="450" spans="1:8">
      <c r="B450" s="277">
        <f t="shared" si="241"/>
        <v>9</v>
      </c>
      <c r="C450" s="37" t="s">
        <v>15</v>
      </c>
      <c r="D450" s="37">
        <v>3230.56</v>
      </c>
      <c r="E450" s="37">
        <v>3397.67</v>
      </c>
      <c r="F450" s="37">
        <v>3509.06</v>
      </c>
      <c r="G450" s="37">
        <v>3720.71</v>
      </c>
      <c r="H450" s="37">
        <v>3809.83</v>
      </c>
    </row>
    <row r="451" spans="1:8">
      <c r="B451" s="277">
        <f t="shared" si="241"/>
        <v>8</v>
      </c>
      <c r="C451" s="37" t="s">
        <v>15</v>
      </c>
      <c r="D451" s="37">
        <v>2972.44</v>
      </c>
      <c r="E451" s="37">
        <v>3117.28</v>
      </c>
      <c r="F451" s="37">
        <v>3302.97</v>
      </c>
      <c r="G451" s="37">
        <v>3452.95</v>
      </c>
      <c r="H451" s="37">
        <v>3660.96</v>
      </c>
    </row>
    <row r="452" spans="1:8">
      <c r="B452" s="277">
        <f t="shared" si="241"/>
        <v>7</v>
      </c>
      <c r="C452" s="37" t="s">
        <v>15</v>
      </c>
      <c r="D452" s="37">
        <v>2801.3</v>
      </c>
      <c r="E452" s="37">
        <v>2972.44</v>
      </c>
      <c r="F452" s="37">
        <v>3235.75</v>
      </c>
      <c r="G452" s="37">
        <v>3367.37</v>
      </c>
      <c r="H452" s="37">
        <v>3502.98</v>
      </c>
    </row>
    <row r="453" spans="1:8">
      <c r="B453" s="277">
        <f t="shared" si="241"/>
        <v>6</v>
      </c>
      <c r="C453" s="37">
        <v>2353.39</v>
      </c>
      <c r="D453" s="37">
        <v>2511.84</v>
      </c>
      <c r="E453" s="37">
        <v>2669.68</v>
      </c>
      <c r="F453" s="37">
        <v>3005.36</v>
      </c>
      <c r="G453" s="37">
        <v>3090.93</v>
      </c>
      <c r="H453" s="37">
        <v>3248.88</v>
      </c>
    </row>
    <row r="454" spans="1:8">
      <c r="B454" s="277">
        <f t="shared" si="241"/>
        <v>5</v>
      </c>
      <c r="C454" s="37">
        <v>2258.0100000000002</v>
      </c>
      <c r="D454" s="37">
        <v>2474.64</v>
      </c>
      <c r="E454" s="37">
        <v>2538.06</v>
      </c>
      <c r="F454" s="37">
        <v>2643.35</v>
      </c>
      <c r="G454" s="37">
        <v>2722.35</v>
      </c>
      <c r="H454" s="37">
        <v>2907.93</v>
      </c>
    </row>
    <row r="462" spans="1:8">
      <c r="B462" s="172" t="s">
        <v>503</v>
      </c>
    </row>
    <row r="463" spans="1:8">
      <c r="A463" s="155" t="s">
        <v>488</v>
      </c>
      <c r="B463" s="75">
        <v>2020</v>
      </c>
      <c r="C463" s="75" t="str">
        <f t="shared" ref="C463:H463" si="242">C253</f>
        <v>Stufe 1</v>
      </c>
      <c r="D463" s="75" t="str">
        <f t="shared" si="242"/>
        <v>Stufe 2</v>
      </c>
      <c r="E463" s="75" t="str">
        <f t="shared" si="242"/>
        <v>Stufe 3</v>
      </c>
      <c r="F463" s="75" t="str">
        <f t="shared" si="242"/>
        <v>Stufe 4</v>
      </c>
      <c r="G463" s="75" t="str">
        <f t="shared" si="242"/>
        <v>Stufe 5</v>
      </c>
      <c r="H463" s="75" t="str">
        <f t="shared" si="242"/>
        <v>Stufe 6</v>
      </c>
    </row>
    <row r="464" spans="1:8">
      <c r="B464" s="277">
        <f>B443</f>
        <v>16</v>
      </c>
      <c r="C464" s="37" t="s">
        <v>15</v>
      </c>
      <c r="D464" s="37">
        <v>4350.53</v>
      </c>
      <c r="E464" s="37">
        <v>4503.05</v>
      </c>
      <c r="F464" s="37">
        <v>4995.51</v>
      </c>
      <c r="G464" s="37">
        <v>5569.57</v>
      </c>
      <c r="H464" s="37">
        <v>5822.79</v>
      </c>
    </row>
    <row r="465" spans="2:8">
      <c r="B465" s="277">
        <f t="shared" ref="B465:B475" si="243">B444</f>
        <v>15</v>
      </c>
      <c r="C465" s="37" t="s">
        <v>15</v>
      </c>
      <c r="D465" s="37">
        <v>4257.1000000000004</v>
      </c>
      <c r="E465" s="37">
        <v>4396.67</v>
      </c>
      <c r="F465" s="37">
        <v>4745.6099999999997</v>
      </c>
      <c r="G465" s="37">
        <v>5163.22</v>
      </c>
      <c r="H465" s="37">
        <v>5322.71</v>
      </c>
    </row>
    <row r="466" spans="2:8">
      <c r="B466" s="277">
        <f t="shared" si="243"/>
        <v>14</v>
      </c>
      <c r="C466" s="37" t="s">
        <v>15</v>
      </c>
      <c r="D466" s="37">
        <v>4154.1000000000004</v>
      </c>
      <c r="E466" s="37">
        <v>4290.3100000000004</v>
      </c>
      <c r="F466" s="37">
        <v>4630.8100000000004</v>
      </c>
      <c r="G466" s="37">
        <v>5093.43</v>
      </c>
      <c r="H466" s="37">
        <v>5177.8500000000004</v>
      </c>
    </row>
    <row r="467" spans="2:8">
      <c r="B467" s="277">
        <f t="shared" si="243"/>
        <v>13</v>
      </c>
      <c r="C467" s="37" t="s">
        <v>15</v>
      </c>
      <c r="D467" s="37">
        <v>4051.12</v>
      </c>
      <c r="E467" s="37">
        <v>4183.9399999999996</v>
      </c>
      <c r="F467" s="37">
        <v>4515.99</v>
      </c>
      <c r="G467" s="37">
        <v>4755.75</v>
      </c>
      <c r="H467" s="37">
        <v>4817.6499999999996</v>
      </c>
    </row>
    <row r="468" spans="2:8">
      <c r="B468" s="277">
        <f t="shared" si="243"/>
        <v>12</v>
      </c>
      <c r="C468" s="37" t="s">
        <v>15</v>
      </c>
      <c r="D468" s="37">
        <v>3845.11</v>
      </c>
      <c r="E468" s="37">
        <v>3971.19</v>
      </c>
      <c r="F468" s="37">
        <v>4286.37</v>
      </c>
      <c r="G468" s="37">
        <v>4479.97</v>
      </c>
      <c r="H468" s="37">
        <v>4570.0200000000004</v>
      </c>
    </row>
    <row r="469" spans="2:8">
      <c r="B469" s="277">
        <f t="shared" si="243"/>
        <v>11</v>
      </c>
      <c r="C469" s="37" t="s">
        <v>15</v>
      </c>
      <c r="D469" s="37">
        <v>3639.13</v>
      </c>
      <c r="E469" s="37">
        <v>3758.45</v>
      </c>
      <c r="F469" s="37">
        <v>4056.75</v>
      </c>
      <c r="G469" s="37">
        <v>4254.84</v>
      </c>
      <c r="H469" s="37">
        <v>4344.8999999999996</v>
      </c>
    </row>
    <row r="470" spans="2:8">
      <c r="B470" s="277">
        <f t="shared" si="243"/>
        <v>10</v>
      </c>
      <c r="C470" s="37" t="s">
        <v>15</v>
      </c>
      <c r="D470" s="37">
        <v>3433.15</v>
      </c>
      <c r="E470" s="37">
        <v>3545.7</v>
      </c>
      <c r="F470" s="37">
        <v>3860.88</v>
      </c>
      <c r="G470" s="37">
        <v>4012.84</v>
      </c>
      <c r="H470" s="37">
        <v>4108.51</v>
      </c>
    </row>
    <row r="471" spans="2:8">
      <c r="B471" s="277">
        <f t="shared" si="243"/>
        <v>9</v>
      </c>
      <c r="C471" s="37" t="s">
        <v>15</v>
      </c>
      <c r="D471" s="37">
        <v>3264.3</v>
      </c>
      <c r="E471" s="37">
        <v>3433.15</v>
      </c>
      <c r="F471" s="37">
        <v>3545.7</v>
      </c>
      <c r="G471" s="37">
        <v>3759.57</v>
      </c>
      <c r="H471" s="37">
        <v>3849.62</v>
      </c>
    </row>
    <row r="472" spans="2:8">
      <c r="B472" s="277">
        <f t="shared" si="243"/>
        <v>8</v>
      </c>
      <c r="C472" s="37" t="s">
        <v>15</v>
      </c>
      <c r="D472" s="37">
        <v>3003.48</v>
      </c>
      <c r="E472" s="37">
        <v>3149.83</v>
      </c>
      <c r="F472" s="37">
        <v>3337.47</v>
      </c>
      <c r="G472" s="37">
        <v>3489.01</v>
      </c>
      <c r="H472" s="37">
        <v>3699.19</v>
      </c>
    </row>
    <row r="473" spans="2:8">
      <c r="B473" s="277">
        <f t="shared" si="243"/>
        <v>7</v>
      </c>
      <c r="C473" s="37" t="s">
        <v>15</v>
      </c>
      <c r="D473" s="37">
        <v>2830.56</v>
      </c>
      <c r="E473" s="37">
        <v>3003.48</v>
      </c>
      <c r="F473" s="37">
        <v>3269.54</v>
      </c>
      <c r="G473" s="37">
        <v>3402.54</v>
      </c>
      <c r="H473" s="37">
        <v>3539.56</v>
      </c>
    </row>
    <row r="474" spans="2:8">
      <c r="B474" s="277">
        <f t="shared" si="243"/>
        <v>6</v>
      </c>
      <c r="C474" s="37">
        <v>2379.67</v>
      </c>
      <c r="D474" s="37">
        <v>2538.09</v>
      </c>
      <c r="E474" s="37">
        <v>2697.56</v>
      </c>
      <c r="F474" s="37">
        <v>3036.75</v>
      </c>
      <c r="G474" s="37">
        <v>3123.21</v>
      </c>
      <c r="H474" s="37">
        <v>3282.8</v>
      </c>
    </row>
    <row r="475" spans="2:8">
      <c r="B475" s="277">
        <f t="shared" si="243"/>
        <v>5</v>
      </c>
      <c r="C475" s="37">
        <v>2284.2800000000002</v>
      </c>
      <c r="D475" s="37">
        <v>2500.89</v>
      </c>
      <c r="E475" s="37">
        <v>2564.56</v>
      </c>
      <c r="F475" s="37">
        <v>2670.95</v>
      </c>
      <c r="G475" s="37">
        <v>2750.78</v>
      </c>
      <c r="H475" s="37">
        <v>2938.3</v>
      </c>
    </row>
    <row r="483" spans="1:8">
      <c r="B483" s="172" t="s">
        <v>209</v>
      </c>
      <c r="C483" s="247">
        <v>50</v>
      </c>
    </row>
    <row r="484" spans="1:8">
      <c r="A484" s="155" t="s">
        <v>619</v>
      </c>
      <c r="B484" s="75">
        <v>2021</v>
      </c>
      <c r="C484" s="75" t="str">
        <f t="shared" ref="C484:H484" si="244">C274</f>
        <v>Stufe 1</v>
      </c>
      <c r="D484" s="75" t="str">
        <f t="shared" si="244"/>
        <v>Stufe 2</v>
      </c>
      <c r="E484" s="75" t="str">
        <f t="shared" si="244"/>
        <v>Stufe 3</v>
      </c>
      <c r="F484" s="75" t="str">
        <f t="shared" si="244"/>
        <v>Stufe 4</v>
      </c>
      <c r="G484" s="75" t="str">
        <f t="shared" si="244"/>
        <v>Stufe 5</v>
      </c>
      <c r="H484" s="75" t="str">
        <f t="shared" si="244"/>
        <v>Stufe 6</v>
      </c>
    </row>
    <row r="485" spans="1:8">
      <c r="B485" s="277">
        <f>B464</f>
        <v>16</v>
      </c>
      <c r="C485" s="37" t="str">
        <f t="shared" ref="C485:H485" si="245">IF(C464="-","-",IF((ROUND(C464*$B$483,2)-C464)&lt;$C$483,C464+$C$483,ROUND(C464*$B$483,2)))</f>
        <v>-</v>
      </c>
      <c r="D485" s="37">
        <f t="shared" si="245"/>
        <v>4411.4399999999996</v>
      </c>
      <c r="E485" s="37">
        <f t="shared" si="245"/>
        <v>4566.09</v>
      </c>
      <c r="F485" s="37">
        <f t="shared" si="245"/>
        <v>5065.45</v>
      </c>
      <c r="G485" s="37">
        <f t="shared" si="245"/>
        <v>5647.54</v>
      </c>
      <c r="H485" s="37">
        <f t="shared" si="245"/>
        <v>5904.31</v>
      </c>
    </row>
    <row r="486" spans="1:8">
      <c r="B486" s="277">
        <f t="shared" ref="B486:B496" si="246">B465</f>
        <v>15</v>
      </c>
      <c r="C486" s="37" t="str">
        <f t="shared" ref="C486:H486" si="247">IF(C465="-","-",IF((ROUND(C465*$B$483,2)-C465)&lt;$C$483,C465+$C$483,ROUND(C465*$B$483,2)))</f>
        <v>-</v>
      </c>
      <c r="D486" s="37">
        <f t="shared" si="247"/>
        <v>4316.7</v>
      </c>
      <c r="E486" s="37">
        <f t="shared" si="247"/>
        <v>4458.22</v>
      </c>
      <c r="F486" s="37">
        <f t="shared" si="247"/>
        <v>4812.05</v>
      </c>
      <c r="G486" s="37">
        <f t="shared" si="247"/>
        <v>5235.51</v>
      </c>
      <c r="H486" s="37">
        <f t="shared" si="247"/>
        <v>5397.23</v>
      </c>
    </row>
    <row r="487" spans="1:8">
      <c r="B487" s="277">
        <f t="shared" si="246"/>
        <v>14</v>
      </c>
      <c r="C487" s="37" t="str">
        <f t="shared" ref="C487:H487" si="248">IF(C466="-","-",IF((ROUND(C466*$B$483,2)-C466)&lt;$C$483,C466+$C$483,ROUND(C466*$B$483,2)))</f>
        <v>-</v>
      </c>
      <c r="D487" s="37">
        <f t="shared" si="248"/>
        <v>4212.26</v>
      </c>
      <c r="E487" s="37">
        <f t="shared" si="248"/>
        <v>4350.37</v>
      </c>
      <c r="F487" s="37">
        <f t="shared" si="248"/>
        <v>4695.6400000000003</v>
      </c>
      <c r="G487" s="37">
        <f t="shared" si="248"/>
        <v>5164.74</v>
      </c>
      <c r="H487" s="37">
        <f t="shared" si="248"/>
        <v>5250.34</v>
      </c>
    </row>
    <row r="488" spans="1:8">
      <c r="B488" s="277">
        <f t="shared" si="246"/>
        <v>13</v>
      </c>
      <c r="C488" s="37" t="str">
        <f t="shared" ref="C488:H488" si="249">IF(C467="-","-",IF((ROUND(C467*$B$483,2)-C467)&lt;$C$483,C467+$C$483,ROUND(C467*$B$483,2)))</f>
        <v>-</v>
      </c>
      <c r="D488" s="37">
        <f t="shared" si="249"/>
        <v>4107.84</v>
      </c>
      <c r="E488" s="37">
        <f t="shared" si="249"/>
        <v>4242.5200000000004</v>
      </c>
      <c r="F488" s="37">
        <f t="shared" si="249"/>
        <v>4579.21</v>
      </c>
      <c r="G488" s="37">
        <f t="shared" si="249"/>
        <v>4822.33</v>
      </c>
      <c r="H488" s="37">
        <f t="shared" si="249"/>
        <v>4885.1000000000004</v>
      </c>
    </row>
    <row r="489" spans="1:8">
      <c r="B489" s="277">
        <f t="shared" si="246"/>
        <v>12</v>
      </c>
      <c r="C489" s="37" t="str">
        <f t="shared" ref="C489:H489" si="250">IF(C468="-","-",IF((ROUND(C468*$B$483,2)-C468)&lt;$C$483,C468+$C$483,ROUND(C468*$B$483,2)))</f>
        <v>-</v>
      </c>
      <c r="D489" s="37">
        <f t="shared" si="250"/>
        <v>3898.94</v>
      </c>
      <c r="E489" s="37">
        <f t="shared" si="250"/>
        <v>4026.79</v>
      </c>
      <c r="F489" s="37">
        <f t="shared" si="250"/>
        <v>4346.38</v>
      </c>
      <c r="G489" s="37">
        <f t="shared" si="250"/>
        <v>4542.6899999999996</v>
      </c>
      <c r="H489" s="37">
        <f t="shared" si="250"/>
        <v>4634</v>
      </c>
    </row>
    <row r="490" spans="1:8">
      <c r="B490" s="277">
        <f t="shared" si="246"/>
        <v>11</v>
      </c>
      <c r="C490" s="37" t="str">
        <f t="shared" ref="C490:H490" si="251">IF(C469="-","-",IF((ROUND(C469*$B$483,2)-C469)&lt;$C$483,C469+$C$483,ROUND(C469*$B$483,2)))</f>
        <v>-</v>
      </c>
      <c r="D490" s="37">
        <f t="shared" si="251"/>
        <v>3690.08</v>
      </c>
      <c r="E490" s="37">
        <f t="shared" si="251"/>
        <v>3811.07</v>
      </c>
      <c r="F490" s="37">
        <f t="shared" si="251"/>
        <v>4113.54</v>
      </c>
      <c r="G490" s="37">
        <f t="shared" si="251"/>
        <v>4314.41</v>
      </c>
      <c r="H490" s="37">
        <f t="shared" si="251"/>
        <v>4405.7299999999996</v>
      </c>
    </row>
    <row r="491" spans="1:8">
      <c r="B491" s="277">
        <f t="shared" si="246"/>
        <v>10</v>
      </c>
      <c r="C491" s="37" t="str">
        <f t="shared" ref="C491:H491" si="252">IF(C470="-","-",IF((ROUND(C470*$B$483,2)-C470)&lt;$C$483,C470+$C$483,ROUND(C470*$B$483,2)))</f>
        <v>-</v>
      </c>
      <c r="D491" s="37">
        <f t="shared" si="252"/>
        <v>3483.15</v>
      </c>
      <c r="E491" s="37">
        <f t="shared" si="252"/>
        <v>3595.7</v>
      </c>
      <c r="F491" s="37">
        <f t="shared" si="252"/>
        <v>3914.93</v>
      </c>
      <c r="G491" s="37">
        <f t="shared" si="252"/>
        <v>4069.02</v>
      </c>
      <c r="H491" s="37">
        <f t="shared" si="252"/>
        <v>4166.03</v>
      </c>
    </row>
    <row r="492" spans="1:8">
      <c r="B492" s="277">
        <f t="shared" si="246"/>
        <v>9</v>
      </c>
      <c r="C492" s="37" t="str">
        <f t="shared" ref="C492:H492" si="253">IF(C471="-","-",IF((ROUND(C471*$B$483,2)-C471)&lt;$C$483,C471+$C$483,ROUND(C471*$B$483,2)))</f>
        <v>-</v>
      </c>
      <c r="D492" s="37">
        <f t="shared" si="253"/>
        <v>3314.3</v>
      </c>
      <c r="E492" s="37">
        <f t="shared" si="253"/>
        <v>3483.15</v>
      </c>
      <c r="F492" s="37">
        <f t="shared" si="253"/>
        <v>3595.7</v>
      </c>
      <c r="G492" s="37">
        <f t="shared" si="253"/>
        <v>3812.2</v>
      </c>
      <c r="H492" s="37">
        <f t="shared" si="253"/>
        <v>3903.51</v>
      </c>
    </row>
    <row r="493" spans="1:8">
      <c r="B493" s="277">
        <f t="shared" si="246"/>
        <v>8</v>
      </c>
      <c r="C493" s="37" t="str">
        <f t="shared" ref="C493:H493" si="254">IF(C472="-","-",IF((ROUND(C472*$B$483,2)-C472)&lt;$C$483,C472+$C$483,ROUND(C472*$B$483,2)))</f>
        <v>-</v>
      </c>
      <c r="D493" s="37">
        <f t="shared" si="254"/>
        <v>3053.48</v>
      </c>
      <c r="E493" s="37">
        <f t="shared" si="254"/>
        <v>3199.83</v>
      </c>
      <c r="F493" s="37">
        <f t="shared" si="254"/>
        <v>3387.47</v>
      </c>
      <c r="G493" s="37">
        <f t="shared" si="254"/>
        <v>3539.01</v>
      </c>
      <c r="H493" s="37">
        <f t="shared" si="254"/>
        <v>3750.98</v>
      </c>
    </row>
    <row r="494" spans="1:8">
      <c r="B494" s="277">
        <f t="shared" si="246"/>
        <v>7</v>
      </c>
      <c r="C494" s="37" t="str">
        <f t="shared" ref="C494:H494" si="255">IF(C473="-","-",IF((ROUND(C473*$B$483,2)-C473)&lt;$C$483,C473+$C$483,ROUND(C473*$B$483,2)))</f>
        <v>-</v>
      </c>
      <c r="D494" s="37">
        <f t="shared" si="255"/>
        <v>2880.56</v>
      </c>
      <c r="E494" s="37">
        <f t="shared" si="255"/>
        <v>3053.48</v>
      </c>
      <c r="F494" s="37">
        <f t="shared" si="255"/>
        <v>3319.54</v>
      </c>
      <c r="G494" s="37">
        <f t="shared" si="255"/>
        <v>3452.54</v>
      </c>
      <c r="H494" s="37">
        <f t="shared" si="255"/>
        <v>3589.56</v>
      </c>
    </row>
    <row r="495" spans="1:8">
      <c r="B495" s="277">
        <f t="shared" si="246"/>
        <v>6</v>
      </c>
      <c r="C495" s="37">
        <f t="shared" ref="C495:H495" si="256">IF(C474="-","-",IF((ROUND(C474*$B$483,2)-C474)&lt;$C$483,C474+$C$483,ROUND(C474*$B$483,2)))</f>
        <v>2429.67</v>
      </c>
      <c r="D495" s="37">
        <f t="shared" si="256"/>
        <v>2588.09</v>
      </c>
      <c r="E495" s="37">
        <f t="shared" si="256"/>
        <v>2747.56</v>
      </c>
      <c r="F495" s="37">
        <f t="shared" si="256"/>
        <v>3086.75</v>
      </c>
      <c r="G495" s="37">
        <f t="shared" si="256"/>
        <v>3173.21</v>
      </c>
      <c r="H495" s="37">
        <f t="shared" si="256"/>
        <v>3332.8</v>
      </c>
    </row>
    <row r="496" spans="1:8">
      <c r="B496" s="277">
        <f t="shared" si="246"/>
        <v>5</v>
      </c>
      <c r="C496" s="37">
        <f t="shared" ref="C496:H496" si="257">IF(C475="-","-",IF((ROUND(C475*$B$483,2)-C475)&lt;$C$483,C475+$C$483,ROUND(C475*$B$483,2)))</f>
        <v>2334.2800000000002</v>
      </c>
      <c r="D496" s="37">
        <f t="shared" si="257"/>
        <v>2550.89</v>
      </c>
      <c r="E496" s="37">
        <f t="shared" si="257"/>
        <v>2614.56</v>
      </c>
      <c r="F496" s="37">
        <f t="shared" si="257"/>
        <v>2720.95</v>
      </c>
      <c r="G496" s="37">
        <f t="shared" si="257"/>
        <v>2800.78</v>
      </c>
      <c r="H496" s="37">
        <f t="shared" si="257"/>
        <v>2988.3</v>
      </c>
    </row>
    <row r="504" spans="1:8">
      <c r="B504" s="172" t="s">
        <v>621</v>
      </c>
      <c r="C504" s="247"/>
    </row>
    <row r="505" spans="1:8">
      <c r="A505" s="155" t="s">
        <v>620</v>
      </c>
      <c r="B505" s="75">
        <v>2022</v>
      </c>
      <c r="C505" s="75" t="str">
        <f t="shared" ref="C505:H505" si="258">C295</f>
        <v>Stufe 1</v>
      </c>
      <c r="D505" s="75" t="str">
        <f t="shared" si="258"/>
        <v>Stufe 2</v>
      </c>
      <c r="E505" s="75" t="str">
        <f t="shared" si="258"/>
        <v>Stufe 3</v>
      </c>
      <c r="F505" s="75" t="str">
        <f t="shared" si="258"/>
        <v>Stufe 4</v>
      </c>
      <c r="G505" s="75" t="str">
        <f t="shared" si="258"/>
        <v>Stufe 5</v>
      </c>
      <c r="H505" s="75" t="str">
        <f t="shared" si="258"/>
        <v>Stufe 6</v>
      </c>
    </row>
    <row r="506" spans="1:8">
      <c r="B506" s="277">
        <f>B485</f>
        <v>16</v>
      </c>
      <c r="C506" s="37" t="str">
        <f t="shared" ref="C506:H506" si="259">IF(C485="-","-",ROUND(C485*$B$504,2))</f>
        <v>-</v>
      </c>
      <c r="D506" s="37">
        <f t="shared" si="259"/>
        <v>4490.8500000000004</v>
      </c>
      <c r="E506" s="37">
        <f t="shared" si="259"/>
        <v>4648.28</v>
      </c>
      <c r="F506" s="37">
        <f t="shared" si="259"/>
        <v>5156.63</v>
      </c>
      <c r="G506" s="37">
        <f t="shared" si="259"/>
        <v>5749.2</v>
      </c>
      <c r="H506" s="37">
        <f t="shared" si="259"/>
        <v>6010.59</v>
      </c>
    </row>
    <row r="507" spans="1:8">
      <c r="B507" s="277">
        <f t="shared" ref="B507:B517" si="260">B486</f>
        <v>15</v>
      </c>
      <c r="C507" s="37" t="str">
        <f t="shared" ref="C507:H507" si="261">IF(C486="-","-",ROUND(C486*$B$504,2))</f>
        <v>-</v>
      </c>
      <c r="D507" s="37">
        <f t="shared" si="261"/>
        <v>4394.3999999999996</v>
      </c>
      <c r="E507" s="37">
        <f t="shared" si="261"/>
        <v>4538.47</v>
      </c>
      <c r="F507" s="37">
        <f t="shared" si="261"/>
        <v>4898.67</v>
      </c>
      <c r="G507" s="37">
        <f t="shared" si="261"/>
        <v>5329.75</v>
      </c>
      <c r="H507" s="37">
        <f t="shared" si="261"/>
        <v>5494.38</v>
      </c>
    </row>
    <row r="508" spans="1:8">
      <c r="B508" s="277">
        <f t="shared" si="260"/>
        <v>14</v>
      </c>
      <c r="C508" s="37" t="str">
        <f t="shared" ref="C508:H508" si="262">IF(C487="-","-",ROUND(C487*$B$504,2))</f>
        <v>-</v>
      </c>
      <c r="D508" s="37">
        <f t="shared" si="262"/>
        <v>4288.08</v>
      </c>
      <c r="E508" s="37">
        <f t="shared" si="262"/>
        <v>4428.68</v>
      </c>
      <c r="F508" s="37">
        <f t="shared" si="262"/>
        <v>4780.16</v>
      </c>
      <c r="G508" s="37">
        <f t="shared" si="262"/>
        <v>5257.71</v>
      </c>
      <c r="H508" s="37">
        <f t="shared" si="262"/>
        <v>5344.85</v>
      </c>
    </row>
    <row r="509" spans="1:8">
      <c r="B509" s="277">
        <f t="shared" si="260"/>
        <v>13</v>
      </c>
      <c r="C509" s="37" t="str">
        <f t="shared" ref="C509:H509" si="263">IF(C488="-","-",ROUND(C488*$B$504,2))</f>
        <v>-</v>
      </c>
      <c r="D509" s="37">
        <f t="shared" si="263"/>
        <v>4181.78</v>
      </c>
      <c r="E509" s="37">
        <f t="shared" si="263"/>
        <v>4318.8900000000003</v>
      </c>
      <c r="F509" s="37">
        <f t="shared" si="263"/>
        <v>4661.6400000000003</v>
      </c>
      <c r="G509" s="37">
        <f t="shared" si="263"/>
        <v>4909.13</v>
      </c>
      <c r="H509" s="37">
        <f t="shared" si="263"/>
        <v>4973.03</v>
      </c>
    </row>
    <row r="510" spans="1:8">
      <c r="B510" s="277">
        <f t="shared" si="260"/>
        <v>12</v>
      </c>
      <c r="C510" s="37" t="str">
        <f t="shared" ref="C510:H510" si="264">IF(C489="-","-",ROUND(C489*$B$504,2))</f>
        <v>-</v>
      </c>
      <c r="D510" s="37">
        <f t="shared" si="264"/>
        <v>3969.12</v>
      </c>
      <c r="E510" s="37">
        <f t="shared" si="264"/>
        <v>4099.2700000000004</v>
      </c>
      <c r="F510" s="37">
        <f t="shared" si="264"/>
        <v>4424.6099999999997</v>
      </c>
      <c r="G510" s="37">
        <f t="shared" si="264"/>
        <v>4624.46</v>
      </c>
      <c r="H510" s="37">
        <f t="shared" si="264"/>
        <v>4717.41</v>
      </c>
    </row>
    <row r="511" spans="1:8">
      <c r="B511" s="277">
        <f t="shared" si="260"/>
        <v>11</v>
      </c>
      <c r="C511" s="37" t="str">
        <f t="shared" ref="C511:H511" si="265">IF(C490="-","-",ROUND(C490*$B$504,2))</f>
        <v>-</v>
      </c>
      <c r="D511" s="37">
        <f t="shared" si="265"/>
        <v>3756.5</v>
      </c>
      <c r="E511" s="37">
        <f t="shared" si="265"/>
        <v>3879.67</v>
      </c>
      <c r="F511" s="37">
        <f t="shared" si="265"/>
        <v>4187.58</v>
      </c>
      <c r="G511" s="37">
        <f t="shared" si="265"/>
        <v>4392.07</v>
      </c>
      <c r="H511" s="37">
        <f t="shared" si="265"/>
        <v>4485.03</v>
      </c>
    </row>
    <row r="512" spans="1:8">
      <c r="B512" s="277">
        <f t="shared" si="260"/>
        <v>10</v>
      </c>
      <c r="C512" s="37" t="str">
        <f t="shared" ref="C512:H512" si="266">IF(C491="-","-",ROUND(C491*$B$504,2))</f>
        <v>-</v>
      </c>
      <c r="D512" s="37">
        <f t="shared" si="266"/>
        <v>3545.85</v>
      </c>
      <c r="E512" s="37">
        <f t="shared" si="266"/>
        <v>3660.42</v>
      </c>
      <c r="F512" s="37">
        <f t="shared" si="266"/>
        <v>3985.4</v>
      </c>
      <c r="G512" s="37">
        <f t="shared" si="266"/>
        <v>4142.26</v>
      </c>
      <c r="H512" s="37">
        <f t="shared" si="266"/>
        <v>4241.0200000000004</v>
      </c>
    </row>
    <row r="513" spans="2:8">
      <c r="B513" s="277">
        <f t="shared" si="260"/>
        <v>9</v>
      </c>
      <c r="C513" s="37" t="str">
        <f t="shared" ref="C513:H513" si="267">IF(C492="-","-",ROUND(C492*$B$504,2))</f>
        <v>-</v>
      </c>
      <c r="D513" s="37">
        <f t="shared" si="267"/>
        <v>3373.96</v>
      </c>
      <c r="E513" s="37">
        <f t="shared" si="267"/>
        <v>3545.85</v>
      </c>
      <c r="F513" s="37">
        <f t="shared" si="267"/>
        <v>3660.42</v>
      </c>
      <c r="G513" s="37">
        <f t="shared" si="267"/>
        <v>3880.82</v>
      </c>
      <c r="H513" s="37">
        <f t="shared" si="267"/>
        <v>3973.77</v>
      </c>
    </row>
    <row r="514" spans="2:8">
      <c r="B514" s="277">
        <f t="shared" si="260"/>
        <v>8</v>
      </c>
      <c r="C514" s="37" t="str">
        <f t="shared" ref="C514:H514" si="268">IF(C493="-","-",ROUND(C493*$B$504,2))</f>
        <v>-</v>
      </c>
      <c r="D514" s="37">
        <f t="shared" si="268"/>
        <v>3108.44</v>
      </c>
      <c r="E514" s="37">
        <f t="shared" si="268"/>
        <v>3257.43</v>
      </c>
      <c r="F514" s="37">
        <f t="shared" si="268"/>
        <v>3448.44</v>
      </c>
      <c r="G514" s="37">
        <f t="shared" si="268"/>
        <v>3602.71</v>
      </c>
      <c r="H514" s="37">
        <f t="shared" si="268"/>
        <v>3818.5</v>
      </c>
    </row>
    <row r="515" spans="2:8">
      <c r="B515" s="277">
        <f t="shared" si="260"/>
        <v>7</v>
      </c>
      <c r="C515" s="37" t="str">
        <f t="shared" ref="C515:H515" si="269">IF(C494="-","-",ROUND(C494*$B$504,2))</f>
        <v>-</v>
      </c>
      <c r="D515" s="37">
        <f t="shared" si="269"/>
        <v>2932.41</v>
      </c>
      <c r="E515" s="37">
        <f t="shared" si="269"/>
        <v>3108.44</v>
      </c>
      <c r="F515" s="37">
        <f t="shared" si="269"/>
        <v>3379.29</v>
      </c>
      <c r="G515" s="37">
        <f t="shared" si="269"/>
        <v>3514.69</v>
      </c>
      <c r="H515" s="37">
        <f t="shared" si="269"/>
        <v>3654.17</v>
      </c>
    </row>
    <row r="516" spans="2:8">
      <c r="B516" s="277">
        <f t="shared" si="260"/>
        <v>6</v>
      </c>
      <c r="C516" s="37">
        <f t="shared" ref="C516:H516" si="270">IF(C495="-","-",ROUND(C495*$B$504,2))</f>
        <v>2473.4</v>
      </c>
      <c r="D516" s="37">
        <f t="shared" si="270"/>
        <v>2634.68</v>
      </c>
      <c r="E516" s="37">
        <f t="shared" si="270"/>
        <v>2797.02</v>
      </c>
      <c r="F516" s="37">
        <f t="shared" si="270"/>
        <v>3142.31</v>
      </c>
      <c r="G516" s="37">
        <f t="shared" si="270"/>
        <v>3230.33</v>
      </c>
      <c r="H516" s="37">
        <f t="shared" si="270"/>
        <v>3392.79</v>
      </c>
    </row>
    <row r="517" spans="2:8">
      <c r="B517" s="277">
        <f t="shared" si="260"/>
        <v>5</v>
      </c>
      <c r="C517" s="37">
        <f t="shared" ref="C517:H517" si="271">IF(C496="-","-",ROUND(C496*$B$504,2))</f>
        <v>2376.3000000000002</v>
      </c>
      <c r="D517" s="37">
        <f t="shared" si="271"/>
        <v>2596.81</v>
      </c>
      <c r="E517" s="37">
        <f t="shared" si="271"/>
        <v>2661.62</v>
      </c>
      <c r="F517" s="37">
        <f t="shared" si="271"/>
        <v>2769.93</v>
      </c>
      <c r="G517" s="37">
        <f t="shared" si="271"/>
        <v>2851.19</v>
      </c>
      <c r="H517" s="37">
        <f t="shared" si="271"/>
        <v>3042.09</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tabColor rgb="FFC00000"/>
  </sheetPr>
  <dimension ref="A1:DX144"/>
  <sheetViews>
    <sheetView topLeftCell="CT1" workbookViewId="0">
      <selection activeCell="Q1" sqref="Q1"/>
    </sheetView>
  </sheetViews>
  <sheetFormatPr baseColWidth="10" defaultColWidth="8.5703125" defaultRowHeight="11.25"/>
  <cols>
    <col min="1" max="1" width="23.140625" style="135" customWidth="1"/>
    <col min="2" max="16384" width="8.5703125" style="135"/>
  </cols>
  <sheetData>
    <row r="1" spans="1:128">
      <c r="A1" s="135" t="s">
        <v>106</v>
      </c>
      <c r="B1" s="75" t="s">
        <v>6</v>
      </c>
      <c r="C1" s="74" t="s">
        <v>7</v>
      </c>
      <c r="D1" s="74" t="s">
        <v>8</v>
      </c>
      <c r="E1" s="74" t="s">
        <v>9</v>
      </c>
      <c r="F1" s="74" t="s">
        <v>10</v>
      </c>
      <c r="G1" s="74" t="s">
        <v>11</v>
      </c>
      <c r="H1" s="74" t="s">
        <v>12</v>
      </c>
      <c r="J1" s="75">
        <v>2008</v>
      </c>
      <c r="K1" s="74" t="str">
        <f t="shared" ref="K1:P1" si="0">C1</f>
        <v>Stufe 1</v>
      </c>
      <c r="L1" s="74" t="str">
        <f t="shared" si="0"/>
        <v>Stufe 2</v>
      </c>
      <c r="M1" s="74" t="str">
        <f t="shared" si="0"/>
        <v>Stufe 3</v>
      </c>
      <c r="N1" s="74" t="str">
        <f t="shared" si="0"/>
        <v>Stufe 4</v>
      </c>
      <c r="O1" s="74" t="str">
        <f t="shared" si="0"/>
        <v>Stufe 5</v>
      </c>
      <c r="P1" s="74" t="str">
        <f t="shared" si="0"/>
        <v>Stufe 6</v>
      </c>
      <c r="R1" s="75">
        <v>2009</v>
      </c>
      <c r="S1" s="74" t="str">
        <f t="shared" ref="S1:X1" si="1">C1</f>
        <v>Stufe 1</v>
      </c>
      <c r="T1" s="74" t="str">
        <f t="shared" si="1"/>
        <v>Stufe 2</v>
      </c>
      <c r="U1" s="74" t="str">
        <f t="shared" si="1"/>
        <v>Stufe 3</v>
      </c>
      <c r="V1" s="74" t="str">
        <f t="shared" si="1"/>
        <v>Stufe 4</v>
      </c>
      <c r="W1" s="74" t="str">
        <f t="shared" si="1"/>
        <v>Stufe 5</v>
      </c>
      <c r="X1" s="74" t="str">
        <f t="shared" si="1"/>
        <v>Stufe 6</v>
      </c>
      <c r="Z1" s="75">
        <v>2010</v>
      </c>
      <c r="AA1" s="74" t="str">
        <f t="shared" ref="AA1:AF1" si="2">C$1</f>
        <v>Stufe 1</v>
      </c>
      <c r="AB1" s="74" t="str">
        <f t="shared" si="2"/>
        <v>Stufe 2</v>
      </c>
      <c r="AC1" s="74" t="str">
        <f t="shared" si="2"/>
        <v>Stufe 3</v>
      </c>
      <c r="AD1" s="74" t="str">
        <f t="shared" si="2"/>
        <v>Stufe 4</v>
      </c>
      <c r="AE1" s="74" t="str">
        <f t="shared" si="2"/>
        <v>Stufe 5</v>
      </c>
      <c r="AF1" s="74" t="str">
        <f t="shared" si="2"/>
        <v>Stufe 6</v>
      </c>
      <c r="AH1" s="75">
        <f>'L Tab'!AH1</f>
        <v>2011</v>
      </c>
      <c r="AI1" s="74" t="str">
        <f t="shared" ref="AI1:AN1" si="3">K$1</f>
        <v>Stufe 1</v>
      </c>
      <c r="AJ1" s="74" t="str">
        <f t="shared" si="3"/>
        <v>Stufe 2</v>
      </c>
      <c r="AK1" s="74" t="str">
        <f t="shared" si="3"/>
        <v>Stufe 3</v>
      </c>
      <c r="AL1" s="74" t="str">
        <f t="shared" si="3"/>
        <v>Stufe 4</v>
      </c>
      <c r="AM1" s="74" t="str">
        <f t="shared" si="3"/>
        <v>Stufe 5</v>
      </c>
      <c r="AN1" s="74" t="str">
        <f t="shared" si="3"/>
        <v>Stufe 6</v>
      </c>
      <c r="AP1" s="75">
        <f>'L Tab'!AP1</f>
        <v>2012</v>
      </c>
      <c r="AQ1" s="74" t="str">
        <f t="shared" ref="AQ1:AV1" si="4">S$1</f>
        <v>Stufe 1</v>
      </c>
      <c r="AR1" s="74" t="str">
        <f t="shared" si="4"/>
        <v>Stufe 2</v>
      </c>
      <c r="AS1" s="74" t="str">
        <f t="shared" si="4"/>
        <v>Stufe 3</v>
      </c>
      <c r="AT1" s="74" t="str">
        <f t="shared" si="4"/>
        <v>Stufe 4</v>
      </c>
      <c r="AU1" s="74" t="str">
        <f t="shared" si="4"/>
        <v>Stufe 5</v>
      </c>
      <c r="AV1" s="74" t="str">
        <f t="shared" si="4"/>
        <v>Stufe 6</v>
      </c>
      <c r="AX1" s="215">
        <v>2013</v>
      </c>
      <c r="AY1" s="74" t="str">
        <f t="shared" ref="AY1:BD1" si="5">AA$1</f>
        <v>Stufe 1</v>
      </c>
      <c r="AZ1" s="74" t="str">
        <f t="shared" si="5"/>
        <v>Stufe 2</v>
      </c>
      <c r="BA1" s="74" t="str">
        <f t="shared" si="5"/>
        <v>Stufe 3</v>
      </c>
      <c r="BB1" s="74" t="str">
        <f t="shared" si="5"/>
        <v>Stufe 4</v>
      </c>
      <c r="BC1" s="74" t="str">
        <f t="shared" si="5"/>
        <v>Stufe 5</v>
      </c>
      <c r="BD1" s="74" t="str">
        <f t="shared" si="5"/>
        <v>Stufe 6</v>
      </c>
      <c r="BF1" s="215">
        <v>2014</v>
      </c>
      <c r="BG1" s="74" t="str">
        <f t="shared" ref="BG1:BL1" si="6">AI$1</f>
        <v>Stufe 1</v>
      </c>
      <c r="BH1" s="74" t="str">
        <f t="shared" si="6"/>
        <v>Stufe 2</v>
      </c>
      <c r="BI1" s="74" t="str">
        <f t="shared" si="6"/>
        <v>Stufe 3</v>
      </c>
      <c r="BJ1" s="74" t="str">
        <f t="shared" si="6"/>
        <v>Stufe 4</v>
      </c>
      <c r="BK1" s="74" t="str">
        <f t="shared" si="6"/>
        <v>Stufe 5</v>
      </c>
      <c r="BL1" s="74" t="str">
        <f t="shared" si="6"/>
        <v>Stufe 6</v>
      </c>
      <c r="BN1" s="215">
        <v>2015</v>
      </c>
      <c r="BO1" s="74" t="str">
        <f t="shared" ref="BO1:BT1" si="7">AQ$1</f>
        <v>Stufe 1</v>
      </c>
      <c r="BP1" s="74" t="str">
        <f t="shared" si="7"/>
        <v>Stufe 2</v>
      </c>
      <c r="BQ1" s="74" t="str">
        <f t="shared" si="7"/>
        <v>Stufe 3</v>
      </c>
      <c r="BR1" s="74" t="str">
        <f t="shared" si="7"/>
        <v>Stufe 4</v>
      </c>
      <c r="BS1" s="74" t="str">
        <f t="shared" si="7"/>
        <v>Stufe 5</v>
      </c>
      <c r="BT1" s="74" t="str">
        <f t="shared" si="7"/>
        <v>Stufe 6</v>
      </c>
      <c r="BV1" s="215">
        <v>2016</v>
      </c>
      <c r="BW1" s="74" t="str">
        <f t="shared" ref="BW1:CB1" si="8">AY$1</f>
        <v>Stufe 1</v>
      </c>
      <c r="BX1" s="74" t="str">
        <f t="shared" si="8"/>
        <v>Stufe 2</v>
      </c>
      <c r="BY1" s="74" t="str">
        <f t="shared" si="8"/>
        <v>Stufe 3</v>
      </c>
      <c r="BZ1" s="74" t="str">
        <f t="shared" si="8"/>
        <v>Stufe 4</v>
      </c>
      <c r="CA1" s="74" t="str">
        <f t="shared" si="8"/>
        <v>Stufe 5</v>
      </c>
      <c r="CB1" s="74" t="str">
        <f t="shared" si="8"/>
        <v>Stufe 6</v>
      </c>
      <c r="CD1" s="215">
        <v>2017</v>
      </c>
      <c r="CE1" s="74" t="str">
        <f t="shared" ref="CE1:CJ1" si="9">BG$1</f>
        <v>Stufe 1</v>
      </c>
      <c r="CF1" s="74" t="str">
        <f t="shared" si="9"/>
        <v>Stufe 2</v>
      </c>
      <c r="CG1" s="74" t="str">
        <f t="shared" si="9"/>
        <v>Stufe 3</v>
      </c>
      <c r="CH1" s="74" t="str">
        <f t="shared" si="9"/>
        <v>Stufe 4</v>
      </c>
      <c r="CI1" s="74" t="str">
        <f t="shared" si="9"/>
        <v>Stufe 5</v>
      </c>
      <c r="CJ1" s="74" t="str">
        <f t="shared" si="9"/>
        <v>Stufe 6</v>
      </c>
      <c r="CL1" s="215" t="s">
        <v>399</v>
      </c>
      <c r="CM1" s="74" t="str">
        <f t="shared" ref="CM1:CR1" si="10">BO$1</f>
        <v>Stufe 1</v>
      </c>
      <c r="CN1" s="74" t="str">
        <f t="shared" si="10"/>
        <v>Stufe 2</v>
      </c>
      <c r="CO1" s="74" t="str">
        <f t="shared" si="10"/>
        <v>Stufe 3</v>
      </c>
      <c r="CP1" s="74" t="str">
        <f t="shared" si="10"/>
        <v>Stufe 4</v>
      </c>
      <c r="CQ1" s="74" t="str">
        <f t="shared" si="10"/>
        <v>Stufe 5</v>
      </c>
      <c r="CR1" s="74" t="str">
        <f t="shared" si="10"/>
        <v>Stufe 6</v>
      </c>
      <c r="CT1" s="215" t="s">
        <v>400</v>
      </c>
      <c r="CU1" s="74" t="str">
        <f t="shared" ref="CU1:CZ1" si="11">BW$1</f>
        <v>Stufe 1</v>
      </c>
      <c r="CV1" s="74" t="str">
        <f t="shared" si="11"/>
        <v>Stufe 2</v>
      </c>
      <c r="CW1" s="74" t="str">
        <f t="shared" si="11"/>
        <v>Stufe 3</v>
      </c>
      <c r="CX1" s="74" t="str">
        <f t="shared" si="11"/>
        <v>Stufe 4</v>
      </c>
      <c r="CY1" s="74" t="str">
        <f t="shared" si="11"/>
        <v>Stufe 5</v>
      </c>
      <c r="CZ1" s="74" t="str">
        <f t="shared" si="11"/>
        <v>Stufe 6</v>
      </c>
      <c r="DB1" s="215">
        <v>2019</v>
      </c>
      <c r="DC1" s="74" t="str">
        <f t="shared" ref="DC1:DH1" si="12">AI1</f>
        <v>Stufe 1</v>
      </c>
      <c r="DD1" s="74" t="str">
        <f t="shared" si="12"/>
        <v>Stufe 2</v>
      </c>
      <c r="DE1" s="74" t="str">
        <f t="shared" si="12"/>
        <v>Stufe 3</v>
      </c>
      <c r="DF1" s="74" t="str">
        <f t="shared" si="12"/>
        <v>Stufe 4</v>
      </c>
      <c r="DG1" s="74" t="str">
        <f t="shared" si="12"/>
        <v>Stufe 5</v>
      </c>
      <c r="DH1" s="74" t="str">
        <f t="shared" si="12"/>
        <v>Stufe 6</v>
      </c>
      <c r="DJ1" s="215">
        <v>2020</v>
      </c>
      <c r="DK1" s="74" t="str">
        <f t="shared" ref="DK1:DP1" si="13">AQ1</f>
        <v>Stufe 1</v>
      </c>
      <c r="DL1" s="74" t="str">
        <f t="shared" si="13"/>
        <v>Stufe 2</v>
      </c>
      <c r="DM1" s="74" t="str">
        <f t="shared" si="13"/>
        <v>Stufe 3</v>
      </c>
      <c r="DN1" s="74" t="str">
        <f t="shared" si="13"/>
        <v>Stufe 4</v>
      </c>
      <c r="DO1" s="74" t="str">
        <f t="shared" si="13"/>
        <v>Stufe 5</v>
      </c>
      <c r="DP1" s="74" t="str">
        <f t="shared" si="13"/>
        <v>Stufe 6</v>
      </c>
      <c r="DR1" s="215">
        <v>2021</v>
      </c>
      <c r="DS1" s="74" t="str">
        <f t="shared" ref="DS1:DX1" si="14">AY1</f>
        <v>Stufe 1</v>
      </c>
      <c r="DT1" s="74" t="str">
        <f t="shared" si="14"/>
        <v>Stufe 2</v>
      </c>
      <c r="DU1" s="74" t="str">
        <f t="shared" si="14"/>
        <v>Stufe 3</v>
      </c>
      <c r="DV1" s="74" t="str">
        <f t="shared" si="14"/>
        <v>Stufe 4</v>
      </c>
      <c r="DW1" s="74" t="str">
        <f t="shared" si="14"/>
        <v>Stufe 5</v>
      </c>
      <c r="DX1" s="74" t="str">
        <f t="shared" si="14"/>
        <v>Stufe 6</v>
      </c>
    </row>
    <row r="2" spans="1:128">
      <c r="B2" s="101" t="s">
        <v>279</v>
      </c>
      <c r="C2" s="37" t="s">
        <v>15</v>
      </c>
      <c r="D2" s="37" t="s">
        <v>15</v>
      </c>
      <c r="E2" s="37">
        <v>3200</v>
      </c>
      <c r="F2" s="37">
        <v>3550</v>
      </c>
      <c r="G2" s="37">
        <v>4000</v>
      </c>
      <c r="H2" s="408">
        <f>G2+200</f>
        <v>4200</v>
      </c>
      <c r="J2" s="74" t="str">
        <f>B2</f>
        <v>12a</v>
      </c>
      <c r="K2" s="112" t="s">
        <v>15</v>
      </c>
      <c r="L2" s="112" t="s">
        <v>15</v>
      </c>
      <c r="M2" s="112">
        <v>3295</v>
      </c>
      <c r="N2" s="112">
        <v>3655</v>
      </c>
      <c r="O2" s="112">
        <v>4120</v>
      </c>
      <c r="P2" s="408">
        <v>4325.8</v>
      </c>
      <c r="Q2" s="408">
        <f>P2-O2</f>
        <v>205.80000000000018</v>
      </c>
      <c r="R2" s="74" t="str">
        <f>B2</f>
        <v>12a</v>
      </c>
      <c r="S2" s="112" t="str">
        <f t="shared" ref="S2:S13" si="15">IF(K2="-","-",ROUND((K2+$S$22)*$S$23,2))</f>
        <v>-</v>
      </c>
      <c r="T2" s="112" t="str">
        <f t="shared" ref="T2:X13" si="16">IF(L2="-","-",ROUND((L2+$S$22)*$S$23,2))</f>
        <v>-</v>
      </c>
      <c r="U2" s="112">
        <f t="shared" si="16"/>
        <v>3435.05</v>
      </c>
      <c r="V2" s="112">
        <f t="shared" si="16"/>
        <v>3805.85</v>
      </c>
      <c r="W2" s="112">
        <f t="shared" si="16"/>
        <v>4284.8</v>
      </c>
      <c r="X2" s="408">
        <f t="shared" si="16"/>
        <v>4496.7700000000004</v>
      </c>
      <c r="Y2" s="408">
        <f>X2-W2</f>
        <v>211.97000000000025</v>
      </c>
      <c r="Z2" s="176" t="str">
        <f>$B2</f>
        <v>12a</v>
      </c>
      <c r="AA2" s="112" t="str">
        <f t="shared" ref="AA2:AA13" si="17">IF(S2="-","-",ROUND(S2*$AA$23,2))</f>
        <v>-</v>
      </c>
      <c r="AB2" s="112" t="str">
        <f t="shared" ref="AB2:AF13" si="18">IF(T2="-","-",ROUND(T2*$AA$23,2))</f>
        <v>-</v>
      </c>
      <c r="AC2" s="112">
        <f t="shared" si="18"/>
        <v>3476.27</v>
      </c>
      <c r="AD2" s="112">
        <f t="shared" si="18"/>
        <v>3851.52</v>
      </c>
      <c r="AE2" s="112">
        <f t="shared" si="18"/>
        <v>4336.22</v>
      </c>
      <c r="AF2" s="408">
        <f t="shared" si="18"/>
        <v>4550.7299999999996</v>
      </c>
      <c r="AG2" s="408">
        <f>AF2-AE2</f>
        <v>214.50999999999931</v>
      </c>
      <c r="AH2" s="176" t="str">
        <f>$B2</f>
        <v>12a</v>
      </c>
      <c r="AI2" s="112" t="str">
        <f t="shared" ref="AI2:AN2" si="19">IF(AA2="-","-",ROUND((AA2+$AI$22)*$AI$23,2))</f>
        <v>-</v>
      </c>
      <c r="AJ2" s="112" t="str">
        <f t="shared" si="19"/>
        <v>-</v>
      </c>
      <c r="AK2" s="112">
        <f t="shared" si="19"/>
        <v>3528.41</v>
      </c>
      <c r="AL2" s="112">
        <f t="shared" si="19"/>
        <v>3909.29</v>
      </c>
      <c r="AM2" s="112">
        <f t="shared" si="19"/>
        <v>4401.26</v>
      </c>
      <c r="AN2" s="408">
        <f t="shared" si="19"/>
        <v>4618.99</v>
      </c>
      <c r="AO2" s="408">
        <f>AN2-AM2</f>
        <v>217.72999999999956</v>
      </c>
      <c r="AP2" s="176" t="str">
        <f>$B2</f>
        <v>12a</v>
      </c>
      <c r="AQ2" s="112" t="str">
        <f t="shared" ref="AQ2:AV2" si="20">IF(AI2="-","-",ROUND(AI2*$AQ$23,2)+$AQ$22)</f>
        <v>-</v>
      </c>
      <c r="AR2" s="112" t="str">
        <f t="shared" si="20"/>
        <v>-</v>
      </c>
      <c r="AS2" s="112">
        <f t="shared" si="20"/>
        <v>3612.45</v>
      </c>
      <c r="AT2" s="112">
        <f t="shared" si="20"/>
        <v>4000.57</v>
      </c>
      <c r="AU2" s="112">
        <f t="shared" si="20"/>
        <v>4501.88</v>
      </c>
      <c r="AV2" s="408">
        <f t="shared" si="20"/>
        <v>4723.75</v>
      </c>
      <c r="AW2" s="408">
        <f>AV2-AU2</f>
        <v>221.86999999999989</v>
      </c>
      <c r="AX2" s="176" t="str">
        <f>$B2</f>
        <v>12a</v>
      </c>
      <c r="AY2" s="112" t="str">
        <f t="shared" ref="AY2:BD2" si="21">IF(AQ2="-","-",ROUND((AQ2+$AY$22)*$AY$23,2))</f>
        <v>-</v>
      </c>
      <c r="AZ2" s="112" t="str">
        <f t="shared" si="21"/>
        <v>-</v>
      </c>
      <c r="BA2" s="112">
        <f>IF(AS2="-","-",ROUND((AS2+$AY$22)*$AY$23,2))</f>
        <v>3708.18</v>
      </c>
      <c r="BB2" s="112">
        <f t="shared" si="21"/>
        <v>4106.59</v>
      </c>
      <c r="BC2" s="112">
        <f t="shared" si="21"/>
        <v>4621.18</v>
      </c>
      <c r="BD2" s="408">
        <f t="shared" si="21"/>
        <v>4848.93</v>
      </c>
      <c r="BE2" s="408">
        <f>BD2-BC2</f>
        <v>227.75</v>
      </c>
      <c r="BF2" s="176" t="str">
        <f>$B2</f>
        <v>12a</v>
      </c>
      <c r="BG2" s="112" t="str">
        <f t="shared" ref="BG2:BL2" si="22">IF(AY2="-","-",ROUND((AY2+$BG$22)*$BG$23,2))</f>
        <v>-</v>
      </c>
      <c r="BH2" s="112" t="str">
        <f t="shared" si="22"/>
        <v>-</v>
      </c>
      <c r="BI2" s="112">
        <f t="shared" si="22"/>
        <v>3817.57</v>
      </c>
      <c r="BJ2" s="112">
        <f t="shared" si="22"/>
        <v>4227.7299999999996</v>
      </c>
      <c r="BK2" s="112">
        <f t="shared" si="22"/>
        <v>4757.5</v>
      </c>
      <c r="BL2" s="408">
        <f t="shared" si="22"/>
        <v>4991.97</v>
      </c>
      <c r="BM2" s="409">
        <f>BL2-BK2</f>
        <v>234.47000000000025</v>
      </c>
      <c r="BN2" s="176" t="str">
        <f>$B2</f>
        <v>12a</v>
      </c>
      <c r="BO2" s="112" t="str">
        <f t="shared" ref="BO2:BT2" si="23">IF(BG2="-","-",IF(AND($BO$21=0,$BO$22=0),ROUND(BG2*$BO$23,2),IF(AND($BO$21&gt;0,$BO$22=0,(((BG2*$BO$23)-BG2)&lt;$BO$21)),BG2+$BO$21,IF(AND($BO$21&gt;0,$BO$22=0,(((BG2*$BO$23)-BG2)&gt;=$BO$21)),ROUND(BG2*$BO$23,2),IF(AND($BO$22&gt;0,$BS$22=1),ROUND((BG2+$BO$22)*$BO$23,2),IF(AND($BO$22&gt;0,$BS$22=2),ROUND(BG2*$BO$23,2)+$BO$22))))))</f>
        <v>-</v>
      </c>
      <c r="BP2" s="112" t="str">
        <f t="shared" si="23"/>
        <v>-</v>
      </c>
      <c r="BQ2" s="112">
        <f t="shared" si="23"/>
        <v>3897.74</v>
      </c>
      <c r="BR2" s="112">
        <f t="shared" si="23"/>
        <v>4316.51</v>
      </c>
      <c r="BS2" s="112">
        <f t="shared" si="23"/>
        <v>4857.41</v>
      </c>
      <c r="BT2" s="408">
        <f t="shared" si="23"/>
        <v>5096.8</v>
      </c>
      <c r="BU2" s="409">
        <f>BT2-BS2</f>
        <v>239.39000000000033</v>
      </c>
      <c r="BV2" s="176" t="str">
        <f>$B2</f>
        <v>12a</v>
      </c>
      <c r="BW2" s="112" t="str">
        <f t="shared" ref="BW2:CB2" si="24">IF(BO2="-","-",IF(AND($BW$21=0,$BW$22=0),ROUND(BO2*$BW$23,2),IF(AND($BW$21&gt;0,$BW$22=0,(((BO2*$BW$23)-BO2)&lt;$BW$21)),BO2+$BW$21,IF(AND($BW$21&gt;0,$BW$22=0,(((BO2*$BW$23)-BO2)&gt;=$BW$21)),ROUND(BO2*$BW$23,2),IF(AND($BW$22&gt;0,$CA$22=1),ROUND((BO2+$BW$22)*$BW$23,2),IF(AND($BW$22&gt;0,$CA$22=2),ROUND(BO2*$BW$23,2)+$BW$22))))))</f>
        <v>-</v>
      </c>
      <c r="BX2" s="112" t="str">
        <f t="shared" si="24"/>
        <v>-</v>
      </c>
      <c r="BY2" s="112">
        <f t="shared" si="24"/>
        <v>3987.39</v>
      </c>
      <c r="BZ2" s="112">
        <f t="shared" si="24"/>
        <v>4415.79</v>
      </c>
      <c r="CA2" s="112">
        <f t="shared" si="24"/>
        <v>4969.13</v>
      </c>
      <c r="CB2" s="408">
        <f t="shared" si="24"/>
        <v>5214.03</v>
      </c>
      <c r="CC2" s="409">
        <f>CB2-CA2</f>
        <v>244.89999999999964</v>
      </c>
      <c r="CD2" s="176" t="str">
        <f>$B2</f>
        <v>12a</v>
      </c>
      <c r="CE2" s="112" t="str">
        <f>IF(BW2="-","-",IF(BW2&gt;3200,ROUND(BW2*'L Tab'!$CE$23,2),IF(ROUND(BW2*'L Tab'!$CE$23,2)-BW2&lt;'L Tab'!$CE$21,BW2+'L Tab'!$CE$21,ROUND(BW2*'L Tab'!$CE$23,2))))</f>
        <v>-</v>
      </c>
      <c r="CF2" s="112" t="str">
        <f>IF(BX2="-","-",IF(BX2&gt;3200,ROUND(BX2*'L Tab'!$CE$23,2),IF(ROUND(BX2*'L Tab'!$CE$23,2)-BX2&lt;'L Tab'!$CE$21,BX2+'L Tab'!$CE$21,ROUND(BX2*'L Tab'!$CE$23,2))))</f>
        <v>-</v>
      </c>
      <c r="CG2" s="112">
        <f>IF(BY2="-","-",IF(BY2&gt;3200,ROUND(BY2*'L Tab'!$CE$23,2),IF(ROUND(BY2*'L Tab'!$CE$23,2)-BY2&lt;'L Tab'!$CE$21,BY2+'L Tab'!$CE$21,ROUND(BY2*'L Tab'!$CE$23,2))))</f>
        <v>4067.14</v>
      </c>
      <c r="CH2" s="112">
        <f>IF(BZ2="-","-",IF(BZ2&gt;3200,ROUND(BZ2*'L Tab'!$CE$23,2),IF(ROUND(BZ2*'L Tab'!$CE$23,2)-BZ2&lt;'L Tab'!$CE$21,BZ2+'L Tab'!$CE$21,ROUND(BZ2*'L Tab'!$CE$23,2))))</f>
        <v>4504.1099999999997</v>
      </c>
      <c r="CI2" s="112">
        <f>IF(CA2="-","-",IF(CA2&gt;3200,ROUND(CA2*'L Tab'!$CE$23,2),IF(ROUND(CA2*'L Tab'!$CE$23,2)-CA2&lt;'L Tab'!$CE$21,CA2+'L Tab'!$CE$21,ROUND(CA2*'L Tab'!$CE$23,2))))</f>
        <v>5068.51</v>
      </c>
      <c r="CJ2" s="408">
        <f>IF(CB2="-","-",IF(CB2&gt;3200,ROUND(CB2*'L Tab'!$CE$23,2),IF(ROUND(CB2*'L Tab'!$CE$23,2)-CB2&lt;'L Tab'!$CE$21,CB2+'L Tab'!$CE$21,ROUND(CB2*'L Tab'!$CE$23,2))))</f>
        <v>5318.31</v>
      </c>
      <c r="CK2" s="409">
        <f>CJ2-CI2</f>
        <v>249.80000000000018</v>
      </c>
      <c r="CL2" s="176" t="str">
        <f>$B2</f>
        <v>12a</v>
      </c>
      <c r="CM2" s="112" t="str">
        <f>IF(CE2="-","-",ROUND(CE2*'L Tab'!$CM$23,2))</f>
        <v>-</v>
      </c>
      <c r="CN2" s="112" t="str">
        <f>IF(CF2="-","-",ROUND(CF2*'L Tab'!$CM$23,2))</f>
        <v>-</v>
      </c>
      <c r="CO2" s="112">
        <f>IF(CG2="-","-",ROUND(CG2*'L Tab'!$CM$23,2))</f>
        <v>4162.72</v>
      </c>
      <c r="CP2" s="112">
        <f>IF(CH2="-","-",ROUND(CH2*'L Tab'!$CM$23,2))</f>
        <v>4609.96</v>
      </c>
      <c r="CQ2" s="112">
        <f>IF(CI2="-","-",ROUND(CI2*'L Tab'!$CM$23,2))</f>
        <v>5187.62</v>
      </c>
      <c r="CR2" s="408">
        <f>IF(CJ2="-","-",ROUND(CJ2*'L Tab'!$CM$23,2))</f>
        <v>5443.29</v>
      </c>
      <c r="CS2" s="409">
        <f>CR2-CQ2</f>
        <v>255.67000000000007</v>
      </c>
      <c r="CT2" s="176" t="str">
        <f>$B2</f>
        <v>12a</v>
      </c>
      <c r="CU2" s="112" t="str">
        <f t="shared" ref="CU2:CZ2" si="25">CM2</f>
        <v>-</v>
      </c>
      <c r="CV2" s="112" t="str">
        <f t="shared" si="25"/>
        <v>-</v>
      </c>
      <c r="CW2" s="112">
        <f t="shared" si="25"/>
        <v>4162.72</v>
      </c>
      <c r="CX2" s="112">
        <f t="shared" si="25"/>
        <v>4609.96</v>
      </c>
      <c r="CY2" s="112">
        <f t="shared" si="25"/>
        <v>5187.62</v>
      </c>
      <c r="CZ2" s="112">
        <f t="shared" si="25"/>
        <v>5443.29</v>
      </c>
      <c r="DB2" s="74" t="s">
        <v>551</v>
      </c>
      <c r="DC2" s="112" t="str">
        <f>IF(CU35="-","-",ROUND(CU35*'L Tab'!$DC$23,2))</f>
        <v>-</v>
      </c>
      <c r="DD2" s="112">
        <f>IF(CV35="-","-",ROUND(CV35*'L Tab'!$DC$23,2))</f>
        <v>4395.3999999999996</v>
      </c>
      <c r="DE2" s="112">
        <f>IF(CW35="-","-",ROUND(CW35*'L Tab'!$DC$23,2))</f>
        <v>4549.24</v>
      </c>
      <c r="DF2" s="112">
        <f>IF(CX35="-","-",ROUND(CX35*'L Tab'!$DC$23,2))</f>
        <v>5043.6099999999997</v>
      </c>
      <c r="DG2" s="112">
        <f>IF(CY35="-","-",ROUND(CY35*'L Tab'!$DC$23,2))</f>
        <v>5565.74</v>
      </c>
      <c r="DH2" s="112">
        <f>IF(CZ35="-","-",ROUND(CZ35*'L Tab'!$DC$23,2))</f>
        <v>5889.75</v>
      </c>
      <c r="DJ2" s="74" t="str">
        <f>DB2</f>
        <v>KR 17</v>
      </c>
      <c r="DK2" s="112" t="str">
        <f>IF(DC2="-","-",ROUND(DC2*'L Tab'!$DK$23,2))</f>
        <v>-</v>
      </c>
      <c r="DL2" s="112">
        <f>IF(DD2="-","-",ROUND(DD2*'L Tab'!$DK$23,2))</f>
        <v>4532.54</v>
      </c>
      <c r="DM2" s="112">
        <f>IF(DE2="-","-",ROUND(DE2*'L Tab'!$DK$23,2))</f>
        <v>4691.18</v>
      </c>
      <c r="DN2" s="112">
        <f>IF(DF2="-","-",ROUND(DF2*'L Tab'!$DK$23,2))</f>
        <v>5200.97</v>
      </c>
      <c r="DO2" s="112">
        <f>IF(DG2="-","-",ROUND(DG2*'L Tab'!$DK$23,2))</f>
        <v>5739.39</v>
      </c>
      <c r="DP2" s="112">
        <f>IF(DH2="-","-",ROUND(DH2*'L Tab'!$DK$23,2))</f>
        <v>6073.51</v>
      </c>
      <c r="DR2" s="74" t="str">
        <f>DB2</f>
        <v>KR 17</v>
      </c>
      <c r="DS2" s="112" t="str">
        <f>IF(DK2="-","-",ROUND(DK2*'L Tab'!$DS$23,2))</f>
        <v>-</v>
      </c>
      <c r="DT2" s="112">
        <f>IF(DL2="-","-",ROUND(DL2*'L Tab'!$DS$23,2))</f>
        <v>4591.01</v>
      </c>
      <c r="DU2" s="112">
        <f>IF(DM2="-","-",ROUND(DM2*'L Tab'!$DS$23,2))</f>
        <v>4751.7</v>
      </c>
      <c r="DV2" s="112">
        <f>IF(DN2="-","-",ROUND(DN2*'L Tab'!$DS$23,2))</f>
        <v>5268.06</v>
      </c>
      <c r="DW2" s="112">
        <f>IF(DO2="-","-",ROUND(DO2*'L Tab'!$DS$23,2))</f>
        <v>5813.43</v>
      </c>
      <c r="DX2" s="112">
        <f>IF(DP2="-","-",ROUND(DP2*'L Tab'!$DS$23,2))</f>
        <v>6151.86</v>
      </c>
    </row>
    <row r="3" spans="1:128" ht="12.75" customHeight="1">
      <c r="B3" s="101" t="s">
        <v>280</v>
      </c>
      <c r="C3" s="37" t="s">
        <v>15</v>
      </c>
      <c r="D3" s="37" t="s">
        <v>15</v>
      </c>
      <c r="E3" s="37" t="s">
        <v>15</v>
      </c>
      <c r="F3" s="37">
        <v>3200</v>
      </c>
      <c r="G3" s="37">
        <v>3635</v>
      </c>
      <c r="H3" s="408">
        <f>G3+200</f>
        <v>3835</v>
      </c>
      <c r="J3" s="74" t="str">
        <f t="shared" ref="J3:J13" si="26">B3</f>
        <v>11b</v>
      </c>
      <c r="K3" s="112" t="s">
        <v>15</v>
      </c>
      <c r="L3" s="112" t="s">
        <v>15</v>
      </c>
      <c r="M3" s="112" t="s">
        <v>15</v>
      </c>
      <c r="N3" s="112">
        <v>3295</v>
      </c>
      <c r="O3" s="112">
        <v>3745</v>
      </c>
      <c r="P3" s="408">
        <v>3950.8</v>
      </c>
      <c r="R3" s="74" t="str">
        <f t="shared" ref="R3:R13" si="27">B3</f>
        <v>11b</v>
      </c>
      <c r="S3" s="112" t="str">
        <f t="shared" si="15"/>
        <v>-</v>
      </c>
      <c r="T3" s="112" t="str">
        <f t="shared" si="16"/>
        <v>-</v>
      </c>
      <c r="U3" s="112" t="str">
        <f t="shared" si="16"/>
        <v>-</v>
      </c>
      <c r="V3" s="112">
        <f t="shared" si="16"/>
        <v>3435.05</v>
      </c>
      <c r="W3" s="112">
        <f t="shared" si="16"/>
        <v>3898.55</v>
      </c>
      <c r="X3" s="408">
        <f>W3+Y2</f>
        <v>4110.5200000000004</v>
      </c>
      <c r="Z3" s="176" t="str">
        <f t="shared" ref="Z3:Z13" si="28">$B3</f>
        <v>11b</v>
      </c>
      <c r="AA3" s="112" t="str">
        <f t="shared" si="17"/>
        <v>-</v>
      </c>
      <c r="AB3" s="112" t="str">
        <f t="shared" si="18"/>
        <v>-</v>
      </c>
      <c r="AC3" s="112" t="str">
        <f t="shared" si="18"/>
        <v>-</v>
      </c>
      <c r="AD3" s="112">
        <f t="shared" si="18"/>
        <v>3476.27</v>
      </c>
      <c r="AE3" s="112">
        <f t="shared" si="18"/>
        <v>3945.33</v>
      </c>
      <c r="AF3" s="408">
        <f>AE3+AG2</f>
        <v>4159.8399999999992</v>
      </c>
      <c r="AH3" s="176" t="str">
        <f t="shared" ref="AH3:AH13" si="29">$B3</f>
        <v>11b</v>
      </c>
      <c r="AI3" s="112" t="str">
        <f t="shared" ref="AI3:AI13" si="30">IF(AA3="-","-",ROUND((AA3+$AI$22)*$AI$23,2))</f>
        <v>-</v>
      </c>
      <c r="AJ3" s="112" t="str">
        <f t="shared" ref="AJ3:AJ13" si="31">IF(AB3="-","-",ROUND((AB3+$AI$22)*$AI$23,2))</f>
        <v>-</v>
      </c>
      <c r="AK3" s="112" t="str">
        <f t="shared" ref="AK3:AK13" si="32">IF(AC3="-","-",ROUND((AC3+$AI$22)*$AI$23,2))</f>
        <v>-</v>
      </c>
      <c r="AL3" s="112">
        <f t="shared" ref="AL3:AL13" si="33">IF(AD3="-","-",ROUND((AD3+$AI$22)*$AI$23,2))</f>
        <v>3528.41</v>
      </c>
      <c r="AM3" s="112">
        <f t="shared" ref="AM3:AM13" si="34">IF(AE3="-","-",ROUND((AE3+$AI$22)*$AI$23,2))</f>
        <v>4004.51</v>
      </c>
      <c r="AN3" s="408">
        <f>AM3+AO2</f>
        <v>4222.24</v>
      </c>
      <c r="AP3" s="176" t="str">
        <f t="shared" ref="AP3:AP13" si="35">$B3</f>
        <v>11b</v>
      </c>
      <c r="AQ3" s="112" t="str">
        <f t="shared" ref="AQ3:AQ13" si="36">IF(AI3="-","-",ROUND(AI3*$AQ$23,2)+$AQ$22)</f>
        <v>-</v>
      </c>
      <c r="AR3" s="112" t="str">
        <f t="shared" ref="AR3:AR13" si="37">IF(AJ3="-","-",ROUND(AJ3*$AQ$23,2)+$AQ$22)</f>
        <v>-</v>
      </c>
      <c r="AS3" s="112" t="str">
        <f t="shared" ref="AS3:AS13" si="38">IF(AK3="-","-",ROUND(AK3*$AQ$23,2)+$AQ$22)</f>
        <v>-</v>
      </c>
      <c r="AT3" s="112">
        <f t="shared" ref="AT3:AT13" si="39">IF(AL3="-","-",ROUND(AL3*$AQ$23,2)+$AQ$22)</f>
        <v>3612.45</v>
      </c>
      <c r="AU3" s="112">
        <f t="shared" ref="AU3:AU13" si="40">IF(AM3="-","-",ROUND(AM3*$AQ$23,2)+$AQ$22)</f>
        <v>4097.6000000000004</v>
      </c>
      <c r="AV3" s="408">
        <f>AU3+AW2</f>
        <v>4319.47</v>
      </c>
      <c r="AX3" s="176" t="str">
        <f t="shared" ref="AX3:AX13" si="41">$B3</f>
        <v>11b</v>
      </c>
      <c r="AY3" s="112" t="str">
        <f t="shared" ref="AY3:AY13" si="42">IF(AQ3="-","-",ROUND((AQ3+$AY$22)*$AY$23,2))</f>
        <v>-</v>
      </c>
      <c r="AZ3" s="112" t="str">
        <f t="shared" ref="AZ3:AZ13" si="43">IF(AR3="-","-",ROUND((AR3+$AY$22)*$AY$23,2))</f>
        <v>-</v>
      </c>
      <c r="BA3" s="112" t="str">
        <f t="shared" ref="BA3:BA13" si="44">IF(AS3="-","-",ROUND((AS3+$AY$22)*$AY$23,2))</f>
        <v>-</v>
      </c>
      <c r="BB3" s="112">
        <f t="shared" ref="BB3:BB13" si="45">IF(AT3="-","-",ROUND((AT3+$AY$22)*$AY$23,2))</f>
        <v>3708.18</v>
      </c>
      <c r="BC3" s="112">
        <f t="shared" ref="BC3:BC13" si="46">IF(AU3="-","-",ROUND((AU3+$AY$22)*$AY$23,2))</f>
        <v>4206.1899999999996</v>
      </c>
      <c r="BD3" s="408">
        <f>BC3+BE2</f>
        <v>4433.9399999999996</v>
      </c>
      <c r="BF3" s="176" t="str">
        <f t="shared" ref="BF3:BF13" si="47">$B3</f>
        <v>11b</v>
      </c>
      <c r="BG3" s="112" t="str">
        <f t="shared" ref="BG3:BG13" si="48">IF(AY3="-","-",ROUND((AY3+$BG$22)*$BG$23,2))</f>
        <v>-</v>
      </c>
      <c r="BH3" s="112" t="str">
        <f t="shared" ref="BH3:BH13" si="49">IF(AZ3="-","-",ROUND((AZ3+$BG$22)*$BG$23,2))</f>
        <v>-</v>
      </c>
      <c r="BI3" s="112" t="str">
        <f t="shared" ref="BI3:BI13" si="50">IF(BA3="-","-",ROUND((BA3+$BG$22)*$BG$23,2))</f>
        <v>-</v>
      </c>
      <c r="BJ3" s="112">
        <f t="shared" ref="BJ3:BJ13" si="51">IF(BB3="-","-",ROUND((BB3+$BG$22)*$BG$23,2))</f>
        <v>3817.57</v>
      </c>
      <c r="BK3" s="112">
        <f t="shared" ref="BK3:BK13" si="52">IF(BC3="-","-",ROUND((BC3+$BG$22)*$BG$23,2))</f>
        <v>4330.2700000000004</v>
      </c>
      <c r="BL3" s="408">
        <f>BK3+BM2</f>
        <v>4564.7400000000007</v>
      </c>
      <c r="BN3" s="176" t="str">
        <f t="shared" ref="BN3:BN13" si="53">$B3</f>
        <v>11b</v>
      </c>
      <c r="BO3" s="112" t="str">
        <f t="shared" ref="BO3:BO13" si="54">IF(BG3="-","-",IF(AND($BO$21=0,$BO$22=0),ROUND(BG3*$BO$23,2),IF(AND($BO$21&gt;0,$BO$22=0,(((BG3*$BO$23)-BG3)&lt;$BO$21)),BG3+$BO$21,IF(AND($BO$21&gt;0,$BO$22=0,(((BG3*$BO$23)-BG3)&gt;=$BO$21)),ROUND(BG3*$BO$23,2),IF(AND($BO$22&gt;0,$BS$22=1),ROUND((BG3+$BO$22)*$BO$23,2),IF(AND($BO$22&gt;0,$BS$22=2),ROUND(BG3*$BO$23,2)+$BO$22))))))</f>
        <v>-</v>
      </c>
      <c r="BP3" s="112" t="str">
        <f t="shared" ref="BP3:BP13" si="55">IF(BH3="-","-",IF(AND($BO$21=0,$BO$22=0),ROUND(BH3*$BO$23,2),IF(AND($BO$21&gt;0,$BO$22=0,(((BH3*$BO$23)-BH3)&lt;$BO$21)),BH3+$BO$21,IF(AND($BO$21&gt;0,$BO$22=0,(((BH3*$BO$23)-BH3)&gt;=$BO$21)),ROUND(BH3*$BO$23,2),IF(AND($BO$22&gt;0,$BS$22=1),ROUND((BH3+$BO$22)*$BO$23,2),IF(AND($BO$22&gt;0,$BS$22=2),ROUND(BH3*$BO$23,2)+$BO$22))))))</f>
        <v>-</v>
      </c>
      <c r="BQ3" s="112" t="str">
        <f t="shared" ref="BQ3:BQ13" si="56">IF(BI3="-","-",IF(AND($BO$21=0,$BO$22=0),ROUND(BI3*$BO$23,2),IF(AND($BO$21&gt;0,$BO$22=0,(((BI3*$BO$23)-BI3)&lt;$BO$21)),BI3+$BO$21,IF(AND($BO$21&gt;0,$BO$22=0,(((BI3*$BO$23)-BI3)&gt;=$BO$21)),ROUND(BI3*$BO$23,2),IF(AND($BO$22&gt;0,$BS$22=1),ROUND((BI3+$BO$22)*$BO$23,2),IF(AND($BO$22&gt;0,$BS$22=2),ROUND(BI3*$BO$23,2)+$BO$22))))))</f>
        <v>-</v>
      </c>
      <c r="BR3" s="112">
        <f t="shared" ref="BR3:BR13" si="57">IF(BJ3="-","-",IF(AND($BO$21=0,$BO$22=0),ROUND(BJ3*$BO$23,2),IF(AND($BO$21&gt;0,$BO$22=0,(((BJ3*$BO$23)-BJ3)&lt;$BO$21)),BJ3+$BO$21,IF(AND($BO$21&gt;0,$BO$22=0,(((BJ3*$BO$23)-BJ3)&gt;=$BO$21)),ROUND(BJ3*$BO$23,2),IF(AND($BO$22&gt;0,$BS$22=1),ROUND((BJ3+$BO$22)*$BO$23,2),IF(AND($BO$22&gt;0,$BS$22=2),ROUND(BJ3*$BO$23,2)+$BO$22))))))</f>
        <v>3897.74</v>
      </c>
      <c r="BS3" s="112">
        <f t="shared" ref="BS3:BS13" si="58">IF(BK3="-","-",IF(AND($BO$21=0,$BO$22=0),ROUND(BK3*$BO$23,2),IF(AND($BO$21&gt;0,$BO$22=0,(((BK3*$BO$23)-BK3)&lt;$BO$21)),BK3+$BO$21,IF(AND($BO$21&gt;0,$BO$22=0,(((BK3*$BO$23)-BK3)&gt;=$BO$21)),ROUND(BK3*$BO$23,2),IF(AND($BO$22&gt;0,$BS$22=1),ROUND((BK3+$BO$22)*$BO$23,2),IF(AND($BO$22&gt;0,$BS$22=2),ROUND(BK3*$BO$23,2)+$BO$22))))))</f>
        <v>4421.21</v>
      </c>
      <c r="BT3" s="408">
        <f>BS3+BU2</f>
        <v>4660.6000000000004</v>
      </c>
      <c r="BV3" s="176" t="str">
        <f t="shared" ref="BV3:BV13" si="59">$B3</f>
        <v>11b</v>
      </c>
      <c r="BW3" s="112" t="str">
        <f t="shared" ref="BW3:BW13" si="60">IF(BO3="-","-",IF(AND($BW$21=0,$BW$22=0),ROUND(BO3*$BW$23,2),IF(AND($BW$21&gt;0,$BW$22=0,(((BO3*$BW$23)-BO3)&lt;$BW$21)),BO3+$BW$21,IF(AND($BW$21&gt;0,$BW$22=0,(((BO3*$BW$23)-BO3)&gt;=$BW$21)),ROUND(BO3*$BW$23,2),IF(AND($BW$22&gt;0,$CA$22=1),ROUND((BO3+$BW$22)*$BW$23,2),IF(AND($BW$22&gt;0,$CA$22=2),ROUND(BO3*$BW$23,2)+$BW$22))))))</f>
        <v>-</v>
      </c>
      <c r="BX3" s="112" t="str">
        <f t="shared" ref="BX3:BX13" si="61">IF(BP3="-","-",IF(AND($BW$21=0,$BW$22=0),ROUND(BP3*$BW$23,2),IF(AND($BW$21&gt;0,$BW$22=0,(((BP3*$BW$23)-BP3)&lt;$BW$21)),BP3+$BW$21,IF(AND($BW$21&gt;0,$BW$22=0,(((BP3*$BW$23)-BP3)&gt;=$BW$21)),ROUND(BP3*$BW$23,2),IF(AND($BW$22&gt;0,$CA$22=1),ROUND((BP3+$BW$22)*$BW$23,2),IF(AND($BW$22&gt;0,$CA$22=2),ROUND(BP3*$BW$23,2)+$BW$22))))))</f>
        <v>-</v>
      </c>
      <c r="BY3" s="112" t="str">
        <f t="shared" ref="BY3:BY13" si="62">IF(BQ3="-","-",IF(AND($BW$21=0,$BW$22=0),ROUND(BQ3*$BW$23,2),IF(AND($BW$21&gt;0,$BW$22=0,(((BQ3*$BW$23)-BQ3)&lt;$BW$21)),BQ3+$BW$21,IF(AND($BW$21&gt;0,$BW$22=0,(((BQ3*$BW$23)-BQ3)&gt;=$BW$21)),ROUND(BQ3*$BW$23,2),IF(AND($BW$22&gt;0,$CA$22=1),ROUND((BQ3+$BW$22)*$BW$23,2),IF(AND($BW$22&gt;0,$CA$22=2),ROUND(BQ3*$BW$23,2)+$BW$22))))))</f>
        <v>-</v>
      </c>
      <c r="BZ3" s="112">
        <f t="shared" ref="BZ3:BZ13" si="63">IF(BR3="-","-",IF(AND($BW$21=0,$BW$22=0),ROUND(BR3*$BW$23,2),IF(AND($BW$21&gt;0,$BW$22=0,(((BR3*$BW$23)-BR3)&lt;$BW$21)),BR3+$BW$21,IF(AND($BW$21&gt;0,$BW$22=0,(((BR3*$BW$23)-BR3)&gt;=$BW$21)),ROUND(BR3*$BW$23,2),IF(AND($BW$22&gt;0,$CA$22=1),ROUND((BR3+$BW$22)*$BW$23,2),IF(AND($BW$22&gt;0,$CA$22=2),ROUND(BR3*$BW$23,2)+$BW$22))))))</f>
        <v>3987.39</v>
      </c>
      <c r="CA3" s="112">
        <f t="shared" ref="CA3:CA13" si="64">IF(BS3="-","-",IF(AND($BW$21=0,$BW$22=0),ROUND(BS3*$BW$23,2),IF(AND($BW$21&gt;0,$BW$22=0,(((BS3*$BW$23)-BS3)&lt;$BW$21)),BS3+$BW$21,IF(AND($BW$21&gt;0,$BW$22=0,(((BS3*$BW$23)-BS3)&gt;=$BW$21)),ROUND(BS3*$BW$23,2),IF(AND($BW$22&gt;0,$CA$22=1),ROUND((BS3+$BW$22)*$BW$23,2),IF(AND($BW$22&gt;0,$CA$22=2),ROUND(BS3*$BW$23,2)+$BW$22))))))</f>
        <v>4522.8999999999996</v>
      </c>
      <c r="CB3" s="408">
        <f>CA3+CC2</f>
        <v>4767.7999999999993</v>
      </c>
      <c r="CD3" s="176" t="str">
        <f t="shared" ref="CD3:CD13" si="65">$B3</f>
        <v>11b</v>
      </c>
      <c r="CE3" s="112" t="str">
        <f>IF(BW3="-","-",IF(BW3&gt;3200,ROUND(BW3*'L Tab'!$CE$23,2),IF(ROUND(BW3*'L Tab'!$CE$23,2)-BW3&lt;'L Tab'!$CE$21,BW3+'L Tab'!$CE$21,ROUND(BW3*'L Tab'!$CE$23,2))))</f>
        <v>-</v>
      </c>
      <c r="CF3" s="112" t="str">
        <f>IF(BX3="-","-",IF(BX3&gt;3200,ROUND(BX3*'L Tab'!$CE$23,2),IF(ROUND(BX3*'L Tab'!$CE$23,2)-BX3&lt;'L Tab'!$CE$21,BX3+'L Tab'!$CE$21,ROUND(BX3*'L Tab'!$CE$23,2))))</f>
        <v>-</v>
      </c>
      <c r="CG3" s="112" t="str">
        <f>IF(BY3="-","-",IF(BY3&gt;3200,ROUND(BY3*'L Tab'!$CE$23,2),IF(ROUND(BY3*'L Tab'!$CE$23,2)-BY3&lt;'L Tab'!$CE$21,BY3+'L Tab'!$CE$21,ROUND(BY3*'L Tab'!$CE$23,2))))</f>
        <v>-</v>
      </c>
      <c r="CH3" s="112">
        <f>IF(BZ3="-","-",IF(BZ3&gt;3200,ROUND(BZ3*'L Tab'!$CE$23,2),IF(ROUND(BZ3*'L Tab'!$CE$23,2)-BZ3&lt;'L Tab'!$CE$21,BZ3+'L Tab'!$CE$21,ROUND(BZ3*'L Tab'!$CE$23,2))))</f>
        <v>4067.14</v>
      </c>
      <c r="CI3" s="112">
        <f>IF(CA3="-","-",IF(CA3&gt;3200,ROUND(CA3*'L Tab'!$CE$23,2),IF(ROUND(CA3*'L Tab'!$CE$23,2)-CA3&lt;'L Tab'!$CE$21,CA3+'L Tab'!$CE$21,ROUND(CA3*'L Tab'!$CE$23,2))))</f>
        <v>4613.3599999999997</v>
      </c>
      <c r="CJ3" s="408">
        <f>IF(CB3="-","-",IF(CB3&gt;3200,ROUND(CB3*'L Tab'!$CE$23,2),IF(ROUND(CB3*'L Tab'!$CE$23,2)-CB3&lt;'L Tab'!$CE$21,CB3+'L Tab'!$CE$21,ROUND(CB3*'L Tab'!$CE$23,2))))</f>
        <v>4863.16</v>
      </c>
      <c r="CL3" s="176" t="str">
        <f t="shared" ref="CL3:CL13" si="66">$B3</f>
        <v>11b</v>
      </c>
      <c r="CM3" s="112" t="str">
        <f>IF(CE3="-","-",ROUND(CE3*'L Tab'!$CM$23,2))</f>
        <v>-</v>
      </c>
      <c r="CN3" s="112" t="str">
        <f>IF(CF3="-","-",ROUND(CF3*'L Tab'!$CM$23,2))</f>
        <v>-</v>
      </c>
      <c r="CO3" s="112" t="str">
        <f>IF(CG3="-","-",ROUND(CG3*'L Tab'!$CM$23,2))</f>
        <v>-</v>
      </c>
      <c r="CP3" s="112">
        <f>IF(CH3="-","-",ROUND(CH3*'L Tab'!$CM$23,2))</f>
        <v>4162.72</v>
      </c>
      <c r="CQ3" s="112">
        <f>IF(CI3="-","-",ROUND(CI3*'L Tab'!$CM$23,2))</f>
        <v>4721.7700000000004</v>
      </c>
      <c r="CR3" s="408">
        <f>IF(CJ3="-","-",ROUND(CJ3*'L Tab'!$CM$23,2))</f>
        <v>4977.4399999999996</v>
      </c>
      <c r="CT3" s="176" t="str">
        <f t="shared" ref="CT3:CT13" si="67">$B3</f>
        <v>11b</v>
      </c>
      <c r="CU3" s="112" t="str">
        <f t="shared" ref="CU3:CU13" si="68">CM3</f>
        <v>-</v>
      </c>
      <c r="CV3" s="112" t="str">
        <f t="shared" ref="CV3:CV13" si="69">CN3</f>
        <v>-</v>
      </c>
      <c r="CW3" s="112" t="str">
        <f t="shared" ref="CW3:CW13" si="70">CO3</f>
        <v>-</v>
      </c>
      <c r="CX3" s="112">
        <f t="shared" ref="CX3:CX13" si="71">CP3</f>
        <v>4162.72</v>
      </c>
      <c r="CY3" s="112">
        <f t="shared" ref="CY3:CY13" si="72">CQ3</f>
        <v>4721.7700000000004</v>
      </c>
      <c r="CZ3" s="112">
        <f t="shared" ref="CZ3:CZ13" si="73">CR3</f>
        <v>4977.4399999999996</v>
      </c>
      <c r="DB3" s="74" t="s">
        <v>552</v>
      </c>
      <c r="DC3" s="112" t="str">
        <f>IF(CU36="-","-",ROUND(CU36*'L Tab'!$DC$23,2))</f>
        <v>-</v>
      </c>
      <c r="DD3" s="112">
        <f>IF(CV36="-","-",ROUND(CV36*'L Tab'!$DC$23,2))</f>
        <v>4293.75</v>
      </c>
      <c r="DE3" s="112">
        <f>IF(CW36="-","-",ROUND(CW36*'L Tab'!$DC$23,2))</f>
        <v>4444.2700000000004</v>
      </c>
      <c r="DF3" s="112">
        <f>IF(CX36="-","-",ROUND(CX36*'L Tab'!$DC$23,2))</f>
        <v>4930.3100000000004</v>
      </c>
      <c r="DG3" s="112">
        <f>IF(CY36="-","-",ROUND(CY36*'L Tab'!$DC$23,2))</f>
        <v>5496.87</v>
      </c>
      <c r="DH3" s="112">
        <f>IF(CZ36="-","-",ROUND(CZ36*'L Tab'!$DC$23,2))</f>
        <v>5746.78</v>
      </c>
      <c r="DJ3" s="74" t="str">
        <f t="shared" ref="DJ3:DJ14" si="74">DB3</f>
        <v>KR 16</v>
      </c>
      <c r="DK3" s="112" t="str">
        <f>IF(DC3="-","-",ROUND(DC3*'L Tab'!$DK$23,2))</f>
        <v>-</v>
      </c>
      <c r="DL3" s="112">
        <f>IF(DD3="-","-",ROUND(DD3*'L Tab'!$DK$23,2))</f>
        <v>4427.72</v>
      </c>
      <c r="DM3" s="112">
        <f>IF(DE3="-","-",ROUND(DE3*'L Tab'!$DK$23,2))</f>
        <v>4582.93</v>
      </c>
      <c r="DN3" s="112">
        <f>IF(DF3="-","-",ROUND(DF3*'L Tab'!$DK$23,2))</f>
        <v>5084.1400000000003</v>
      </c>
      <c r="DO3" s="112">
        <f>IF(DG3="-","-",ROUND(DG3*'L Tab'!$DK$23,2))</f>
        <v>5668.37</v>
      </c>
      <c r="DP3" s="112">
        <f>IF(DH3="-","-",ROUND(DH3*'L Tab'!$DK$23,2))</f>
        <v>5926.08</v>
      </c>
      <c r="DR3" s="74" t="str">
        <f t="shared" ref="DR3:DR14" si="75">DB3</f>
        <v>KR 16</v>
      </c>
      <c r="DS3" s="112" t="str">
        <f>IF(DK3="-","-",ROUND(DK3*'L Tab'!$DS$23,2))</f>
        <v>-</v>
      </c>
      <c r="DT3" s="112">
        <f>IF(DL3="-","-",ROUND(DL3*'L Tab'!$DS$23,2))</f>
        <v>4484.84</v>
      </c>
      <c r="DU3" s="112">
        <f>IF(DM3="-","-",ROUND(DM3*'L Tab'!$DS$23,2))</f>
        <v>4642.05</v>
      </c>
      <c r="DV3" s="112">
        <f>IF(DN3="-","-",ROUND(DN3*'L Tab'!$DS$23,2))</f>
        <v>5149.7299999999996</v>
      </c>
      <c r="DW3" s="112">
        <f>IF(DO3="-","-",ROUND(DO3*'L Tab'!$DS$23,2))</f>
        <v>5741.49</v>
      </c>
      <c r="DX3" s="112">
        <f>IF(DP3="-","-",ROUND(DP3*'L Tab'!$DS$23,2))</f>
        <v>6002.53</v>
      </c>
    </row>
    <row r="4" spans="1:128" ht="12.75" customHeight="1">
      <c r="B4" s="101" t="s">
        <v>281</v>
      </c>
      <c r="C4" s="37" t="str">
        <f>C3</f>
        <v>-</v>
      </c>
      <c r="D4" s="37" t="s">
        <v>15</v>
      </c>
      <c r="E4" s="37">
        <v>2900</v>
      </c>
      <c r="F4" s="37">
        <v>3200</v>
      </c>
      <c r="G4" s="37">
        <v>3635</v>
      </c>
      <c r="H4" s="37" t="s">
        <v>15</v>
      </c>
      <c r="J4" s="74" t="str">
        <f t="shared" si="26"/>
        <v>11a</v>
      </c>
      <c r="K4" s="112" t="s">
        <v>15</v>
      </c>
      <c r="L4" s="112" t="s">
        <v>15</v>
      </c>
      <c r="M4" s="112">
        <v>2985</v>
      </c>
      <c r="N4" s="112">
        <v>3295</v>
      </c>
      <c r="O4" s="112">
        <v>3745</v>
      </c>
      <c r="P4" s="112" t="s">
        <v>15</v>
      </c>
      <c r="R4" s="74" t="str">
        <f t="shared" si="27"/>
        <v>11a</v>
      </c>
      <c r="S4" s="112" t="str">
        <f t="shared" si="15"/>
        <v>-</v>
      </c>
      <c r="T4" s="112" t="str">
        <f t="shared" si="16"/>
        <v>-</v>
      </c>
      <c r="U4" s="112">
        <f t="shared" si="16"/>
        <v>3115.75</v>
      </c>
      <c r="V4" s="112">
        <f t="shared" si="16"/>
        <v>3435.05</v>
      </c>
      <c r="W4" s="112">
        <f t="shared" si="16"/>
        <v>3898.55</v>
      </c>
      <c r="X4" s="112" t="str">
        <f t="shared" si="16"/>
        <v>-</v>
      </c>
      <c r="Z4" s="176" t="str">
        <f t="shared" si="28"/>
        <v>11a</v>
      </c>
      <c r="AA4" s="112" t="str">
        <f t="shared" si="17"/>
        <v>-</v>
      </c>
      <c r="AB4" s="112" t="str">
        <f t="shared" si="18"/>
        <v>-</v>
      </c>
      <c r="AC4" s="112">
        <f t="shared" si="18"/>
        <v>3153.14</v>
      </c>
      <c r="AD4" s="112">
        <f t="shared" si="18"/>
        <v>3476.27</v>
      </c>
      <c r="AE4" s="112">
        <f t="shared" si="18"/>
        <v>3945.33</v>
      </c>
      <c r="AF4" s="112" t="str">
        <f t="shared" si="18"/>
        <v>-</v>
      </c>
      <c r="AH4" s="176" t="str">
        <f t="shared" si="29"/>
        <v>11a</v>
      </c>
      <c r="AI4" s="112" t="str">
        <f t="shared" si="30"/>
        <v>-</v>
      </c>
      <c r="AJ4" s="112" t="str">
        <f t="shared" si="31"/>
        <v>-</v>
      </c>
      <c r="AK4" s="112">
        <f t="shared" si="32"/>
        <v>3200.44</v>
      </c>
      <c r="AL4" s="112">
        <f t="shared" si="33"/>
        <v>3528.41</v>
      </c>
      <c r="AM4" s="112">
        <f t="shared" si="34"/>
        <v>4004.51</v>
      </c>
      <c r="AN4" s="112" t="str">
        <f t="shared" ref="AN4:AN13" si="76">IF(AF4="-","-",ROUND((AF4+$AI$22)*$AI$23,2))</f>
        <v>-</v>
      </c>
      <c r="AP4" s="176" t="str">
        <f t="shared" si="35"/>
        <v>11a</v>
      </c>
      <c r="AQ4" s="112" t="str">
        <f t="shared" si="36"/>
        <v>-</v>
      </c>
      <c r="AR4" s="112" t="str">
        <f t="shared" si="37"/>
        <v>-</v>
      </c>
      <c r="AS4" s="112">
        <f t="shared" si="38"/>
        <v>3278.25</v>
      </c>
      <c r="AT4" s="112">
        <f t="shared" si="39"/>
        <v>3612.45</v>
      </c>
      <c r="AU4" s="112">
        <f t="shared" si="40"/>
        <v>4097.6000000000004</v>
      </c>
      <c r="AV4" s="112" t="str">
        <f t="shared" ref="AV4:AV13" si="77">IF(AN4="-","-",ROUND(AN4*$AQ$23,2)+$AQ$22)</f>
        <v>-</v>
      </c>
      <c r="AX4" s="176" t="str">
        <f t="shared" si="41"/>
        <v>11a</v>
      </c>
      <c r="AY4" s="112" t="str">
        <f t="shared" si="42"/>
        <v>-</v>
      </c>
      <c r="AZ4" s="112" t="str">
        <f t="shared" si="43"/>
        <v>-</v>
      </c>
      <c r="BA4" s="112">
        <f t="shared" si="44"/>
        <v>3365.12</v>
      </c>
      <c r="BB4" s="112">
        <f t="shared" si="45"/>
        <v>3708.18</v>
      </c>
      <c r="BC4" s="112">
        <f t="shared" si="46"/>
        <v>4206.1899999999996</v>
      </c>
      <c r="BD4" s="112" t="str">
        <f t="shared" ref="BD4:BD13" si="78">IF(AV4="-","-",ROUND((AV4+$AY$22)*$AY$23,2))</f>
        <v>-</v>
      </c>
      <c r="BF4" s="176" t="str">
        <f t="shared" si="47"/>
        <v>11a</v>
      </c>
      <c r="BG4" s="112" t="str">
        <f t="shared" si="48"/>
        <v>-</v>
      </c>
      <c r="BH4" s="112" t="str">
        <f t="shared" si="49"/>
        <v>-</v>
      </c>
      <c r="BI4" s="112">
        <f t="shared" si="50"/>
        <v>3464.39</v>
      </c>
      <c r="BJ4" s="112">
        <f t="shared" si="51"/>
        <v>3817.57</v>
      </c>
      <c r="BK4" s="112">
        <f t="shared" si="52"/>
        <v>4330.2700000000004</v>
      </c>
      <c r="BL4" s="112" t="str">
        <f t="shared" ref="BL4:BL13" si="79">IF(BD4="-","-",ROUND((BD4+$BG$22)*$BG$23,2))</f>
        <v>-</v>
      </c>
      <c r="BN4" s="176" t="str">
        <f t="shared" si="53"/>
        <v>11a</v>
      </c>
      <c r="BO4" s="112" t="str">
        <f t="shared" si="54"/>
        <v>-</v>
      </c>
      <c r="BP4" s="112" t="str">
        <f t="shared" si="55"/>
        <v>-</v>
      </c>
      <c r="BQ4" s="112">
        <f t="shared" si="56"/>
        <v>3537.14</v>
      </c>
      <c r="BR4" s="112">
        <f t="shared" si="57"/>
        <v>3897.74</v>
      </c>
      <c r="BS4" s="112">
        <f t="shared" si="58"/>
        <v>4421.21</v>
      </c>
      <c r="BT4" s="112" t="str">
        <f t="shared" ref="BT4:BT13" si="80">IF(BL4="-","-",IF(AND($BO$21=0,$BO$22=0),ROUND(BL4*$BO$23,2),IF(AND($BO$21&gt;0,$BO$22=0,(((BL4*$BO$23)-BL4)&lt;$BO$21)),BL4+$BO$21,IF(AND($BO$21&gt;0,$BO$22=0,(((BL4*$BO$23)-BL4)&gt;=$BO$21)),ROUND(BL4*$BO$23,2),IF(AND($BO$22&gt;0,$BS$22=1),ROUND((BL4+$BO$22)*$BO$23,2),IF(AND($BO$22&gt;0,$BS$22=2),ROUND(BL4*$BO$23,2)+$BO$22))))))</f>
        <v>-</v>
      </c>
      <c r="BV4" s="176" t="str">
        <f t="shared" si="59"/>
        <v>11a</v>
      </c>
      <c r="BW4" s="112" t="str">
        <f t="shared" si="60"/>
        <v>-</v>
      </c>
      <c r="BX4" s="112" t="str">
        <f t="shared" si="61"/>
        <v>-</v>
      </c>
      <c r="BY4" s="112">
        <f t="shared" si="62"/>
        <v>3618.49</v>
      </c>
      <c r="BZ4" s="112">
        <f t="shared" si="63"/>
        <v>3987.39</v>
      </c>
      <c r="CA4" s="112">
        <f t="shared" si="64"/>
        <v>4522.8999999999996</v>
      </c>
      <c r="CB4" s="112" t="str">
        <f t="shared" ref="CB4:CB13" si="81">IF(BT4="-","-",IF(AND($BW$21=0,$BW$22=0),ROUND(BT4*$BW$23,2),IF(AND($BW$21&gt;0,$BW$22=0,(((BT4*$BW$23)-BT4)&lt;$BW$21)),BT4+$BW$21,IF(AND($BW$21&gt;0,$BW$22=0,(((BT4*$BW$23)-BT4)&gt;=$BW$21)),ROUND(BT4*$BW$23,2),IF(AND($BW$22&gt;0,$CA$22=1),ROUND((BT4+$BW$22)*$BW$23,2),IF(AND($BW$22&gt;0,$CA$22=2),ROUND(BT4*$BW$23,2)+$BW$22))))))</f>
        <v>-</v>
      </c>
      <c r="CD4" s="176" t="str">
        <f t="shared" si="65"/>
        <v>11a</v>
      </c>
      <c r="CE4" s="112" t="str">
        <f>IF(BW4="-","-",IF(BW4&gt;3200,ROUND(BW4*'L Tab'!$CE$23,2),IF(ROUND(BW4*'L Tab'!$CE$23,2)-BW4&lt;'L Tab'!$CE$21,BW4+'L Tab'!$CE$21,ROUND(BW4*'L Tab'!$CE$23,2))))</f>
        <v>-</v>
      </c>
      <c r="CF4" s="112" t="str">
        <f>IF(BX4="-","-",IF(BX4&gt;3200,ROUND(BX4*'L Tab'!$CE$23,2),IF(ROUND(BX4*'L Tab'!$CE$23,2)-BX4&lt;'L Tab'!$CE$21,BX4+'L Tab'!$CE$21,ROUND(BX4*'L Tab'!$CE$23,2))))</f>
        <v>-</v>
      </c>
      <c r="CG4" s="112">
        <f>IF(BY4="-","-",IF(BY4&gt;3200,ROUND(BY4*'L Tab'!$CE$23,2),IF(ROUND(BY4*'L Tab'!$CE$23,2)-BY4&lt;'L Tab'!$CE$21,BY4+'L Tab'!$CE$21,ROUND(BY4*'L Tab'!$CE$23,2))))</f>
        <v>3690.86</v>
      </c>
      <c r="CH4" s="112">
        <f>IF(BZ4="-","-",IF(BZ4&gt;3200,ROUND(BZ4*'L Tab'!$CE$23,2),IF(ROUND(BZ4*'L Tab'!$CE$23,2)-BZ4&lt;'L Tab'!$CE$21,BZ4+'L Tab'!$CE$21,ROUND(BZ4*'L Tab'!$CE$23,2))))</f>
        <v>4067.14</v>
      </c>
      <c r="CI4" s="112">
        <f>IF(CA4="-","-",IF(CA4&gt;3200,ROUND(CA4*'L Tab'!$CE$23,2),IF(ROUND(CA4*'L Tab'!$CE$23,2)-CA4&lt;'L Tab'!$CE$21,CA4+'L Tab'!$CE$21,ROUND(CA4*'L Tab'!$CE$23,2))))</f>
        <v>4613.3599999999997</v>
      </c>
      <c r="CJ4" s="112" t="str">
        <f t="shared" ref="CJ4:CJ9" si="82">IF(CB4="-","-",IF(AND($BW$21=0,$BW$22=0),ROUND(CB4*$BW$23,2),IF(AND($BW$21&gt;0,$BW$22=0,(((CB4*$BW$23)-CB4)&lt;$BW$21)),CB4+$BW$21,IF(AND($BW$21&gt;0,$BW$22=0,(((CB4*$BW$23)-CB4)&gt;=$BW$21)),ROUND(CB4*$BW$23,2),IF(AND($BW$22&gt;0,$CA$22=1),ROUND((CB4+$BW$22)*$BW$23,2),IF(AND($BW$22&gt;0,$CA$22=2),ROUND(CB4*$BW$23,2)+$BW$22))))))</f>
        <v>-</v>
      </c>
      <c r="CL4" s="176" t="str">
        <f t="shared" si="66"/>
        <v>11a</v>
      </c>
      <c r="CM4" s="112" t="str">
        <f>IF(CE4="-","-",ROUND(CE4*'L Tab'!$CM$23,2))</f>
        <v>-</v>
      </c>
      <c r="CN4" s="112" t="str">
        <f>IF(CF4="-","-",ROUND(CF4*'L Tab'!$CM$23,2))</f>
        <v>-</v>
      </c>
      <c r="CO4" s="112">
        <f>IF(CG4="-","-",ROUND(CG4*'L Tab'!$CM$23,2))</f>
        <v>3777.6</v>
      </c>
      <c r="CP4" s="112">
        <f>IF(CH4="-","-",ROUND(CH4*'L Tab'!$CM$23,2))</f>
        <v>4162.72</v>
      </c>
      <c r="CQ4" s="112">
        <f>IF(CI4="-","-",ROUND(CI4*'L Tab'!$CM$23,2))</f>
        <v>4721.7700000000004</v>
      </c>
      <c r="CR4" s="492">
        <v>4792.6000000000004</v>
      </c>
      <c r="CT4" s="176" t="str">
        <f t="shared" si="67"/>
        <v>11a</v>
      </c>
      <c r="CU4" s="112" t="str">
        <f t="shared" si="68"/>
        <v>-</v>
      </c>
      <c r="CV4" s="112" t="str">
        <f t="shared" si="69"/>
        <v>-</v>
      </c>
      <c r="CW4" s="112">
        <f t="shared" si="70"/>
        <v>3777.6</v>
      </c>
      <c r="CX4" s="112">
        <f t="shared" si="71"/>
        <v>4162.72</v>
      </c>
      <c r="CY4" s="112">
        <f t="shared" si="72"/>
        <v>4721.7700000000004</v>
      </c>
      <c r="CZ4" s="492">
        <v>4863.42</v>
      </c>
      <c r="DB4" s="74" t="s">
        <v>553</v>
      </c>
      <c r="DC4" s="112" t="str">
        <f>IF(CU37="-","-",ROUND(CU37*'L Tab'!$DC$23,2))</f>
        <v>-</v>
      </c>
      <c r="DD4" s="112">
        <f>IF(CV37="-","-",ROUND(CV37*'L Tab'!$DC$23,2))</f>
        <v>4201.53</v>
      </c>
      <c r="DE4" s="112">
        <f>IF(CW37="-","-",ROUND(CW37*'L Tab'!$DC$23,2))</f>
        <v>4339.28</v>
      </c>
      <c r="DF4" s="112">
        <f>IF(CX37="-","-",ROUND(CX37*'L Tab'!$DC$23,2))</f>
        <v>4683.67</v>
      </c>
      <c r="DG4" s="112">
        <f>IF(CY37="-","-",ROUND(CY37*'L Tab'!$DC$23,2))</f>
        <v>5095.82</v>
      </c>
      <c r="DH4" s="112">
        <f>IF(CZ37="-","-",ROUND(CZ37*'L Tab'!$DC$23,2))</f>
        <v>5253.23</v>
      </c>
      <c r="DJ4" s="74" t="str">
        <f t="shared" si="74"/>
        <v>KR 15</v>
      </c>
      <c r="DK4" s="112" t="str">
        <f>IF(DC4="-","-",ROUND(DC4*'L Tab'!$DK$23,2))</f>
        <v>-</v>
      </c>
      <c r="DL4" s="112">
        <f>IF(DD4="-","-",ROUND(DD4*'L Tab'!$DK$23,2))</f>
        <v>4332.62</v>
      </c>
      <c r="DM4" s="112">
        <f>IF(DE4="-","-",ROUND(DE4*'L Tab'!$DK$23,2))</f>
        <v>4474.67</v>
      </c>
      <c r="DN4" s="112">
        <f>IF(DF4="-","-",ROUND(DF4*'L Tab'!$DK$23,2))</f>
        <v>4829.8</v>
      </c>
      <c r="DO4" s="112">
        <f>IF(DG4="-","-",ROUND(DG4*'L Tab'!$DK$23,2))</f>
        <v>5254.81</v>
      </c>
      <c r="DP4" s="112">
        <f>IF(DH4="-","-",ROUND(DH4*'L Tab'!$DK$23,2))</f>
        <v>5417.13</v>
      </c>
      <c r="DR4" s="74" t="str">
        <f t="shared" si="75"/>
        <v>KR 15</v>
      </c>
      <c r="DS4" s="112" t="str">
        <f>IF(DK4="-","-",ROUND(DK4*'L Tab'!$DS$23,2))</f>
        <v>-</v>
      </c>
      <c r="DT4" s="112">
        <f>IF(DL4="-","-",ROUND(DL4*'L Tab'!$DS$23,2))</f>
        <v>4388.51</v>
      </c>
      <c r="DU4" s="112">
        <f>IF(DM4="-","-",ROUND(DM4*'L Tab'!$DS$23,2))</f>
        <v>4532.3900000000003</v>
      </c>
      <c r="DV4" s="112">
        <f>IF(DN4="-","-",ROUND(DN4*'L Tab'!$DS$23,2))</f>
        <v>4892.1000000000004</v>
      </c>
      <c r="DW4" s="112">
        <f>IF(DO4="-","-",ROUND(DO4*'L Tab'!$DS$23,2))</f>
        <v>5322.6</v>
      </c>
      <c r="DX4" s="112">
        <f>IF(DP4="-","-",ROUND(DP4*'L Tab'!$DS$23,2))</f>
        <v>5487.01</v>
      </c>
    </row>
    <row r="5" spans="1:128">
      <c r="B5" s="101" t="s">
        <v>282</v>
      </c>
      <c r="C5" s="37" t="s">
        <v>15</v>
      </c>
      <c r="D5" s="37" t="s">
        <v>15</v>
      </c>
      <c r="E5" s="37">
        <v>2800</v>
      </c>
      <c r="F5" s="37">
        <v>3000</v>
      </c>
      <c r="G5" s="37">
        <v>3380</v>
      </c>
      <c r="H5" s="37" t="s">
        <v>15</v>
      </c>
      <c r="J5" s="74" t="str">
        <f t="shared" si="26"/>
        <v>10a</v>
      </c>
      <c r="K5" s="112" t="s">
        <v>15</v>
      </c>
      <c r="L5" s="112" t="s">
        <v>15</v>
      </c>
      <c r="M5" s="112">
        <v>2885</v>
      </c>
      <c r="N5" s="112">
        <v>3090</v>
      </c>
      <c r="O5" s="112">
        <v>3480</v>
      </c>
      <c r="P5" s="112" t="s">
        <v>15</v>
      </c>
      <c r="R5" s="74" t="str">
        <f t="shared" si="27"/>
        <v>10a</v>
      </c>
      <c r="S5" s="112" t="str">
        <f t="shared" si="15"/>
        <v>-</v>
      </c>
      <c r="T5" s="112" t="str">
        <f t="shared" si="16"/>
        <v>-</v>
      </c>
      <c r="U5" s="112">
        <f t="shared" si="16"/>
        <v>3012.75</v>
      </c>
      <c r="V5" s="112">
        <f t="shared" si="16"/>
        <v>3223.9</v>
      </c>
      <c r="W5" s="112">
        <f t="shared" si="16"/>
        <v>3625.6</v>
      </c>
      <c r="X5" s="112" t="str">
        <f t="shared" si="16"/>
        <v>-</v>
      </c>
      <c r="Z5" s="176" t="str">
        <f t="shared" si="28"/>
        <v>10a</v>
      </c>
      <c r="AA5" s="112" t="str">
        <f t="shared" si="17"/>
        <v>-</v>
      </c>
      <c r="AB5" s="112" t="str">
        <f t="shared" si="18"/>
        <v>-</v>
      </c>
      <c r="AC5" s="112">
        <f t="shared" si="18"/>
        <v>3048.9</v>
      </c>
      <c r="AD5" s="112">
        <f t="shared" si="18"/>
        <v>3262.59</v>
      </c>
      <c r="AE5" s="112">
        <f t="shared" si="18"/>
        <v>3669.11</v>
      </c>
      <c r="AF5" s="112" t="str">
        <f t="shared" si="18"/>
        <v>-</v>
      </c>
      <c r="AH5" s="176" t="str">
        <f t="shared" si="29"/>
        <v>10a</v>
      </c>
      <c r="AI5" s="112" t="str">
        <f t="shared" si="30"/>
        <v>-</v>
      </c>
      <c r="AJ5" s="112" t="str">
        <f t="shared" si="31"/>
        <v>-</v>
      </c>
      <c r="AK5" s="112">
        <f t="shared" si="32"/>
        <v>3094.63</v>
      </c>
      <c r="AL5" s="112">
        <f t="shared" si="33"/>
        <v>3311.53</v>
      </c>
      <c r="AM5" s="112">
        <f t="shared" si="34"/>
        <v>3724.15</v>
      </c>
      <c r="AN5" s="112" t="str">
        <f t="shared" si="76"/>
        <v>-</v>
      </c>
      <c r="AP5" s="176" t="str">
        <f t="shared" si="35"/>
        <v>10a</v>
      </c>
      <c r="AQ5" s="112" t="str">
        <f t="shared" si="36"/>
        <v>-</v>
      </c>
      <c r="AR5" s="112" t="str">
        <f t="shared" si="37"/>
        <v>-</v>
      </c>
      <c r="AS5" s="112">
        <f t="shared" si="38"/>
        <v>3170.43</v>
      </c>
      <c r="AT5" s="112">
        <f t="shared" si="39"/>
        <v>3391.45</v>
      </c>
      <c r="AU5" s="112">
        <f t="shared" si="40"/>
        <v>3811.91</v>
      </c>
      <c r="AV5" s="112" t="str">
        <f t="shared" si="77"/>
        <v>-</v>
      </c>
      <c r="AX5" s="176" t="str">
        <f t="shared" si="41"/>
        <v>10a</v>
      </c>
      <c r="AY5" s="112" t="str">
        <f t="shared" si="42"/>
        <v>-</v>
      </c>
      <c r="AZ5" s="112" t="str">
        <f t="shared" si="43"/>
        <v>-</v>
      </c>
      <c r="BA5" s="112">
        <f t="shared" si="44"/>
        <v>3254.45</v>
      </c>
      <c r="BB5" s="112">
        <f t="shared" si="45"/>
        <v>3481.32</v>
      </c>
      <c r="BC5" s="112">
        <f t="shared" si="46"/>
        <v>3912.93</v>
      </c>
      <c r="BD5" s="112" t="str">
        <f t="shared" si="78"/>
        <v>-</v>
      </c>
      <c r="BF5" s="176" t="str">
        <f t="shared" si="47"/>
        <v>10a</v>
      </c>
      <c r="BG5" s="112" t="str">
        <f t="shared" si="48"/>
        <v>-</v>
      </c>
      <c r="BH5" s="112" t="str">
        <f t="shared" si="49"/>
        <v>-</v>
      </c>
      <c r="BI5" s="112">
        <f t="shared" si="50"/>
        <v>3350.46</v>
      </c>
      <c r="BJ5" s="112">
        <f t="shared" si="51"/>
        <v>3584.02</v>
      </c>
      <c r="BK5" s="112">
        <f t="shared" si="52"/>
        <v>4028.36</v>
      </c>
      <c r="BL5" s="112" t="str">
        <f t="shared" si="79"/>
        <v>-</v>
      </c>
      <c r="BN5" s="176" t="str">
        <f t="shared" si="53"/>
        <v>10a</v>
      </c>
      <c r="BO5" s="112" t="str">
        <f t="shared" si="54"/>
        <v>-</v>
      </c>
      <c r="BP5" s="112" t="str">
        <f t="shared" si="55"/>
        <v>-</v>
      </c>
      <c r="BQ5" s="112">
        <f t="shared" si="56"/>
        <v>3420.82</v>
      </c>
      <c r="BR5" s="112">
        <f t="shared" si="57"/>
        <v>3659.28</v>
      </c>
      <c r="BS5" s="112">
        <f t="shared" si="58"/>
        <v>4112.96</v>
      </c>
      <c r="BT5" s="112" t="str">
        <f t="shared" si="80"/>
        <v>-</v>
      </c>
      <c r="BV5" s="176" t="str">
        <f t="shared" si="59"/>
        <v>10a</v>
      </c>
      <c r="BW5" s="112" t="str">
        <f t="shared" si="60"/>
        <v>-</v>
      </c>
      <c r="BX5" s="112" t="str">
        <f t="shared" si="61"/>
        <v>-</v>
      </c>
      <c r="BY5" s="112">
        <f t="shared" si="62"/>
        <v>3499.5</v>
      </c>
      <c r="BZ5" s="112">
        <f t="shared" si="63"/>
        <v>3743.44</v>
      </c>
      <c r="CA5" s="112">
        <f t="shared" si="64"/>
        <v>4207.5600000000004</v>
      </c>
      <c r="CB5" s="112" t="str">
        <f t="shared" si="81"/>
        <v>-</v>
      </c>
      <c r="CD5" s="176" t="str">
        <f t="shared" si="65"/>
        <v>10a</v>
      </c>
      <c r="CE5" s="112" t="str">
        <f>IF(BW5="-","-",IF(BW5&gt;3200,ROUND(BW5*'L Tab'!$CE$23,2),IF(ROUND(BW5*'L Tab'!$CE$23,2)-BW5&lt;'L Tab'!$CE$21,BW5+'L Tab'!$CE$21,ROUND(BW5*'L Tab'!$CE$23,2))))</f>
        <v>-</v>
      </c>
      <c r="CF5" s="112" t="str">
        <f>IF(BX5="-","-",IF(BX5&gt;3200,ROUND(BX5*'L Tab'!$CE$23,2),IF(ROUND(BX5*'L Tab'!$CE$23,2)-BX5&lt;'L Tab'!$CE$21,BX5+'L Tab'!$CE$21,ROUND(BX5*'L Tab'!$CE$23,2))))</f>
        <v>-</v>
      </c>
      <c r="CG5" s="112">
        <f>IF(BY5="-","-",IF(BY5&gt;3200,ROUND(BY5*'L Tab'!$CE$23,2),IF(ROUND(BY5*'L Tab'!$CE$23,2)-BY5&lt;'L Tab'!$CE$21,BY5+'L Tab'!$CE$21,ROUND(BY5*'L Tab'!$CE$23,2))))</f>
        <v>3569.49</v>
      </c>
      <c r="CH5" s="112">
        <f>IF(BZ5="-","-",IF(BZ5&gt;3200,ROUND(BZ5*'L Tab'!$CE$23,2),IF(ROUND(BZ5*'L Tab'!$CE$23,2)-BZ5&lt;'L Tab'!$CE$21,BZ5+'L Tab'!$CE$21,ROUND(BZ5*'L Tab'!$CE$23,2))))</f>
        <v>3818.31</v>
      </c>
      <c r="CI5" s="112">
        <f>IF(CA5="-","-",IF(CA5&gt;3200,ROUND(CA5*'L Tab'!$CE$23,2),IF(ROUND(CA5*'L Tab'!$CE$23,2)-CA5&lt;'L Tab'!$CE$21,CA5+'L Tab'!$CE$21,ROUND(CA5*'L Tab'!$CE$23,2))))</f>
        <v>4291.71</v>
      </c>
      <c r="CJ5" s="112" t="str">
        <f t="shared" si="82"/>
        <v>-</v>
      </c>
      <c r="CL5" s="176" t="str">
        <f t="shared" si="66"/>
        <v>10a</v>
      </c>
      <c r="CM5" s="112" t="str">
        <f>IF(CE5="-","-",ROUND(CE5*'L Tab'!$CM$23,2))</f>
        <v>-</v>
      </c>
      <c r="CN5" s="112" t="str">
        <f>IF(CF5="-","-",ROUND(CF5*'L Tab'!$CM$23,2))</f>
        <v>-</v>
      </c>
      <c r="CO5" s="112">
        <f>IF(CG5="-","-",ROUND(CG5*'L Tab'!$CM$23,2))</f>
        <v>3653.37</v>
      </c>
      <c r="CP5" s="112">
        <f>IF(CH5="-","-",ROUND(CH5*'L Tab'!$CM$23,2))</f>
        <v>3908.04</v>
      </c>
      <c r="CQ5" s="112">
        <f>IF(CI5="-","-",ROUND(CI5*'L Tab'!$CM$23,2))</f>
        <v>4392.57</v>
      </c>
      <c r="CR5" s="492">
        <v>4458.46</v>
      </c>
      <c r="CT5" s="176" t="str">
        <f t="shared" si="67"/>
        <v>10a</v>
      </c>
      <c r="CU5" s="112" t="str">
        <f t="shared" si="68"/>
        <v>-</v>
      </c>
      <c r="CV5" s="112" t="str">
        <f t="shared" si="69"/>
        <v>-</v>
      </c>
      <c r="CW5" s="112">
        <f t="shared" si="70"/>
        <v>3653.37</v>
      </c>
      <c r="CX5" s="112">
        <f t="shared" si="71"/>
        <v>3908.04</v>
      </c>
      <c r="CY5" s="112">
        <f t="shared" si="72"/>
        <v>4392.57</v>
      </c>
      <c r="CZ5" s="492">
        <v>4524.3500000000004</v>
      </c>
      <c r="DB5" s="74" t="s">
        <v>554</v>
      </c>
      <c r="DC5" s="112" t="str">
        <f>IF(CU38="-","-",ROUND(CU38*'L Tab'!$DC$23,2))</f>
        <v>-</v>
      </c>
      <c r="DD5" s="112">
        <f>IF(CV38="-","-",ROUND(CV38*'L Tab'!$DC$23,2))</f>
        <v>4099.88</v>
      </c>
      <c r="DE5" s="112">
        <f>IF(CW38="-","-",ROUND(CW38*'L Tab'!$DC$23,2))</f>
        <v>4234.3100000000004</v>
      </c>
      <c r="DF5" s="112">
        <f>IF(CX38="-","-",ROUND(CX38*'L Tab'!$DC$23,2))</f>
        <v>4570.37</v>
      </c>
      <c r="DG5" s="112">
        <f>IF(CY38="-","-",ROUND(CY38*'L Tab'!$DC$23,2))</f>
        <v>5026.95</v>
      </c>
      <c r="DH5" s="112">
        <f>IF(CZ38="-","-",ROUND(CZ38*'L Tab'!$DC$23,2))</f>
        <v>5110.26</v>
      </c>
      <c r="DJ5" s="74" t="str">
        <f t="shared" si="74"/>
        <v>KR 14</v>
      </c>
      <c r="DK5" s="112" t="str">
        <f>IF(DC5="-","-",ROUND(DC5*'L Tab'!$DK$23,2))</f>
        <v>-</v>
      </c>
      <c r="DL5" s="112">
        <f>IF(DD5="-","-",ROUND(DD5*'L Tab'!$DK$23,2))</f>
        <v>4227.8</v>
      </c>
      <c r="DM5" s="112">
        <f>IF(DE5="-","-",ROUND(DE5*'L Tab'!$DK$23,2))</f>
        <v>4366.42</v>
      </c>
      <c r="DN5" s="112">
        <f>IF(DF5="-","-",ROUND(DF5*'L Tab'!$DK$23,2))</f>
        <v>4712.97</v>
      </c>
      <c r="DO5" s="112">
        <f>IF(DG5="-","-",ROUND(DG5*'L Tab'!$DK$23,2))</f>
        <v>5183.79</v>
      </c>
      <c r="DP5" s="112">
        <f>IF(DH5="-","-",ROUND(DH5*'L Tab'!$DK$23,2))</f>
        <v>5269.7</v>
      </c>
      <c r="DR5" s="74" t="str">
        <f t="shared" si="75"/>
        <v>KR 14</v>
      </c>
      <c r="DS5" s="112" t="str">
        <f>IF(DK5="-","-",ROUND(DK5*'L Tab'!$DS$23,2))</f>
        <v>-</v>
      </c>
      <c r="DT5" s="112">
        <f>IF(DL5="-","-",ROUND(DL5*'L Tab'!$DS$23,2))</f>
        <v>4282.34</v>
      </c>
      <c r="DU5" s="112">
        <f>IF(DM5="-","-",ROUND(DM5*'L Tab'!$DS$23,2))</f>
        <v>4422.75</v>
      </c>
      <c r="DV5" s="112">
        <f>IF(DN5="-","-",ROUND(DN5*'L Tab'!$DS$23,2))</f>
        <v>4773.7700000000004</v>
      </c>
      <c r="DW5" s="112">
        <f>IF(DO5="-","-",ROUND(DO5*'L Tab'!$DS$23,2))</f>
        <v>5250.66</v>
      </c>
      <c r="DX5" s="112">
        <f>IF(DP5="-","-",ROUND(DP5*'L Tab'!$DS$23,2))</f>
        <v>5337.68</v>
      </c>
    </row>
    <row r="6" spans="1:128">
      <c r="B6" s="101" t="s">
        <v>283</v>
      </c>
      <c r="C6" s="37" t="s">
        <v>15</v>
      </c>
      <c r="D6" s="37" t="s">
        <v>15</v>
      </c>
      <c r="E6" s="37">
        <v>2730</v>
      </c>
      <c r="F6" s="37">
        <v>2980</v>
      </c>
      <c r="G6" s="37">
        <v>3180</v>
      </c>
      <c r="H6" s="37" t="s">
        <v>15</v>
      </c>
      <c r="J6" s="74" t="str">
        <f t="shared" si="26"/>
        <v>9d</v>
      </c>
      <c r="K6" s="112" t="s">
        <v>15</v>
      </c>
      <c r="L6" s="112" t="s">
        <v>15</v>
      </c>
      <c r="M6" s="112">
        <v>2810</v>
      </c>
      <c r="N6" s="112">
        <v>3070</v>
      </c>
      <c r="O6" s="112">
        <v>3275</v>
      </c>
      <c r="P6" s="112" t="s">
        <v>15</v>
      </c>
      <c r="R6" s="74" t="str">
        <f t="shared" si="27"/>
        <v>9d</v>
      </c>
      <c r="S6" s="112" t="str">
        <f t="shared" si="15"/>
        <v>-</v>
      </c>
      <c r="T6" s="112" t="str">
        <f t="shared" si="16"/>
        <v>-</v>
      </c>
      <c r="U6" s="112">
        <f t="shared" si="16"/>
        <v>2935.5</v>
      </c>
      <c r="V6" s="112">
        <f t="shared" si="16"/>
        <v>3203.3</v>
      </c>
      <c r="W6" s="112">
        <f t="shared" si="16"/>
        <v>3414.45</v>
      </c>
      <c r="X6" s="112" t="str">
        <f t="shared" si="16"/>
        <v>-</v>
      </c>
      <c r="Z6" s="176" t="str">
        <f t="shared" si="28"/>
        <v>9d</v>
      </c>
      <c r="AA6" s="112" t="str">
        <f t="shared" si="17"/>
        <v>-</v>
      </c>
      <c r="AB6" s="112" t="str">
        <f t="shared" si="18"/>
        <v>-</v>
      </c>
      <c r="AC6" s="112">
        <f t="shared" si="18"/>
        <v>2970.73</v>
      </c>
      <c r="AD6" s="112">
        <f t="shared" si="18"/>
        <v>3241.74</v>
      </c>
      <c r="AE6" s="112">
        <f t="shared" si="18"/>
        <v>3455.42</v>
      </c>
      <c r="AF6" s="112" t="str">
        <f t="shared" si="18"/>
        <v>-</v>
      </c>
      <c r="AH6" s="176" t="str">
        <f t="shared" si="29"/>
        <v>9d</v>
      </c>
      <c r="AI6" s="112" t="str">
        <f t="shared" si="30"/>
        <v>-</v>
      </c>
      <c r="AJ6" s="112" t="str">
        <f t="shared" si="31"/>
        <v>-</v>
      </c>
      <c r="AK6" s="112">
        <f t="shared" si="32"/>
        <v>3015.29</v>
      </c>
      <c r="AL6" s="112">
        <f t="shared" si="33"/>
        <v>3290.37</v>
      </c>
      <c r="AM6" s="112">
        <f t="shared" si="34"/>
        <v>3507.25</v>
      </c>
      <c r="AN6" s="112" t="str">
        <f t="shared" si="76"/>
        <v>-</v>
      </c>
      <c r="AP6" s="176" t="str">
        <f t="shared" si="35"/>
        <v>9d</v>
      </c>
      <c r="AQ6" s="112" t="str">
        <f t="shared" si="36"/>
        <v>-</v>
      </c>
      <c r="AR6" s="112" t="str">
        <f t="shared" si="37"/>
        <v>-</v>
      </c>
      <c r="AS6" s="112">
        <f t="shared" si="38"/>
        <v>3089.58</v>
      </c>
      <c r="AT6" s="112">
        <f t="shared" si="39"/>
        <v>3369.89</v>
      </c>
      <c r="AU6" s="112">
        <f t="shared" si="40"/>
        <v>3590.89</v>
      </c>
      <c r="AV6" s="112" t="str">
        <f t="shared" si="77"/>
        <v>-</v>
      </c>
      <c r="AX6" s="176" t="str">
        <f t="shared" si="41"/>
        <v>9d</v>
      </c>
      <c r="AY6" s="112" t="str">
        <f t="shared" si="42"/>
        <v>-</v>
      </c>
      <c r="AZ6" s="112" t="str">
        <f t="shared" si="43"/>
        <v>-</v>
      </c>
      <c r="BA6" s="112">
        <f t="shared" si="44"/>
        <v>3171.45</v>
      </c>
      <c r="BB6" s="112">
        <f t="shared" si="45"/>
        <v>3459.19</v>
      </c>
      <c r="BC6" s="112">
        <f t="shared" si="46"/>
        <v>3686.05</v>
      </c>
      <c r="BD6" s="112" t="str">
        <f t="shared" si="78"/>
        <v>-</v>
      </c>
      <c r="BF6" s="176" t="str">
        <f t="shared" si="47"/>
        <v>9d</v>
      </c>
      <c r="BG6" s="112" t="str">
        <f t="shared" si="48"/>
        <v>-</v>
      </c>
      <c r="BH6" s="112" t="str">
        <f t="shared" si="49"/>
        <v>-</v>
      </c>
      <c r="BI6" s="112">
        <f t="shared" si="50"/>
        <v>3265.01</v>
      </c>
      <c r="BJ6" s="112">
        <f t="shared" si="51"/>
        <v>3561.24</v>
      </c>
      <c r="BK6" s="112">
        <f t="shared" si="52"/>
        <v>3794.79</v>
      </c>
      <c r="BL6" s="112" t="str">
        <f t="shared" si="79"/>
        <v>-</v>
      </c>
      <c r="BN6" s="176" t="str">
        <f t="shared" si="53"/>
        <v>9d</v>
      </c>
      <c r="BO6" s="112" t="str">
        <f t="shared" si="54"/>
        <v>-</v>
      </c>
      <c r="BP6" s="112" t="str">
        <f t="shared" si="55"/>
        <v>-</v>
      </c>
      <c r="BQ6" s="112">
        <f t="shared" si="56"/>
        <v>3333.58</v>
      </c>
      <c r="BR6" s="112">
        <f t="shared" si="57"/>
        <v>3636.03</v>
      </c>
      <c r="BS6" s="112">
        <f t="shared" si="58"/>
        <v>3874.48</v>
      </c>
      <c r="BT6" s="112" t="str">
        <f t="shared" si="80"/>
        <v>-</v>
      </c>
      <c r="BV6" s="176" t="str">
        <f t="shared" si="59"/>
        <v>9d</v>
      </c>
      <c r="BW6" s="112" t="str">
        <f t="shared" si="60"/>
        <v>-</v>
      </c>
      <c r="BX6" s="112" t="str">
        <f t="shared" si="61"/>
        <v>-</v>
      </c>
      <c r="BY6" s="112">
        <f t="shared" si="62"/>
        <v>3410.25</v>
      </c>
      <c r="BZ6" s="112">
        <f t="shared" si="63"/>
        <v>3719.66</v>
      </c>
      <c r="CA6" s="112">
        <f t="shared" si="64"/>
        <v>3963.59</v>
      </c>
      <c r="CB6" s="112" t="str">
        <f t="shared" si="81"/>
        <v>-</v>
      </c>
      <c r="CD6" s="176" t="str">
        <f t="shared" si="65"/>
        <v>9d</v>
      </c>
      <c r="CE6" s="112" t="str">
        <f>IF(BW6="-","-",IF(BW6&gt;3200,ROUND(BW6*'L Tab'!$CE$23,2),IF(ROUND(BW6*'L Tab'!$CE$23,2)-BW6&lt;'L Tab'!$CE$21,BW6+'L Tab'!$CE$21,ROUND(BW6*'L Tab'!$CE$23,2))))</f>
        <v>-</v>
      </c>
      <c r="CF6" s="112" t="str">
        <f>IF(BX6="-","-",IF(BX6&gt;3200,ROUND(BX6*'L Tab'!$CE$23,2),IF(ROUND(BX6*'L Tab'!$CE$23,2)-BX6&lt;'L Tab'!$CE$21,BX6+'L Tab'!$CE$21,ROUND(BX6*'L Tab'!$CE$23,2))))</f>
        <v>-</v>
      </c>
      <c r="CG6" s="112">
        <f>IF(BY6="-","-",IF(BY6&gt;3200,ROUND(BY6*'L Tab'!$CE$23,2),IF(ROUND(BY6*'L Tab'!$CE$23,2)-BY6&lt;'L Tab'!$CE$21,BY6+'L Tab'!$CE$21,ROUND(BY6*'L Tab'!$CE$23,2))))</f>
        <v>3478.46</v>
      </c>
      <c r="CH6" s="112">
        <f>IF(BZ6="-","-",IF(BZ6&gt;3200,ROUND(BZ6*'L Tab'!$CE$23,2),IF(ROUND(BZ6*'L Tab'!$CE$23,2)-BZ6&lt;'L Tab'!$CE$21,BZ6+'L Tab'!$CE$21,ROUND(BZ6*'L Tab'!$CE$23,2))))</f>
        <v>3794.05</v>
      </c>
      <c r="CI6" s="112">
        <f>IF(CA6="-","-",IF(CA6&gt;3200,ROUND(CA6*'L Tab'!$CE$23,2),IF(ROUND(CA6*'L Tab'!$CE$23,2)-CA6&lt;'L Tab'!$CE$21,CA6+'L Tab'!$CE$21,ROUND(CA6*'L Tab'!$CE$23,2))))</f>
        <v>4042.86</v>
      </c>
      <c r="CJ6" s="112" t="str">
        <f t="shared" si="82"/>
        <v>-</v>
      </c>
      <c r="CL6" s="176" t="str">
        <f t="shared" si="66"/>
        <v>9d</v>
      </c>
      <c r="CM6" s="112" t="str">
        <f>IF(CE6="-","-",ROUND(CE6*'L Tab'!$CM$23,2))</f>
        <v>-</v>
      </c>
      <c r="CN6" s="112" t="str">
        <f>IF(CF6="-","-",ROUND(CF6*'L Tab'!$CM$23,2))</f>
        <v>-</v>
      </c>
      <c r="CO6" s="112">
        <f>IF(CG6="-","-",ROUND(CG6*'L Tab'!$CM$23,2))</f>
        <v>3560.2</v>
      </c>
      <c r="CP6" s="112">
        <f>IF(CH6="-","-",ROUND(CH6*'L Tab'!$CM$23,2))</f>
        <v>3883.21</v>
      </c>
      <c r="CQ6" s="112">
        <f>IF(CI6="-","-",ROUND(CI6*'L Tab'!$CM$23,2))</f>
        <v>4137.87</v>
      </c>
      <c r="CR6" s="492">
        <v>4199.9399999999996</v>
      </c>
      <c r="CT6" s="176" t="str">
        <f t="shared" si="67"/>
        <v>9d</v>
      </c>
      <c r="CU6" s="112" t="str">
        <f t="shared" si="68"/>
        <v>-</v>
      </c>
      <c r="CV6" s="112" t="str">
        <f t="shared" si="69"/>
        <v>-</v>
      </c>
      <c r="CW6" s="112">
        <f t="shared" si="70"/>
        <v>3560.2</v>
      </c>
      <c r="CX6" s="112">
        <f t="shared" si="71"/>
        <v>3883.21</v>
      </c>
      <c r="CY6" s="112">
        <f t="shared" si="72"/>
        <v>4137.87</v>
      </c>
      <c r="CZ6" s="492">
        <v>4262.01</v>
      </c>
      <c r="DB6" s="74" t="s">
        <v>555</v>
      </c>
      <c r="DC6" s="112" t="str">
        <f>IF(CU39="-","-",ROUND(CU39*'L Tab'!$DC$23,2))</f>
        <v>-</v>
      </c>
      <c r="DD6" s="112">
        <f>IF(CV39="-","-",ROUND(CV39*'L Tab'!$DC$23,2))</f>
        <v>3998.24</v>
      </c>
      <c r="DE6" s="112">
        <f>IF(CW39="-","-",ROUND(CW39*'L Tab'!$DC$23,2))</f>
        <v>4129.33</v>
      </c>
      <c r="DF6" s="112">
        <f>IF(CX39="-","-",ROUND(CX39*'L Tab'!$DC$23,2))</f>
        <v>4457.04</v>
      </c>
      <c r="DG6" s="112">
        <f>IF(CY39="-","-",ROUND(CY39*'L Tab'!$DC$23,2))</f>
        <v>4693.67</v>
      </c>
      <c r="DH6" s="112">
        <f>IF(CZ39="-","-",ROUND(CZ39*'L Tab'!$DC$23,2))</f>
        <v>4754.7700000000004</v>
      </c>
      <c r="DJ6" s="74" t="str">
        <f t="shared" si="74"/>
        <v>KR 13</v>
      </c>
      <c r="DK6" s="112" t="str">
        <f>IF(DC6="-","-",ROUND(DC6*'L Tab'!$DK$23,2))</f>
        <v>-</v>
      </c>
      <c r="DL6" s="112">
        <f>IF(DD6="-","-",ROUND(DD6*'L Tab'!$DK$23,2))</f>
        <v>4122.99</v>
      </c>
      <c r="DM6" s="112">
        <f>IF(DE6="-","-",ROUND(DE6*'L Tab'!$DK$23,2))</f>
        <v>4258.17</v>
      </c>
      <c r="DN6" s="112">
        <f>IF(DF6="-","-",ROUND(DF6*'L Tab'!$DK$23,2))</f>
        <v>4596.1000000000004</v>
      </c>
      <c r="DO6" s="112">
        <f>IF(DG6="-","-",ROUND(DG6*'L Tab'!$DK$23,2))</f>
        <v>4840.1099999999997</v>
      </c>
      <c r="DP6" s="112">
        <f>IF(DH6="-","-",ROUND(DH6*'L Tab'!$DK$23,2))</f>
        <v>4903.12</v>
      </c>
      <c r="DR6" s="74" t="str">
        <f t="shared" si="75"/>
        <v>KR 13</v>
      </c>
      <c r="DS6" s="112" t="str">
        <f>IF(DK6="-","-",ROUND(DK6*'L Tab'!$DS$23,2))</f>
        <v>-</v>
      </c>
      <c r="DT6" s="112">
        <f>IF(DL6="-","-",ROUND(DL6*'L Tab'!$DS$23,2))</f>
        <v>4176.18</v>
      </c>
      <c r="DU6" s="112">
        <f>IF(DM6="-","-",ROUND(DM6*'L Tab'!$DS$23,2))</f>
        <v>4313.1000000000004</v>
      </c>
      <c r="DV6" s="112">
        <f>IF(DN6="-","-",ROUND(DN6*'L Tab'!$DS$23,2))</f>
        <v>4655.3900000000003</v>
      </c>
      <c r="DW6" s="112">
        <f>IF(DO6="-","-",ROUND(DO6*'L Tab'!$DS$23,2))</f>
        <v>4902.55</v>
      </c>
      <c r="DX6" s="112">
        <f>IF(DP6="-","-",ROUND(DP6*'L Tab'!$DS$23,2))</f>
        <v>4966.37</v>
      </c>
    </row>
    <row r="7" spans="1:128">
      <c r="B7" s="101" t="s">
        <v>284</v>
      </c>
      <c r="C7" s="37" t="s">
        <v>15</v>
      </c>
      <c r="D7" s="37" t="s">
        <v>15</v>
      </c>
      <c r="E7" s="37">
        <v>2650</v>
      </c>
      <c r="F7" s="37">
        <v>2840</v>
      </c>
      <c r="G7" s="37">
        <v>3020</v>
      </c>
      <c r="H7" s="37" t="s">
        <v>15</v>
      </c>
      <c r="J7" s="74" t="str">
        <f t="shared" si="26"/>
        <v>9c</v>
      </c>
      <c r="K7" s="112" t="s">
        <v>15</v>
      </c>
      <c r="L7" s="112" t="s">
        <v>15</v>
      </c>
      <c r="M7" s="112">
        <v>2730</v>
      </c>
      <c r="N7" s="112">
        <v>2925</v>
      </c>
      <c r="O7" s="112">
        <v>3110</v>
      </c>
      <c r="P7" s="112" t="s">
        <v>15</v>
      </c>
      <c r="R7" s="74" t="str">
        <f t="shared" si="27"/>
        <v>9c</v>
      </c>
      <c r="S7" s="112" t="str">
        <f t="shared" si="15"/>
        <v>-</v>
      </c>
      <c r="T7" s="112" t="str">
        <f t="shared" si="16"/>
        <v>-</v>
      </c>
      <c r="U7" s="112">
        <f t="shared" si="16"/>
        <v>2853.1</v>
      </c>
      <c r="V7" s="112">
        <f t="shared" si="16"/>
        <v>3053.95</v>
      </c>
      <c r="W7" s="112">
        <f t="shared" si="16"/>
        <v>3244.5</v>
      </c>
      <c r="X7" s="112" t="str">
        <f t="shared" si="16"/>
        <v>-</v>
      </c>
      <c r="Z7" s="176" t="str">
        <f t="shared" si="28"/>
        <v>9c</v>
      </c>
      <c r="AA7" s="112" t="str">
        <f t="shared" si="17"/>
        <v>-</v>
      </c>
      <c r="AB7" s="112" t="str">
        <f t="shared" si="18"/>
        <v>-</v>
      </c>
      <c r="AC7" s="112">
        <f t="shared" si="18"/>
        <v>2887.34</v>
      </c>
      <c r="AD7" s="112">
        <f t="shared" si="18"/>
        <v>3090.6</v>
      </c>
      <c r="AE7" s="112">
        <f t="shared" si="18"/>
        <v>3283.43</v>
      </c>
      <c r="AF7" s="112" t="str">
        <f t="shared" si="18"/>
        <v>-</v>
      </c>
      <c r="AH7" s="176" t="str">
        <f t="shared" si="29"/>
        <v>9c</v>
      </c>
      <c r="AI7" s="112" t="str">
        <f t="shared" si="30"/>
        <v>-</v>
      </c>
      <c r="AJ7" s="112" t="str">
        <f t="shared" si="31"/>
        <v>-</v>
      </c>
      <c r="AK7" s="112">
        <f t="shared" si="32"/>
        <v>2930.65</v>
      </c>
      <c r="AL7" s="112">
        <f t="shared" si="33"/>
        <v>3136.96</v>
      </c>
      <c r="AM7" s="112">
        <f t="shared" si="34"/>
        <v>3332.68</v>
      </c>
      <c r="AN7" s="112" t="str">
        <f t="shared" si="76"/>
        <v>-</v>
      </c>
      <c r="AP7" s="176" t="str">
        <f t="shared" si="35"/>
        <v>9c</v>
      </c>
      <c r="AQ7" s="112" t="str">
        <f t="shared" si="36"/>
        <v>-</v>
      </c>
      <c r="AR7" s="112" t="str">
        <f t="shared" si="37"/>
        <v>-</v>
      </c>
      <c r="AS7" s="112">
        <f t="shared" si="38"/>
        <v>3003.33</v>
      </c>
      <c r="AT7" s="112">
        <f t="shared" si="39"/>
        <v>3213.56</v>
      </c>
      <c r="AU7" s="112">
        <f t="shared" si="40"/>
        <v>3413</v>
      </c>
      <c r="AV7" s="112" t="str">
        <f t="shared" si="77"/>
        <v>-</v>
      </c>
      <c r="AX7" s="176" t="str">
        <f t="shared" si="41"/>
        <v>9c</v>
      </c>
      <c r="AY7" s="112" t="str">
        <f t="shared" si="42"/>
        <v>-</v>
      </c>
      <c r="AZ7" s="112" t="str">
        <f t="shared" si="43"/>
        <v>-</v>
      </c>
      <c r="BA7" s="112">
        <f t="shared" si="44"/>
        <v>3082.92</v>
      </c>
      <c r="BB7" s="112">
        <f t="shared" si="45"/>
        <v>3298.72</v>
      </c>
      <c r="BC7" s="112">
        <f t="shared" si="46"/>
        <v>3503.44</v>
      </c>
      <c r="BD7" s="112" t="str">
        <f t="shared" si="78"/>
        <v>-</v>
      </c>
      <c r="BF7" s="176" t="str">
        <f t="shared" si="47"/>
        <v>9c</v>
      </c>
      <c r="BG7" s="112" t="str">
        <f t="shared" si="48"/>
        <v>-</v>
      </c>
      <c r="BH7" s="112" t="str">
        <f t="shared" si="49"/>
        <v>-</v>
      </c>
      <c r="BI7" s="112">
        <f t="shared" si="50"/>
        <v>3173.87</v>
      </c>
      <c r="BJ7" s="112">
        <f t="shared" si="51"/>
        <v>3396.03</v>
      </c>
      <c r="BK7" s="112">
        <f t="shared" si="52"/>
        <v>3606.79</v>
      </c>
      <c r="BL7" s="112" t="str">
        <f t="shared" si="79"/>
        <v>-</v>
      </c>
      <c r="BN7" s="176" t="str">
        <f t="shared" si="53"/>
        <v>9c</v>
      </c>
      <c r="BO7" s="112" t="str">
        <f t="shared" si="54"/>
        <v>-</v>
      </c>
      <c r="BP7" s="112" t="str">
        <f t="shared" si="55"/>
        <v>-</v>
      </c>
      <c r="BQ7" s="112">
        <f t="shared" si="56"/>
        <v>3240.52</v>
      </c>
      <c r="BR7" s="112">
        <f t="shared" si="57"/>
        <v>3467.35</v>
      </c>
      <c r="BS7" s="112">
        <f t="shared" si="58"/>
        <v>3682.53</v>
      </c>
      <c r="BT7" s="112" t="str">
        <f t="shared" si="80"/>
        <v>-</v>
      </c>
      <c r="BV7" s="176" t="str">
        <f t="shared" si="59"/>
        <v>9c</v>
      </c>
      <c r="BW7" s="112" t="str">
        <f t="shared" si="60"/>
        <v>-</v>
      </c>
      <c r="BX7" s="112" t="str">
        <f t="shared" si="61"/>
        <v>-</v>
      </c>
      <c r="BY7" s="112">
        <f t="shared" si="62"/>
        <v>3315.52</v>
      </c>
      <c r="BZ7" s="112">
        <f t="shared" si="63"/>
        <v>3547.1</v>
      </c>
      <c r="CA7" s="112">
        <f t="shared" si="64"/>
        <v>3767.23</v>
      </c>
      <c r="CB7" s="112" t="str">
        <f t="shared" si="81"/>
        <v>-</v>
      </c>
      <c r="CD7" s="176" t="str">
        <f t="shared" si="65"/>
        <v>9c</v>
      </c>
      <c r="CE7" s="112" t="str">
        <f>IF(BW7="-","-",IF(BW7&gt;3200,ROUND(BW7*'L Tab'!$CE$23,2),IF(ROUND(BW7*'L Tab'!$CE$23,2)-BW7&lt;'L Tab'!$CE$21,BW7+'L Tab'!$CE$21,ROUND(BW7*'L Tab'!$CE$23,2))))</f>
        <v>-</v>
      </c>
      <c r="CF7" s="112" t="str">
        <f>IF(BX7="-","-",IF(BX7&gt;3200,ROUND(BX7*'L Tab'!$CE$23,2),IF(ROUND(BX7*'L Tab'!$CE$23,2)-BX7&lt;'L Tab'!$CE$21,BX7+'L Tab'!$CE$21,ROUND(BX7*'L Tab'!$CE$23,2))))</f>
        <v>-</v>
      </c>
      <c r="CG7" s="112">
        <f>IF(BY7="-","-",IF(BY7&gt;3200,ROUND(BY7*'L Tab'!$CE$23,2),IF(ROUND(BY7*'L Tab'!$CE$23,2)-BY7&lt;'L Tab'!$CE$21,BY7+'L Tab'!$CE$21,ROUND(BY7*'L Tab'!$CE$23,2))))</f>
        <v>3381.83</v>
      </c>
      <c r="CH7" s="112">
        <f>IF(BZ7="-","-",IF(BZ7&gt;3200,ROUND(BZ7*'L Tab'!$CE$23,2),IF(ROUND(BZ7*'L Tab'!$CE$23,2)-BZ7&lt;'L Tab'!$CE$21,BZ7+'L Tab'!$CE$21,ROUND(BZ7*'L Tab'!$CE$23,2))))</f>
        <v>3618.04</v>
      </c>
      <c r="CI7" s="112">
        <f>IF(CA7="-","-",IF(CA7&gt;3200,ROUND(CA7*'L Tab'!$CE$23,2),IF(ROUND(CA7*'L Tab'!$CE$23,2)-CA7&lt;'L Tab'!$CE$21,CA7+'L Tab'!$CE$21,ROUND(CA7*'L Tab'!$CE$23,2))))</f>
        <v>3842.57</v>
      </c>
      <c r="CJ7" s="112" t="str">
        <f t="shared" si="82"/>
        <v>-</v>
      </c>
      <c r="CL7" s="176" t="str">
        <f t="shared" si="66"/>
        <v>9c</v>
      </c>
      <c r="CM7" s="112" t="str">
        <f>IF(CE7="-","-",ROUND(CE7*'L Tab'!$CM$23,2))</f>
        <v>-</v>
      </c>
      <c r="CN7" s="112" t="str">
        <f>IF(CF7="-","-",ROUND(CF7*'L Tab'!$CM$23,2))</f>
        <v>-</v>
      </c>
      <c r="CO7" s="112">
        <f>IF(CG7="-","-",ROUND(CG7*'L Tab'!$CM$23,2))</f>
        <v>3461.3</v>
      </c>
      <c r="CP7" s="112">
        <f>IF(CH7="-","-",ROUND(CH7*'L Tab'!$CM$23,2))</f>
        <v>3703.06</v>
      </c>
      <c r="CQ7" s="112">
        <f>IF(CI7="-","-",ROUND(CI7*'L Tab'!$CM$23,2))</f>
        <v>3932.87</v>
      </c>
      <c r="CR7" s="492">
        <v>3991.87</v>
      </c>
      <c r="CT7" s="176" t="str">
        <f t="shared" si="67"/>
        <v>9c</v>
      </c>
      <c r="CU7" s="112" t="str">
        <f t="shared" si="68"/>
        <v>-</v>
      </c>
      <c r="CV7" s="112" t="str">
        <f t="shared" si="69"/>
        <v>-</v>
      </c>
      <c r="CW7" s="112">
        <f t="shared" si="70"/>
        <v>3461.3</v>
      </c>
      <c r="CX7" s="112">
        <f t="shared" si="71"/>
        <v>3703.06</v>
      </c>
      <c r="CY7" s="112">
        <f t="shared" si="72"/>
        <v>3932.87</v>
      </c>
      <c r="CZ7" s="492">
        <v>4050.86</v>
      </c>
      <c r="DB7" s="74" t="s">
        <v>556</v>
      </c>
      <c r="DC7" s="112" t="str">
        <f>IF(CU40="-","-",ROUND(CU40*'L Tab'!$DC$23,2))</f>
        <v>-</v>
      </c>
      <c r="DD7" s="112">
        <f>IF(CV40="-","-",ROUND(CV40*'L Tab'!$DC$23,2))</f>
        <v>3794.92</v>
      </c>
      <c r="DE7" s="112">
        <f>IF(CW40="-","-",ROUND(CW40*'L Tab'!$DC$23,2))</f>
        <v>3919.36</v>
      </c>
      <c r="DF7" s="112">
        <f>IF(CX40="-","-",ROUND(CX40*'L Tab'!$DC$23,2))</f>
        <v>4230.41</v>
      </c>
      <c r="DG7" s="112">
        <f>IF(CY40="-","-",ROUND(CY40*'L Tab'!$DC$23,2))</f>
        <v>4421.49</v>
      </c>
      <c r="DH7" s="112">
        <f>IF(CZ40="-","-",ROUND(CZ40*'L Tab'!$DC$23,2))</f>
        <v>4510.3599999999997</v>
      </c>
      <c r="DJ7" s="74" t="str">
        <f t="shared" si="74"/>
        <v>KR 12</v>
      </c>
      <c r="DK7" s="112" t="str">
        <f>IF(DC7="-","-",ROUND(DC7*'L Tab'!$DK$23,2))</f>
        <v>-</v>
      </c>
      <c r="DL7" s="112">
        <f>IF(DD7="-","-",ROUND(DD7*'L Tab'!$DK$23,2))</f>
        <v>3913.32</v>
      </c>
      <c r="DM7" s="112">
        <f>IF(DE7="-","-",ROUND(DE7*'L Tab'!$DK$23,2))</f>
        <v>4041.64</v>
      </c>
      <c r="DN7" s="112">
        <f>IF(DF7="-","-",ROUND(DF7*'L Tab'!$DK$23,2))</f>
        <v>4362.3999999999996</v>
      </c>
      <c r="DO7" s="112">
        <f>IF(DG7="-","-",ROUND(DG7*'L Tab'!$DK$23,2))</f>
        <v>4559.4399999999996</v>
      </c>
      <c r="DP7" s="112">
        <f>IF(DH7="-","-",ROUND(DH7*'L Tab'!$DK$23,2))</f>
        <v>4651.08</v>
      </c>
      <c r="DR7" s="74" t="str">
        <f t="shared" si="75"/>
        <v>KR 12</v>
      </c>
      <c r="DS7" s="112" t="str">
        <f>IF(DK7="-","-",ROUND(DK7*'L Tab'!$DS$23,2))</f>
        <v>-</v>
      </c>
      <c r="DT7" s="112">
        <f>IF(DL7="-","-",ROUND(DL7*'L Tab'!$DS$23,2))</f>
        <v>3963.8</v>
      </c>
      <c r="DU7" s="112">
        <f>IF(DM7="-","-",ROUND(DM7*'L Tab'!$DS$23,2))</f>
        <v>4093.78</v>
      </c>
      <c r="DV7" s="112">
        <f>IF(DN7="-","-",ROUND(DN7*'L Tab'!$DS$23,2))</f>
        <v>4418.67</v>
      </c>
      <c r="DW7" s="112">
        <f>IF(DO7="-","-",ROUND(DO7*'L Tab'!$DS$23,2))</f>
        <v>4618.26</v>
      </c>
      <c r="DX7" s="112">
        <f>IF(DP7="-","-",ROUND(DP7*'L Tab'!$DS$23,2))</f>
        <v>4711.08</v>
      </c>
    </row>
    <row r="8" spans="1:128">
      <c r="B8" s="101" t="s">
        <v>251</v>
      </c>
      <c r="C8" s="37" t="s">
        <v>15</v>
      </c>
      <c r="D8" s="37" t="s">
        <v>15</v>
      </c>
      <c r="E8" s="37">
        <v>2410</v>
      </c>
      <c r="F8" s="37">
        <v>2730</v>
      </c>
      <c r="G8" s="37">
        <v>2840</v>
      </c>
      <c r="H8" s="37" t="s">
        <v>15</v>
      </c>
      <c r="J8" s="74" t="str">
        <f t="shared" si="26"/>
        <v>9b</v>
      </c>
      <c r="K8" s="112" t="s">
        <v>15</v>
      </c>
      <c r="L8" s="112" t="s">
        <v>15</v>
      </c>
      <c r="M8" s="112">
        <v>2480</v>
      </c>
      <c r="N8" s="112">
        <v>2810</v>
      </c>
      <c r="O8" s="112">
        <v>2925</v>
      </c>
      <c r="P8" s="112" t="s">
        <v>15</v>
      </c>
      <c r="R8" s="74" t="str">
        <f t="shared" si="27"/>
        <v>9b</v>
      </c>
      <c r="S8" s="112" t="str">
        <f t="shared" si="15"/>
        <v>-</v>
      </c>
      <c r="T8" s="112" t="str">
        <f t="shared" si="16"/>
        <v>-</v>
      </c>
      <c r="U8" s="112">
        <f t="shared" si="16"/>
        <v>2595.6</v>
      </c>
      <c r="V8" s="112">
        <f t="shared" si="16"/>
        <v>2935.5</v>
      </c>
      <c r="W8" s="112">
        <f t="shared" si="16"/>
        <v>3053.95</v>
      </c>
      <c r="X8" s="112" t="str">
        <f t="shared" si="16"/>
        <v>-</v>
      </c>
      <c r="Z8" s="176" t="str">
        <f t="shared" si="28"/>
        <v>9b</v>
      </c>
      <c r="AA8" s="112" t="str">
        <f t="shared" si="17"/>
        <v>-</v>
      </c>
      <c r="AB8" s="112" t="str">
        <f t="shared" si="18"/>
        <v>-</v>
      </c>
      <c r="AC8" s="112">
        <f t="shared" si="18"/>
        <v>2626.75</v>
      </c>
      <c r="AD8" s="112">
        <f t="shared" si="18"/>
        <v>2970.73</v>
      </c>
      <c r="AE8" s="112">
        <f t="shared" si="18"/>
        <v>3090.6</v>
      </c>
      <c r="AF8" s="112" t="str">
        <f t="shared" si="18"/>
        <v>-</v>
      </c>
      <c r="AH8" s="176" t="str">
        <f t="shared" si="29"/>
        <v>9b</v>
      </c>
      <c r="AI8" s="112" t="str">
        <f t="shared" si="30"/>
        <v>-</v>
      </c>
      <c r="AJ8" s="112" t="str">
        <f t="shared" si="31"/>
        <v>-</v>
      </c>
      <c r="AK8" s="112">
        <f t="shared" si="32"/>
        <v>2666.15</v>
      </c>
      <c r="AL8" s="112">
        <f t="shared" si="33"/>
        <v>3015.29</v>
      </c>
      <c r="AM8" s="112">
        <f t="shared" si="34"/>
        <v>3136.96</v>
      </c>
      <c r="AN8" s="112" t="str">
        <f t="shared" si="76"/>
        <v>-</v>
      </c>
      <c r="AP8" s="176" t="str">
        <f t="shared" si="35"/>
        <v>9b</v>
      </c>
      <c r="AQ8" s="112" t="str">
        <f t="shared" si="36"/>
        <v>-</v>
      </c>
      <c r="AR8" s="112" t="str">
        <f t="shared" si="37"/>
        <v>-</v>
      </c>
      <c r="AS8" s="112">
        <f t="shared" si="38"/>
        <v>2733.81</v>
      </c>
      <c r="AT8" s="112">
        <f t="shared" si="39"/>
        <v>3089.58</v>
      </c>
      <c r="AU8" s="112">
        <f t="shared" si="40"/>
        <v>3213.56</v>
      </c>
      <c r="AV8" s="112" t="str">
        <f t="shared" si="77"/>
        <v>-</v>
      </c>
      <c r="AX8" s="176" t="str">
        <f t="shared" si="41"/>
        <v>9b</v>
      </c>
      <c r="AY8" s="112" t="str">
        <f t="shared" si="42"/>
        <v>-</v>
      </c>
      <c r="AZ8" s="112" t="str">
        <f t="shared" si="43"/>
        <v>-</v>
      </c>
      <c r="BA8" s="112">
        <f t="shared" si="44"/>
        <v>2806.26</v>
      </c>
      <c r="BB8" s="112">
        <f t="shared" si="45"/>
        <v>3171.45</v>
      </c>
      <c r="BC8" s="112">
        <f t="shared" si="46"/>
        <v>3298.72</v>
      </c>
      <c r="BD8" s="112" t="str">
        <f t="shared" si="78"/>
        <v>-</v>
      </c>
      <c r="BF8" s="176" t="str">
        <f t="shared" si="47"/>
        <v>9b</v>
      </c>
      <c r="BG8" s="112" t="str">
        <f t="shared" si="48"/>
        <v>-</v>
      </c>
      <c r="BH8" s="112" t="str">
        <f t="shared" si="49"/>
        <v>-</v>
      </c>
      <c r="BI8" s="112">
        <f t="shared" si="50"/>
        <v>2889.04</v>
      </c>
      <c r="BJ8" s="112">
        <f t="shared" si="51"/>
        <v>3265.01</v>
      </c>
      <c r="BK8" s="112">
        <f t="shared" si="52"/>
        <v>3396.03</v>
      </c>
      <c r="BL8" s="112" t="str">
        <f t="shared" si="79"/>
        <v>-</v>
      </c>
      <c r="BN8" s="176" t="str">
        <f t="shared" si="53"/>
        <v>9b</v>
      </c>
      <c r="BO8" s="112" t="str">
        <f t="shared" si="54"/>
        <v>-</v>
      </c>
      <c r="BP8" s="112" t="str">
        <f t="shared" si="55"/>
        <v>-</v>
      </c>
      <c r="BQ8" s="112">
        <f t="shared" si="56"/>
        <v>2949.71</v>
      </c>
      <c r="BR8" s="112">
        <f t="shared" si="57"/>
        <v>3333.58</v>
      </c>
      <c r="BS8" s="112">
        <f t="shared" si="58"/>
        <v>3467.35</v>
      </c>
      <c r="BT8" s="112" t="str">
        <f t="shared" si="80"/>
        <v>-</v>
      </c>
      <c r="BV8" s="176" t="str">
        <f t="shared" si="59"/>
        <v>9b</v>
      </c>
      <c r="BW8" s="112" t="str">
        <f t="shared" si="60"/>
        <v>-</v>
      </c>
      <c r="BX8" s="112" t="str">
        <f t="shared" si="61"/>
        <v>-</v>
      </c>
      <c r="BY8" s="112">
        <f t="shared" si="62"/>
        <v>3024.71</v>
      </c>
      <c r="BZ8" s="112">
        <f t="shared" si="63"/>
        <v>3410.25</v>
      </c>
      <c r="CA8" s="112">
        <f t="shared" si="64"/>
        <v>3547.1</v>
      </c>
      <c r="CB8" s="112" t="str">
        <f t="shared" si="81"/>
        <v>-</v>
      </c>
      <c r="CD8" s="176" t="str">
        <f t="shared" si="65"/>
        <v>9b</v>
      </c>
      <c r="CE8" s="112" t="str">
        <f>IF(BW8="-","-",IF(BW8&gt;3200,ROUND(BW8*'L Tab'!$CE$23,2),IF(ROUND(BW8*'L Tab'!$CE$23,2)-BW8&lt;'L Tab'!$CE$21,BW8+'L Tab'!$CE$21,ROUND(BW8*'L Tab'!$CE$23,2))))</f>
        <v>-</v>
      </c>
      <c r="CF8" s="112" t="str">
        <f>IF(BX8="-","-",IF(BX8&gt;3200,ROUND(BX8*'L Tab'!$CE$23,2),IF(ROUND(BX8*'L Tab'!$CE$23,2)-BX8&lt;'L Tab'!$CE$21,BX8+'L Tab'!$CE$21,ROUND(BX8*'L Tab'!$CE$23,2))))</f>
        <v>-</v>
      </c>
      <c r="CG8" s="112">
        <f>IF(BY8="-","-",IF(BY8&gt;3200,ROUND(BY8*'L Tab'!$CE$23,2),IF(ROUND(BY8*'L Tab'!$CE$23,2)-BY8&lt;'L Tab'!$CE$21,BY8+'L Tab'!$CE$21,ROUND(BY8*'L Tab'!$CE$23,2))))</f>
        <v>3099.71</v>
      </c>
      <c r="CH8" s="112">
        <f>IF(BZ8="-","-",IF(BZ8&gt;3200,ROUND(BZ8*'L Tab'!$CE$23,2),IF(ROUND(BZ8*'L Tab'!$CE$23,2)-BZ8&lt;'L Tab'!$CE$21,BZ8+'L Tab'!$CE$21,ROUND(BZ8*'L Tab'!$CE$23,2))))</f>
        <v>3478.46</v>
      </c>
      <c r="CI8" s="112">
        <f>IF(CA8="-","-",IF(CA8&gt;3200,ROUND(CA8*'L Tab'!$CE$23,2),IF(ROUND(CA8*'L Tab'!$CE$23,2)-CA8&lt;'L Tab'!$CE$21,CA8+'L Tab'!$CE$21,ROUND(CA8*'L Tab'!$CE$23,2))))</f>
        <v>3618.04</v>
      </c>
      <c r="CJ8" s="112" t="str">
        <f t="shared" si="82"/>
        <v>-</v>
      </c>
      <c r="CL8" s="176" t="str">
        <f t="shared" si="66"/>
        <v>9b</v>
      </c>
      <c r="CM8" s="112" t="str">
        <f>IF(CE8="-","-",ROUND(CE8*'L Tab'!$CM$23,2))</f>
        <v>-</v>
      </c>
      <c r="CN8" s="112" t="str">
        <f>IF(CF8="-","-",ROUND(CF8*'L Tab'!$CM$23,2))</f>
        <v>-</v>
      </c>
      <c r="CO8" s="112">
        <f>IF(CG8="-","-",ROUND(CG8*'L Tab'!$CM$23,2))</f>
        <v>3172.55</v>
      </c>
      <c r="CP8" s="112">
        <f>IF(CH8="-","-",ROUND(CH8*'L Tab'!$CM$23,2))</f>
        <v>3560.2</v>
      </c>
      <c r="CQ8" s="112">
        <f>IF(CI8="-","-",ROUND(CI8*'L Tab'!$CM$23,2))</f>
        <v>3703.06</v>
      </c>
      <c r="CR8" s="492">
        <v>3758.61</v>
      </c>
      <c r="CT8" s="176" t="str">
        <f t="shared" si="67"/>
        <v>9b</v>
      </c>
      <c r="CU8" s="112" t="str">
        <f t="shared" si="68"/>
        <v>-</v>
      </c>
      <c r="CV8" s="112" t="str">
        <f t="shared" si="69"/>
        <v>-</v>
      </c>
      <c r="CW8" s="112">
        <f t="shared" si="70"/>
        <v>3172.55</v>
      </c>
      <c r="CX8" s="112">
        <f t="shared" si="71"/>
        <v>3560.2</v>
      </c>
      <c r="CY8" s="112">
        <f t="shared" si="72"/>
        <v>3703.06</v>
      </c>
      <c r="CZ8" s="492">
        <v>3814.15</v>
      </c>
      <c r="DB8" s="74" t="s">
        <v>557</v>
      </c>
      <c r="DC8" s="112" t="str">
        <f>IF(CU41="-","-",ROUND(CU41*'L Tab'!$DC$23,2))</f>
        <v>-</v>
      </c>
      <c r="DD8" s="112">
        <f>IF(CV41="-","-",ROUND(CV41*'L Tab'!$DC$23,2))</f>
        <v>3591.63</v>
      </c>
      <c r="DE8" s="112">
        <f>IF(CW41="-","-",ROUND(CW41*'L Tab'!$DC$23,2))</f>
        <v>3709.39</v>
      </c>
      <c r="DF8" s="112">
        <f>IF(CX41="-","-",ROUND(CX41*'L Tab'!$DC$23,2))</f>
        <v>4003.79</v>
      </c>
      <c r="DG8" s="112">
        <f>IF(CY41="-","-",ROUND(CY41*'L Tab'!$DC$23,2))</f>
        <v>4199.3100000000004</v>
      </c>
      <c r="DH8" s="112">
        <f>IF(CZ41="-","-",ROUND(CZ41*'L Tab'!$DC$23,2))</f>
        <v>4288.18</v>
      </c>
      <c r="DJ8" s="74" t="str">
        <f t="shared" si="74"/>
        <v>KR 11</v>
      </c>
      <c r="DK8" s="112" t="str">
        <f>IF(DC8="-","-",ROUND(DC8*'L Tab'!$DK$23,2))</f>
        <v>-</v>
      </c>
      <c r="DL8" s="112">
        <f>IF(DD8="-","-",ROUND(DD8*'L Tab'!$DK$23,2))</f>
        <v>3703.69</v>
      </c>
      <c r="DM8" s="112">
        <f>IF(DE8="-","-",ROUND(DE8*'L Tab'!$DK$23,2))</f>
        <v>3825.12</v>
      </c>
      <c r="DN8" s="112">
        <f>IF(DF8="-","-",ROUND(DF8*'L Tab'!$DK$23,2))</f>
        <v>4128.71</v>
      </c>
      <c r="DO8" s="112">
        <f>IF(DG8="-","-",ROUND(DG8*'L Tab'!$DK$23,2))</f>
        <v>4330.33</v>
      </c>
      <c r="DP8" s="112">
        <f>IF(DH8="-","-",ROUND(DH8*'L Tab'!$DK$23,2))</f>
        <v>4421.97</v>
      </c>
      <c r="DR8" s="74" t="str">
        <f t="shared" si="75"/>
        <v>KR 11</v>
      </c>
      <c r="DS8" s="112" t="str">
        <f>IF(DK8="-","-",ROUND(DK8*'L Tab'!$DS$23,2))</f>
        <v>-</v>
      </c>
      <c r="DT8" s="112">
        <f>IF(DL8="-","-",ROUND(DL8*'L Tab'!$DS$23,2))</f>
        <v>3751.47</v>
      </c>
      <c r="DU8" s="112">
        <f>IF(DM8="-","-",ROUND(DM8*'L Tab'!$DS$23,2))</f>
        <v>3874.46</v>
      </c>
      <c r="DV8" s="112">
        <f>IF(DN8="-","-",ROUND(DN8*'L Tab'!$DS$23,2))</f>
        <v>4181.97</v>
      </c>
      <c r="DW8" s="112">
        <f>IF(DO8="-","-",ROUND(DO8*'L Tab'!$DS$23,2))</f>
        <v>4386.1899999999996</v>
      </c>
      <c r="DX8" s="112">
        <f>IF(DP8="-","-",ROUND(DP8*'L Tab'!$DS$23,2))</f>
        <v>4479.01</v>
      </c>
    </row>
    <row r="9" spans="1:128">
      <c r="B9" s="101" t="s">
        <v>252</v>
      </c>
      <c r="C9" s="37" t="s">
        <v>15</v>
      </c>
      <c r="D9" s="37" t="s">
        <v>15</v>
      </c>
      <c r="E9" s="37">
        <v>2410</v>
      </c>
      <c r="F9" s="37">
        <v>2495</v>
      </c>
      <c r="G9" s="37">
        <v>2650</v>
      </c>
      <c r="H9" s="37" t="s">
        <v>15</v>
      </c>
      <c r="J9" s="74" t="str">
        <f t="shared" si="26"/>
        <v>9a</v>
      </c>
      <c r="K9" s="112" t="s">
        <v>15</v>
      </c>
      <c r="L9" s="112" t="s">
        <v>15</v>
      </c>
      <c r="M9" s="112">
        <v>2480</v>
      </c>
      <c r="N9" s="112">
        <v>2570</v>
      </c>
      <c r="O9" s="112">
        <v>2730</v>
      </c>
      <c r="P9" s="112" t="s">
        <v>15</v>
      </c>
      <c r="R9" s="74" t="str">
        <f t="shared" si="27"/>
        <v>9a</v>
      </c>
      <c r="S9" s="112" t="str">
        <f t="shared" si="15"/>
        <v>-</v>
      </c>
      <c r="T9" s="112" t="str">
        <f t="shared" si="16"/>
        <v>-</v>
      </c>
      <c r="U9" s="112">
        <f t="shared" si="16"/>
        <v>2595.6</v>
      </c>
      <c r="V9" s="112">
        <f t="shared" si="16"/>
        <v>2688.3</v>
      </c>
      <c r="W9" s="112">
        <f t="shared" si="16"/>
        <v>2853.1</v>
      </c>
      <c r="X9" s="112" t="str">
        <f t="shared" si="16"/>
        <v>-</v>
      </c>
      <c r="Z9" s="176" t="str">
        <f t="shared" si="28"/>
        <v>9a</v>
      </c>
      <c r="AA9" s="112" t="str">
        <f t="shared" si="17"/>
        <v>-</v>
      </c>
      <c r="AB9" s="112" t="str">
        <f t="shared" si="18"/>
        <v>-</v>
      </c>
      <c r="AC9" s="112">
        <f t="shared" si="18"/>
        <v>2626.75</v>
      </c>
      <c r="AD9" s="112">
        <f t="shared" si="18"/>
        <v>2720.56</v>
      </c>
      <c r="AE9" s="112">
        <f t="shared" si="18"/>
        <v>2887.34</v>
      </c>
      <c r="AF9" s="112" t="str">
        <f t="shared" si="18"/>
        <v>-</v>
      </c>
      <c r="AH9" s="176" t="str">
        <f t="shared" si="29"/>
        <v>9a</v>
      </c>
      <c r="AI9" s="112" t="str">
        <f t="shared" si="30"/>
        <v>-</v>
      </c>
      <c r="AJ9" s="112" t="str">
        <f t="shared" si="31"/>
        <v>-</v>
      </c>
      <c r="AK9" s="112">
        <f t="shared" si="32"/>
        <v>2666.15</v>
      </c>
      <c r="AL9" s="112">
        <f t="shared" si="33"/>
        <v>2761.37</v>
      </c>
      <c r="AM9" s="112">
        <f t="shared" si="34"/>
        <v>2930.65</v>
      </c>
      <c r="AN9" s="112" t="str">
        <f t="shared" si="76"/>
        <v>-</v>
      </c>
      <c r="AP9" s="176" t="str">
        <f t="shared" si="35"/>
        <v>9a</v>
      </c>
      <c r="AQ9" s="112" t="str">
        <f t="shared" si="36"/>
        <v>-</v>
      </c>
      <c r="AR9" s="112" t="str">
        <f t="shared" si="37"/>
        <v>-</v>
      </c>
      <c r="AS9" s="112">
        <f t="shared" si="38"/>
        <v>2733.81</v>
      </c>
      <c r="AT9" s="112">
        <f t="shared" si="39"/>
        <v>2830.84</v>
      </c>
      <c r="AU9" s="112">
        <f t="shared" si="40"/>
        <v>3003.33</v>
      </c>
      <c r="AV9" s="112" t="str">
        <f t="shared" si="77"/>
        <v>-</v>
      </c>
      <c r="AX9" s="176" t="str">
        <f t="shared" si="41"/>
        <v>9a</v>
      </c>
      <c r="AY9" s="112" t="str">
        <f t="shared" si="42"/>
        <v>-</v>
      </c>
      <c r="AZ9" s="112" t="str">
        <f t="shared" si="43"/>
        <v>-</v>
      </c>
      <c r="BA9" s="112">
        <f t="shared" si="44"/>
        <v>2806.26</v>
      </c>
      <c r="BB9" s="112">
        <f t="shared" si="45"/>
        <v>2905.86</v>
      </c>
      <c r="BC9" s="112">
        <f t="shared" si="46"/>
        <v>3082.92</v>
      </c>
      <c r="BD9" s="112" t="str">
        <f t="shared" si="78"/>
        <v>-</v>
      </c>
      <c r="BF9" s="176" t="str">
        <f t="shared" si="47"/>
        <v>9a</v>
      </c>
      <c r="BG9" s="112" t="str">
        <f t="shared" si="48"/>
        <v>-</v>
      </c>
      <c r="BH9" s="112" t="str">
        <f t="shared" si="49"/>
        <v>-</v>
      </c>
      <c r="BI9" s="112">
        <f t="shared" si="50"/>
        <v>2889.04</v>
      </c>
      <c r="BJ9" s="112">
        <f t="shared" si="51"/>
        <v>2991.58</v>
      </c>
      <c r="BK9" s="112">
        <f t="shared" si="52"/>
        <v>3173.87</v>
      </c>
      <c r="BL9" s="112" t="str">
        <f t="shared" si="79"/>
        <v>-</v>
      </c>
      <c r="BN9" s="176" t="str">
        <f t="shared" si="53"/>
        <v>9a</v>
      </c>
      <c r="BO9" s="112" t="str">
        <f t="shared" si="54"/>
        <v>-</v>
      </c>
      <c r="BP9" s="112" t="str">
        <f t="shared" si="55"/>
        <v>-</v>
      </c>
      <c r="BQ9" s="112">
        <f t="shared" si="56"/>
        <v>2949.71</v>
      </c>
      <c r="BR9" s="112">
        <f t="shared" si="57"/>
        <v>3054.4</v>
      </c>
      <c r="BS9" s="112">
        <f t="shared" si="58"/>
        <v>3240.52</v>
      </c>
      <c r="BT9" s="112" t="str">
        <f t="shared" si="80"/>
        <v>-</v>
      </c>
      <c r="BV9" s="176" t="str">
        <f t="shared" si="59"/>
        <v>9a</v>
      </c>
      <c r="BW9" s="112" t="str">
        <f t="shared" si="60"/>
        <v>-</v>
      </c>
      <c r="BX9" s="112" t="str">
        <f t="shared" si="61"/>
        <v>-</v>
      </c>
      <c r="BY9" s="112">
        <f t="shared" si="62"/>
        <v>3024.71</v>
      </c>
      <c r="BZ9" s="112">
        <f t="shared" si="63"/>
        <v>3129.4</v>
      </c>
      <c r="CA9" s="112">
        <f t="shared" si="64"/>
        <v>3315.52</v>
      </c>
      <c r="CB9" s="112" t="str">
        <f t="shared" si="81"/>
        <v>-</v>
      </c>
      <c r="CD9" s="176" t="str">
        <f t="shared" si="65"/>
        <v>9a</v>
      </c>
      <c r="CE9" s="112" t="str">
        <f>IF(BW9="-","-",IF(BW9&gt;3200,ROUND(BW9*'L Tab'!$CE$23,2),IF(ROUND(BW9*'L Tab'!$CE$23,2)-BW9&lt;'L Tab'!$CE$21,BW9+'L Tab'!$CE$21,ROUND(BW9*'L Tab'!$CE$23,2))))</f>
        <v>-</v>
      </c>
      <c r="CF9" s="112" t="str">
        <f>IF(BX9="-","-",IF(BX9&gt;3200,ROUND(BX9*'L Tab'!$CE$23,2),IF(ROUND(BX9*'L Tab'!$CE$23,2)-BX9&lt;'L Tab'!$CE$21,BX9+'L Tab'!$CE$21,ROUND(BX9*'L Tab'!$CE$23,2))))</f>
        <v>-</v>
      </c>
      <c r="CG9" s="112">
        <f>IF(BY9="-","-",IF(BY9&gt;3200,ROUND(BY9*'L Tab'!$CE$23,2),IF(ROUND(BY9*'L Tab'!$CE$23,2)-BY9&lt;'L Tab'!$CE$21,BY9+'L Tab'!$CE$21,ROUND(BY9*'L Tab'!$CE$23,2))))</f>
        <v>3099.71</v>
      </c>
      <c r="CH9" s="112">
        <f>IF(BZ9="-","-",IF(BZ9&gt;3200,ROUND(BZ9*'L Tab'!$CE$23,2),IF(ROUND(BZ9*'L Tab'!$CE$23,2)-BZ9&lt;'L Tab'!$CE$21,BZ9+'L Tab'!$CE$21,ROUND(BZ9*'L Tab'!$CE$23,2))))</f>
        <v>3204.4</v>
      </c>
      <c r="CI9" s="112">
        <f>IF(CA9="-","-",IF(CA9&gt;3200,ROUND(CA9*'L Tab'!$CE$23,2),IF(ROUND(CA9*'L Tab'!$CE$23,2)-CA9&lt;'L Tab'!$CE$21,CA9+'L Tab'!$CE$21,ROUND(CA9*'L Tab'!$CE$23,2))))</f>
        <v>3381.83</v>
      </c>
      <c r="CJ9" s="112" t="str">
        <f t="shared" si="82"/>
        <v>-</v>
      </c>
      <c r="CL9" s="176" t="str">
        <f t="shared" si="66"/>
        <v>9a</v>
      </c>
      <c r="CM9" s="112" t="str">
        <f>IF(CE9="-","-",ROUND(CE9*'L Tab'!$CM$23,2))</f>
        <v>-</v>
      </c>
      <c r="CN9" s="112" t="str">
        <f>IF(CF9="-","-",ROUND(CF9*'L Tab'!$CM$23,2))</f>
        <v>-</v>
      </c>
      <c r="CO9" s="112">
        <f>IF(CG9="-","-",ROUND(CG9*'L Tab'!$CM$23,2))</f>
        <v>3172.55</v>
      </c>
      <c r="CP9" s="112">
        <f>IF(CH9="-","-",ROUND(CH9*'L Tab'!$CM$23,2))</f>
        <v>3279.7</v>
      </c>
      <c r="CQ9" s="112">
        <f>IF(CI9="-","-",ROUND(CI9*'L Tab'!$CM$23,2))</f>
        <v>3461.3</v>
      </c>
      <c r="CR9" s="492">
        <v>3513.22</v>
      </c>
      <c r="CT9" s="176" t="str">
        <f t="shared" si="67"/>
        <v>9a</v>
      </c>
      <c r="CU9" s="112" t="str">
        <f t="shared" si="68"/>
        <v>-</v>
      </c>
      <c r="CV9" s="112" t="str">
        <f t="shared" si="69"/>
        <v>-</v>
      </c>
      <c r="CW9" s="112">
        <f t="shared" si="70"/>
        <v>3172.55</v>
      </c>
      <c r="CX9" s="112">
        <f t="shared" si="71"/>
        <v>3279.7</v>
      </c>
      <c r="CY9" s="112">
        <f t="shared" si="72"/>
        <v>3461.3</v>
      </c>
      <c r="CZ9" s="492">
        <v>3565.14</v>
      </c>
      <c r="DB9" s="74" t="s">
        <v>558</v>
      </c>
      <c r="DC9" s="112" t="str">
        <f>IF(CU42="-","-",ROUND(CU42*'L Tab'!$DC$23,2))</f>
        <v>-</v>
      </c>
      <c r="DD9" s="112">
        <f>IF(CV42="-","-",ROUND(CV42*'L Tab'!$DC$23,2))</f>
        <v>3388.34</v>
      </c>
      <c r="DE9" s="112">
        <f>IF(CW42="-","-",ROUND(CW42*'L Tab'!$DC$23,2))</f>
        <v>3499.42</v>
      </c>
      <c r="DF9" s="112">
        <f>IF(CX42="-","-",ROUND(CX42*'L Tab'!$DC$23,2))</f>
        <v>3810.48</v>
      </c>
      <c r="DG9" s="112">
        <f>IF(CY42="-","-",ROUND(CY42*'L Tab'!$DC$23,2))</f>
        <v>3960.46</v>
      </c>
      <c r="DH9" s="112">
        <f>IF(CZ42="-","-",ROUND(CZ42*'L Tab'!$DC$23,2))</f>
        <v>4054.89</v>
      </c>
      <c r="DI9" s="81"/>
      <c r="DJ9" s="74" t="str">
        <f t="shared" si="74"/>
        <v>KR 10</v>
      </c>
      <c r="DK9" s="112" t="str">
        <f>IF(DC9="-","-",ROUND(DC9*'L Tab'!$DK$23,2))</f>
        <v>-</v>
      </c>
      <c r="DL9" s="112">
        <f>IF(DD9="-","-",ROUND(DD9*'L Tab'!$DK$23,2))</f>
        <v>3494.06</v>
      </c>
      <c r="DM9" s="112">
        <f>IF(DE9="-","-",ROUND(DE9*'L Tab'!$DK$23,2))</f>
        <v>3608.6</v>
      </c>
      <c r="DN9" s="112">
        <f>IF(DF9="-","-",ROUND(DF9*'L Tab'!$DK$23,2))</f>
        <v>3929.37</v>
      </c>
      <c r="DO9" s="112">
        <f>IF(DG9="-","-",ROUND(DG9*'L Tab'!$DK$23,2))</f>
        <v>4084.03</v>
      </c>
      <c r="DP9" s="112">
        <f>IF(DH9="-","-",ROUND(DH9*'L Tab'!$DK$23,2))</f>
        <v>4181.3999999999996</v>
      </c>
      <c r="DQ9" s="81"/>
      <c r="DR9" s="74" t="str">
        <f t="shared" si="75"/>
        <v>KR 10</v>
      </c>
      <c r="DS9" s="112" t="str">
        <f>IF(DK9="-","-",ROUND(DK9*'L Tab'!$DS$23,2))</f>
        <v>-</v>
      </c>
      <c r="DT9" s="112">
        <f>IF(DL9="-","-",ROUND(DL9*'L Tab'!$DS$23,2))</f>
        <v>3539.13</v>
      </c>
      <c r="DU9" s="112">
        <f>IF(DM9="-","-",ROUND(DM9*'L Tab'!$DS$23,2))</f>
        <v>3655.15</v>
      </c>
      <c r="DV9" s="112">
        <f>IF(DN9="-","-",ROUND(DN9*'L Tab'!$DS$23,2))</f>
        <v>3980.06</v>
      </c>
      <c r="DW9" s="112">
        <f>IF(DO9="-","-",ROUND(DO9*'L Tab'!$DS$23,2))</f>
        <v>4136.71</v>
      </c>
      <c r="DX9" s="112">
        <f>IF(DP9="-","-",ROUND(DP9*'L Tab'!$DS$23,2))</f>
        <v>4235.34</v>
      </c>
    </row>
    <row r="10" spans="1:128">
      <c r="B10" s="101" t="s">
        <v>285</v>
      </c>
      <c r="C10" s="37">
        <v>2000</v>
      </c>
      <c r="D10" s="37">
        <v>2130</v>
      </c>
      <c r="E10" s="37">
        <v>2240</v>
      </c>
      <c r="F10" s="37">
        <v>2330</v>
      </c>
      <c r="G10" s="37">
        <v>2495</v>
      </c>
      <c r="H10" s="37">
        <v>2650</v>
      </c>
      <c r="J10" s="74" t="str">
        <f t="shared" si="26"/>
        <v>8a</v>
      </c>
      <c r="K10" s="112">
        <v>2060</v>
      </c>
      <c r="L10" s="112">
        <v>2195</v>
      </c>
      <c r="M10" s="112">
        <v>2305</v>
      </c>
      <c r="N10" s="112">
        <v>2400</v>
      </c>
      <c r="O10" s="112">
        <v>2570</v>
      </c>
      <c r="P10" s="112">
        <v>2730</v>
      </c>
      <c r="R10" s="74" t="str">
        <f t="shared" si="27"/>
        <v>8a</v>
      </c>
      <c r="S10" s="112">
        <f t="shared" si="15"/>
        <v>2163</v>
      </c>
      <c r="T10" s="112">
        <f t="shared" si="16"/>
        <v>2302.0500000000002</v>
      </c>
      <c r="U10" s="112">
        <f t="shared" si="16"/>
        <v>2415.35</v>
      </c>
      <c r="V10" s="112">
        <f t="shared" si="16"/>
        <v>2513.1999999999998</v>
      </c>
      <c r="W10" s="112">
        <f t="shared" si="16"/>
        <v>2688.3</v>
      </c>
      <c r="X10" s="112">
        <f t="shared" si="16"/>
        <v>2853.1</v>
      </c>
      <c r="Z10" s="176" t="str">
        <f t="shared" si="28"/>
        <v>8a</v>
      </c>
      <c r="AA10" s="112">
        <f t="shared" si="17"/>
        <v>2188.96</v>
      </c>
      <c r="AB10" s="112">
        <f t="shared" si="18"/>
        <v>2329.67</v>
      </c>
      <c r="AC10" s="112">
        <f t="shared" si="18"/>
        <v>2444.33</v>
      </c>
      <c r="AD10" s="112">
        <f t="shared" si="18"/>
        <v>2543.36</v>
      </c>
      <c r="AE10" s="112">
        <f t="shared" si="18"/>
        <v>2720.56</v>
      </c>
      <c r="AF10" s="112">
        <f t="shared" si="18"/>
        <v>2887.34</v>
      </c>
      <c r="AH10" s="176" t="str">
        <f t="shared" si="29"/>
        <v>8a</v>
      </c>
      <c r="AI10" s="112">
        <f t="shared" si="30"/>
        <v>2221.79</v>
      </c>
      <c r="AJ10" s="112">
        <f t="shared" si="31"/>
        <v>2364.62</v>
      </c>
      <c r="AK10" s="112">
        <f t="shared" si="32"/>
        <v>2480.9899999999998</v>
      </c>
      <c r="AL10" s="112">
        <f t="shared" si="33"/>
        <v>2581.5100000000002</v>
      </c>
      <c r="AM10" s="112">
        <f t="shared" si="34"/>
        <v>2761.37</v>
      </c>
      <c r="AN10" s="112">
        <f t="shared" si="76"/>
        <v>2930.65</v>
      </c>
      <c r="AP10" s="176" t="str">
        <f t="shared" si="35"/>
        <v>8a</v>
      </c>
      <c r="AQ10" s="112">
        <f t="shared" si="36"/>
        <v>2281</v>
      </c>
      <c r="AR10" s="112">
        <f t="shared" si="37"/>
        <v>2426.5500000000002</v>
      </c>
      <c r="AS10" s="112">
        <f t="shared" si="38"/>
        <v>2545.13</v>
      </c>
      <c r="AT10" s="112">
        <f t="shared" si="39"/>
        <v>2647.56</v>
      </c>
      <c r="AU10" s="112">
        <f t="shared" si="40"/>
        <v>2830.84</v>
      </c>
      <c r="AV10" s="112">
        <f t="shared" si="77"/>
        <v>3003.33</v>
      </c>
      <c r="AX10" s="176" t="str">
        <f t="shared" si="41"/>
        <v>8a</v>
      </c>
      <c r="AY10" s="112">
        <f t="shared" si="42"/>
        <v>2341.4499999999998</v>
      </c>
      <c r="AZ10" s="112">
        <f t="shared" si="43"/>
        <v>2490.85</v>
      </c>
      <c r="BA10" s="112">
        <f t="shared" si="44"/>
        <v>2612.58</v>
      </c>
      <c r="BB10" s="112">
        <f t="shared" si="45"/>
        <v>2717.72</v>
      </c>
      <c r="BC10" s="112">
        <f t="shared" si="46"/>
        <v>2905.86</v>
      </c>
      <c r="BD10" s="112">
        <f t="shared" si="78"/>
        <v>3082.92</v>
      </c>
      <c r="BF10" s="176" t="str">
        <f t="shared" si="47"/>
        <v>8a</v>
      </c>
      <c r="BG10" s="112">
        <f t="shared" si="48"/>
        <v>2410.52</v>
      </c>
      <c r="BH10" s="112">
        <f t="shared" si="49"/>
        <v>2564.33</v>
      </c>
      <c r="BI10" s="112">
        <f t="shared" si="50"/>
        <v>2689.65</v>
      </c>
      <c r="BJ10" s="112">
        <f t="shared" si="51"/>
        <v>2797.89</v>
      </c>
      <c r="BK10" s="112">
        <f t="shared" si="52"/>
        <v>2991.58</v>
      </c>
      <c r="BL10" s="112">
        <f t="shared" si="79"/>
        <v>3173.87</v>
      </c>
      <c r="BN10" s="176" t="str">
        <f t="shared" si="53"/>
        <v>8a</v>
      </c>
      <c r="BO10" s="112">
        <f t="shared" si="54"/>
        <v>2461.14</v>
      </c>
      <c r="BP10" s="112">
        <f t="shared" si="55"/>
        <v>2618.1799999999998</v>
      </c>
      <c r="BQ10" s="112">
        <f t="shared" si="56"/>
        <v>2746.13</v>
      </c>
      <c r="BR10" s="112">
        <f t="shared" si="57"/>
        <v>2856.65</v>
      </c>
      <c r="BS10" s="112">
        <f t="shared" si="58"/>
        <v>3054.4</v>
      </c>
      <c r="BT10" s="112">
        <f t="shared" si="80"/>
        <v>3240.52</v>
      </c>
      <c r="BV10" s="176" t="str">
        <f t="shared" si="59"/>
        <v>8a</v>
      </c>
      <c r="BW10" s="112">
        <f t="shared" si="60"/>
        <v>2536.14</v>
      </c>
      <c r="BX10" s="112">
        <f t="shared" si="61"/>
        <v>2693.18</v>
      </c>
      <c r="BY10" s="112">
        <f t="shared" si="62"/>
        <v>2821.13</v>
      </c>
      <c r="BZ10" s="112">
        <f t="shared" si="63"/>
        <v>2931.65</v>
      </c>
      <c r="CA10" s="112">
        <f t="shared" si="64"/>
        <v>3129.4</v>
      </c>
      <c r="CB10" s="112">
        <f t="shared" si="81"/>
        <v>3315.52</v>
      </c>
      <c r="CD10" s="176" t="str">
        <f t="shared" si="65"/>
        <v>8a</v>
      </c>
      <c r="CE10" s="112" t="s">
        <v>15</v>
      </c>
      <c r="CF10" s="112">
        <f>IF(BX10="-","-",IF(BX10&gt;3200,ROUND(BX10*'L Tab'!$CE$23,2),IF(ROUND(BX10*'L Tab'!$CE$23,2)-BX10&lt;'L Tab'!$CE$21,BX10+'L Tab'!$CE$21,ROUND(BX10*'L Tab'!$CE$23,2))))</f>
        <v>2768.18</v>
      </c>
      <c r="CG10" s="112">
        <f>IF(BY10="-","-",IF(BY10&gt;3200,ROUND(BY10*'L Tab'!$CE$23,2),IF(ROUND(BY10*'L Tab'!$CE$23,2)-BY10&lt;'L Tab'!$CE$21,BY10+'L Tab'!$CE$21,ROUND(BY10*'L Tab'!$CE$23,2))))</f>
        <v>2896.13</v>
      </c>
      <c r="CH10" s="112">
        <f>IF(BZ10="-","-",IF(BZ10&gt;3200,ROUND(BZ10*'L Tab'!$CE$23,2),IF(ROUND(BZ10*'L Tab'!$CE$23,2)-BZ10&lt;'L Tab'!$CE$21,BZ10+'L Tab'!$CE$21,ROUND(BZ10*'L Tab'!$CE$23,2))))</f>
        <v>3006.65</v>
      </c>
      <c r="CI10" s="112">
        <f>IF(CA10="-","-",IF(CA10&gt;3200,ROUND(CA10*'L Tab'!$CE$23,2),IF(ROUND(CA10*'L Tab'!$CE$23,2)-CA10&lt;'L Tab'!$CE$21,CA10+'L Tab'!$CE$21,ROUND(CA10*'L Tab'!$CE$23,2))))</f>
        <v>3204.4</v>
      </c>
      <c r="CJ10" s="112">
        <f>IF(CB10="-","-",IF(CB10&gt;3200,ROUND(CB10*'L Tab'!$CE$23,2),IF(ROUND(CB10*'L Tab'!$CE$23,2)-CB10&lt;'L Tab'!$CE$21,CB10+'L Tab'!$CE$21,ROUND(CB10*'L Tab'!$CE$23,2))))</f>
        <v>3381.83</v>
      </c>
      <c r="CL10" s="176" t="str">
        <f t="shared" si="66"/>
        <v>8a</v>
      </c>
      <c r="CM10" s="112" t="str">
        <f>IF(CE10="-","-",ROUND(CE10*'L Tab'!$CM$23,2))</f>
        <v>-</v>
      </c>
      <c r="CN10" s="112">
        <f>IF(CF10="-","-",ROUND(CF10*'L Tab'!$CM$23,2))</f>
        <v>2833.23</v>
      </c>
      <c r="CO10" s="112">
        <f>IF(CG10="-","-",ROUND(CG10*'L Tab'!$CM$23,2))</f>
        <v>2964.19</v>
      </c>
      <c r="CP10" s="112">
        <f>IF(CH10="-","-",ROUND(CH10*'L Tab'!$CM$23,2))</f>
        <v>3077.31</v>
      </c>
      <c r="CQ10" s="112">
        <f>IF(CI10="-","-",ROUND(CI10*'L Tab'!$CM$23,2))</f>
        <v>3279.7</v>
      </c>
      <c r="CR10" s="112">
        <f>IF(CJ10="-","-",ROUND(CJ10*'L Tab'!$CM$23,2))</f>
        <v>3461.3</v>
      </c>
      <c r="CT10" s="176" t="str">
        <f t="shared" si="67"/>
        <v>8a</v>
      </c>
      <c r="CU10" s="112" t="str">
        <f t="shared" si="68"/>
        <v>-</v>
      </c>
      <c r="CV10" s="112">
        <f t="shared" si="69"/>
        <v>2833.23</v>
      </c>
      <c r="CW10" s="112">
        <f t="shared" si="70"/>
        <v>2964.19</v>
      </c>
      <c r="CX10" s="112">
        <f t="shared" si="71"/>
        <v>3077.31</v>
      </c>
      <c r="CY10" s="112">
        <f t="shared" si="72"/>
        <v>3279.7</v>
      </c>
      <c r="CZ10" s="112">
        <f t="shared" si="73"/>
        <v>3461.3</v>
      </c>
      <c r="DB10" s="74" t="s">
        <v>559</v>
      </c>
      <c r="DC10" s="112" t="str">
        <f>IF(CU43="-","-",ROUND(CU43*'L Tab'!$DC$23,2))</f>
        <v>-</v>
      </c>
      <c r="DD10" s="112">
        <f>IF(CV43="-","-",ROUND(CV43*'L Tab'!$DC$23,2))</f>
        <v>3221.69</v>
      </c>
      <c r="DE10" s="112">
        <f>IF(CW43="-","-",ROUND(CW43*'L Tab'!$DC$23,2))</f>
        <v>3388.34</v>
      </c>
      <c r="DF10" s="112">
        <f>IF(CX43="-","-",ROUND(CX43*'L Tab'!$DC$23,2))</f>
        <v>3499.42</v>
      </c>
      <c r="DG10" s="112">
        <f>IF(CY43="-","-",ROUND(CY43*'L Tab'!$DC$23,2))</f>
        <v>3710.49</v>
      </c>
      <c r="DH10" s="112">
        <f>IF(CZ43="-","-",ROUND(CZ43*'L Tab'!$DC$23,2))</f>
        <v>3799.37</v>
      </c>
      <c r="DJ10" s="74" t="str">
        <f t="shared" si="74"/>
        <v>KR 9</v>
      </c>
      <c r="DK10" s="112" t="str">
        <f>IF(DC10="-","-",ROUND(DC10*'L Tab'!$DK$23,2))</f>
        <v>-</v>
      </c>
      <c r="DL10" s="112">
        <f>IF(DD10="-","-",ROUND(DD10*'L Tab'!$DK$23,2))</f>
        <v>3322.21</v>
      </c>
      <c r="DM10" s="112">
        <f>IF(DE10="-","-",ROUND(DE10*'L Tab'!$DK$23,2))</f>
        <v>3494.06</v>
      </c>
      <c r="DN10" s="112">
        <f>IF(DF10="-","-",ROUND(DF10*'L Tab'!$DK$23,2))</f>
        <v>3608.6</v>
      </c>
      <c r="DO10" s="112">
        <f>IF(DG10="-","-",ROUND(DG10*'L Tab'!$DK$23,2))</f>
        <v>3826.26</v>
      </c>
      <c r="DP10" s="112">
        <f>IF(DH10="-","-",ROUND(DH10*'L Tab'!$DK$23,2))</f>
        <v>3917.91</v>
      </c>
      <c r="DR10" s="74" t="str">
        <f t="shared" si="75"/>
        <v>KR 9</v>
      </c>
      <c r="DS10" s="112" t="str">
        <f>IF(DK10="-","-",ROUND(DK10*'L Tab'!$DS$23,2))</f>
        <v>-</v>
      </c>
      <c r="DT10" s="112">
        <f>IF(DL10="-","-",ROUND(DL10*'L Tab'!$DS$23,2))</f>
        <v>3365.07</v>
      </c>
      <c r="DU10" s="112">
        <f>IF(DM10="-","-",ROUND(DM10*'L Tab'!$DS$23,2))</f>
        <v>3539.13</v>
      </c>
      <c r="DV10" s="112">
        <f>IF(DN10="-","-",ROUND(DN10*'L Tab'!$DS$23,2))</f>
        <v>3655.15</v>
      </c>
      <c r="DW10" s="112">
        <f>IF(DO10="-","-",ROUND(DO10*'L Tab'!$DS$23,2))</f>
        <v>3875.62</v>
      </c>
      <c r="DX10" s="112">
        <f>IF(DP10="-","-",ROUND(DP10*'L Tab'!$DS$23,2))</f>
        <v>3968.45</v>
      </c>
    </row>
    <row r="11" spans="1:128">
      <c r="B11" s="101" t="s">
        <v>286</v>
      </c>
      <c r="C11" s="37">
        <v>1850</v>
      </c>
      <c r="D11" s="37">
        <v>2000</v>
      </c>
      <c r="E11" s="37">
        <v>2130</v>
      </c>
      <c r="F11" s="37">
        <v>2330</v>
      </c>
      <c r="G11" s="37">
        <v>2430</v>
      </c>
      <c r="H11" s="37">
        <v>2533</v>
      </c>
      <c r="J11" s="74" t="str">
        <f t="shared" si="26"/>
        <v>7a</v>
      </c>
      <c r="K11" s="112">
        <v>1905</v>
      </c>
      <c r="L11" s="112">
        <v>2060</v>
      </c>
      <c r="M11" s="112">
        <v>2195</v>
      </c>
      <c r="N11" s="112">
        <v>2400</v>
      </c>
      <c r="O11" s="112">
        <v>2505</v>
      </c>
      <c r="P11" s="112">
        <v>2610</v>
      </c>
      <c r="R11" s="74" t="str">
        <f t="shared" si="27"/>
        <v>7a</v>
      </c>
      <c r="S11" s="112">
        <f t="shared" si="15"/>
        <v>2003.35</v>
      </c>
      <c r="T11" s="112">
        <f t="shared" si="16"/>
        <v>2163</v>
      </c>
      <c r="U11" s="112">
        <f t="shared" si="16"/>
        <v>2302.0500000000002</v>
      </c>
      <c r="V11" s="112">
        <f t="shared" si="16"/>
        <v>2513.1999999999998</v>
      </c>
      <c r="W11" s="112">
        <f t="shared" si="16"/>
        <v>2621.35</v>
      </c>
      <c r="X11" s="112">
        <f t="shared" si="16"/>
        <v>2729.5</v>
      </c>
      <c r="Z11" s="176" t="str">
        <f t="shared" si="28"/>
        <v>7a</v>
      </c>
      <c r="AA11" s="112">
        <f t="shared" si="17"/>
        <v>2027.39</v>
      </c>
      <c r="AB11" s="112">
        <f t="shared" si="18"/>
        <v>2188.96</v>
      </c>
      <c r="AC11" s="112">
        <f t="shared" si="18"/>
        <v>2329.67</v>
      </c>
      <c r="AD11" s="112">
        <f t="shared" si="18"/>
        <v>2543.36</v>
      </c>
      <c r="AE11" s="112">
        <f t="shared" si="18"/>
        <v>2652.81</v>
      </c>
      <c r="AF11" s="112">
        <f t="shared" si="18"/>
        <v>2762.25</v>
      </c>
      <c r="AH11" s="176" t="str">
        <f t="shared" si="29"/>
        <v>7a</v>
      </c>
      <c r="AI11" s="112">
        <f t="shared" si="30"/>
        <v>2057.8000000000002</v>
      </c>
      <c r="AJ11" s="112">
        <f t="shared" si="31"/>
        <v>2221.79</v>
      </c>
      <c r="AK11" s="112">
        <f t="shared" si="32"/>
        <v>2364.62</v>
      </c>
      <c r="AL11" s="112">
        <f t="shared" si="33"/>
        <v>2581.5100000000002</v>
      </c>
      <c r="AM11" s="112">
        <f t="shared" si="34"/>
        <v>2692.6</v>
      </c>
      <c r="AN11" s="112">
        <f t="shared" si="76"/>
        <v>2803.68</v>
      </c>
      <c r="AP11" s="176" t="str">
        <f t="shared" si="35"/>
        <v>7a</v>
      </c>
      <c r="AQ11" s="112">
        <f t="shared" si="36"/>
        <v>2113.9</v>
      </c>
      <c r="AR11" s="112">
        <f t="shared" si="37"/>
        <v>2281</v>
      </c>
      <c r="AS11" s="112">
        <f t="shared" si="38"/>
        <v>2426.5500000000002</v>
      </c>
      <c r="AT11" s="112">
        <f t="shared" si="39"/>
        <v>2647.56</v>
      </c>
      <c r="AU11" s="112">
        <f t="shared" si="40"/>
        <v>2760.76</v>
      </c>
      <c r="AV11" s="112">
        <f t="shared" si="77"/>
        <v>2873.95</v>
      </c>
      <c r="AX11" s="176" t="str">
        <f t="shared" si="41"/>
        <v>7a</v>
      </c>
      <c r="AY11" s="112">
        <f t="shared" si="42"/>
        <v>2169.92</v>
      </c>
      <c r="AZ11" s="112">
        <f t="shared" si="43"/>
        <v>2341.4499999999998</v>
      </c>
      <c r="BA11" s="112">
        <f t="shared" si="44"/>
        <v>2490.85</v>
      </c>
      <c r="BB11" s="112">
        <f t="shared" si="45"/>
        <v>2717.72</v>
      </c>
      <c r="BC11" s="112">
        <f t="shared" si="46"/>
        <v>2833.92</v>
      </c>
      <c r="BD11" s="112">
        <f t="shared" si="78"/>
        <v>2950.11</v>
      </c>
      <c r="BF11" s="176" t="str">
        <f t="shared" si="47"/>
        <v>7a</v>
      </c>
      <c r="BG11" s="112">
        <f t="shared" si="48"/>
        <v>2233.9299999999998</v>
      </c>
      <c r="BH11" s="112">
        <f t="shared" si="49"/>
        <v>2410.52</v>
      </c>
      <c r="BI11" s="112">
        <f t="shared" si="50"/>
        <v>2564.33</v>
      </c>
      <c r="BJ11" s="112">
        <f t="shared" si="51"/>
        <v>2797.89</v>
      </c>
      <c r="BK11" s="112">
        <f t="shared" si="52"/>
        <v>2917.52</v>
      </c>
      <c r="BL11" s="112">
        <f t="shared" si="79"/>
        <v>3037.14</v>
      </c>
      <c r="BN11" s="176" t="str">
        <f t="shared" si="53"/>
        <v>7a</v>
      </c>
      <c r="BO11" s="112">
        <f t="shared" si="54"/>
        <v>2280.84</v>
      </c>
      <c r="BP11" s="112">
        <f t="shared" si="55"/>
        <v>2461.14</v>
      </c>
      <c r="BQ11" s="112">
        <f t="shared" si="56"/>
        <v>2618.1799999999998</v>
      </c>
      <c r="BR11" s="112">
        <f t="shared" si="57"/>
        <v>2856.65</v>
      </c>
      <c r="BS11" s="112">
        <f t="shared" si="58"/>
        <v>2978.79</v>
      </c>
      <c r="BT11" s="112">
        <f t="shared" si="80"/>
        <v>3100.92</v>
      </c>
      <c r="BV11" s="176" t="str">
        <f t="shared" si="59"/>
        <v>7a</v>
      </c>
      <c r="BW11" s="112">
        <f t="shared" si="60"/>
        <v>2355.84</v>
      </c>
      <c r="BX11" s="112">
        <f t="shared" si="61"/>
        <v>2536.14</v>
      </c>
      <c r="BY11" s="112">
        <f t="shared" si="62"/>
        <v>2693.18</v>
      </c>
      <c r="BZ11" s="112">
        <f t="shared" si="63"/>
        <v>2931.65</v>
      </c>
      <c r="CA11" s="112">
        <f t="shared" si="64"/>
        <v>3053.79</v>
      </c>
      <c r="CB11" s="112">
        <f t="shared" si="81"/>
        <v>3175.92</v>
      </c>
      <c r="CD11" s="176" t="str">
        <f t="shared" si="65"/>
        <v>7a</v>
      </c>
      <c r="CE11" s="112" t="s">
        <v>15</v>
      </c>
      <c r="CF11" s="112">
        <f>IF(BX11="-","-",IF(BX11&gt;3200,ROUND(BX11*'L Tab'!$CE$23,2),IF(ROUND(BX11*'L Tab'!$CE$23,2)-BX11&lt;'L Tab'!$CE$21,BX11+'L Tab'!$CE$21,ROUND(BX11*'L Tab'!$CE$23,2))))</f>
        <v>2611.14</v>
      </c>
      <c r="CG11" s="112">
        <f>IF(BY11="-","-",IF(BY11&gt;3200,ROUND(BY11*'L Tab'!$CE$23,2),IF(ROUND(BY11*'L Tab'!$CE$23,2)-BY11&lt;'L Tab'!$CE$21,BY11+'L Tab'!$CE$21,ROUND(BY11*'L Tab'!$CE$23,2))))</f>
        <v>2768.18</v>
      </c>
      <c r="CH11" s="112">
        <f>IF(BZ11="-","-",IF(BZ11&gt;3200,ROUND(BZ11*'L Tab'!$CE$23,2),IF(ROUND(BZ11*'L Tab'!$CE$23,2)-BZ11&lt;'L Tab'!$CE$21,BZ11+'L Tab'!$CE$21,ROUND(BZ11*'L Tab'!$CE$23,2))))</f>
        <v>3006.65</v>
      </c>
      <c r="CI11" s="112">
        <f>IF(CA11="-","-",IF(CA11&gt;3200,ROUND(CA11*'L Tab'!$CE$23,2),IF(ROUND(CA11*'L Tab'!$CE$23,2)-CA11&lt;'L Tab'!$CE$21,CA11+'L Tab'!$CE$21,ROUND(CA11*'L Tab'!$CE$23,2))))</f>
        <v>3128.79</v>
      </c>
      <c r="CJ11" s="112">
        <f>IF(CB11="-","-",IF(CB11&gt;3200,ROUND(CB11*'L Tab'!$CE$23,2),IF(ROUND(CB11*'L Tab'!$CE$23,2)-CB11&lt;'L Tab'!$CE$21,CB11+'L Tab'!$CE$21,ROUND(CB11*'L Tab'!$CE$23,2))))</f>
        <v>3250.92</v>
      </c>
      <c r="CL11" s="176" t="str">
        <f t="shared" si="66"/>
        <v>7a</v>
      </c>
      <c r="CM11" s="112" t="str">
        <f>IF(CE11="-","-",ROUND(CE11*'L Tab'!$CM$23,2))</f>
        <v>-</v>
      </c>
      <c r="CN11" s="112">
        <f>IF(CF11="-","-",ROUND(CF11*'L Tab'!$CM$23,2))</f>
        <v>2672.5</v>
      </c>
      <c r="CO11" s="112">
        <f>IF(CG11="-","-",ROUND(CG11*'L Tab'!$CM$23,2))</f>
        <v>2833.23</v>
      </c>
      <c r="CP11" s="112">
        <f>IF(CH11="-","-",ROUND(CH11*'L Tab'!$CM$23,2))</f>
        <v>3077.31</v>
      </c>
      <c r="CQ11" s="112">
        <f>IF(CI11="-","-",ROUND(CI11*'L Tab'!$CM$23,2))</f>
        <v>3202.32</v>
      </c>
      <c r="CR11" s="112">
        <f>IF(CJ11="-","-",ROUND(CJ11*'L Tab'!$CM$23,2))</f>
        <v>3327.32</v>
      </c>
      <c r="CT11" s="176" t="str">
        <f t="shared" si="67"/>
        <v>7a</v>
      </c>
      <c r="CU11" s="112" t="str">
        <f t="shared" si="68"/>
        <v>-</v>
      </c>
      <c r="CV11" s="112">
        <f t="shared" si="69"/>
        <v>2672.5</v>
      </c>
      <c r="CW11" s="112">
        <f t="shared" si="70"/>
        <v>2833.23</v>
      </c>
      <c r="CX11" s="112">
        <f t="shared" si="71"/>
        <v>3077.31</v>
      </c>
      <c r="CY11" s="112">
        <f t="shared" si="72"/>
        <v>3202.32</v>
      </c>
      <c r="CZ11" s="112">
        <f t="shared" si="73"/>
        <v>3327.32</v>
      </c>
      <c r="DB11" s="74" t="s">
        <v>560</v>
      </c>
      <c r="DC11" s="112" t="str">
        <f>IF(CU44="-","-",ROUND(CU44*'L Tab'!$DC$23,2))</f>
        <v>-</v>
      </c>
      <c r="DD11" s="112">
        <f>IF(CV44="-","-",ROUND(CV44*'L Tab'!$DC$23,2))</f>
        <v>2964.28</v>
      </c>
      <c r="DE11" s="112">
        <f>IF(CW44="-","-",ROUND(CW44*'L Tab'!$DC$23,2))</f>
        <v>3108.72</v>
      </c>
      <c r="DF11" s="112">
        <f>IF(CX44="-","-",ROUND(CX44*'L Tab'!$DC$23,2))</f>
        <v>3293.9</v>
      </c>
      <c r="DG11" s="112">
        <f>IF(CY44="-","-",ROUND(CY44*'L Tab'!$DC$23,2))</f>
        <v>3443.47</v>
      </c>
      <c r="DH11" s="112">
        <f>IF(CZ44="-","-",ROUND(CZ44*'L Tab'!$DC$23,2))</f>
        <v>3650.9</v>
      </c>
      <c r="DJ11" s="74" t="str">
        <f t="shared" si="74"/>
        <v>KR 8</v>
      </c>
      <c r="DK11" s="112" t="str">
        <f>IF(DC11="-","-",ROUND(DC11*'L Tab'!$DK$23,2))</f>
        <v>-</v>
      </c>
      <c r="DL11" s="112">
        <f>IF(DD11="-","-",ROUND(DD11*'L Tab'!$DK$23,2))</f>
        <v>3056.77</v>
      </c>
      <c r="DM11" s="112">
        <f>IF(DE11="-","-",ROUND(DE11*'L Tab'!$DK$23,2))</f>
        <v>3205.71</v>
      </c>
      <c r="DN11" s="112">
        <f>IF(DF11="-","-",ROUND(DF11*'L Tab'!$DK$23,2))</f>
        <v>3396.67</v>
      </c>
      <c r="DO11" s="112">
        <f>IF(DG11="-","-",ROUND(DG11*'L Tab'!$DK$23,2))</f>
        <v>3550.91</v>
      </c>
      <c r="DP11" s="112">
        <f>IF(DH11="-","-",ROUND(DH11*'L Tab'!$DK$23,2))</f>
        <v>3764.81</v>
      </c>
      <c r="DR11" s="74" t="str">
        <f t="shared" si="75"/>
        <v>KR 8</v>
      </c>
      <c r="DS11" s="112" t="str">
        <f>IF(DK11="-","-",ROUND(DK11*'L Tab'!$DS$23,2))</f>
        <v>-</v>
      </c>
      <c r="DT11" s="112">
        <f>IF(DL11="-","-",ROUND(DL11*'L Tab'!$DS$23,2))</f>
        <v>3096.2</v>
      </c>
      <c r="DU11" s="112">
        <f>IF(DM11="-","-",ROUND(DM11*'L Tab'!$DS$23,2))</f>
        <v>3247.06</v>
      </c>
      <c r="DV11" s="112">
        <f>IF(DN11="-","-",ROUND(DN11*'L Tab'!$DS$23,2))</f>
        <v>3440.49</v>
      </c>
      <c r="DW11" s="112">
        <f>IF(DO11="-","-",ROUND(DO11*'L Tab'!$DS$23,2))</f>
        <v>3596.72</v>
      </c>
      <c r="DX11" s="112">
        <f>IF(DP11="-","-",ROUND(DP11*'L Tab'!$DS$23,2))</f>
        <v>3813.38</v>
      </c>
    </row>
    <row r="12" spans="1:128">
      <c r="B12" s="101" t="s">
        <v>287</v>
      </c>
      <c r="C12" s="37">
        <v>1652</v>
      </c>
      <c r="D12" s="37">
        <v>1780</v>
      </c>
      <c r="E12" s="37">
        <v>1900</v>
      </c>
      <c r="F12" s="37">
        <v>2155</v>
      </c>
      <c r="G12" s="37">
        <v>2220</v>
      </c>
      <c r="H12" s="37">
        <v>2340</v>
      </c>
      <c r="J12" s="74" t="str">
        <f t="shared" si="26"/>
        <v>4a</v>
      </c>
      <c r="K12" s="112">
        <v>1700</v>
      </c>
      <c r="L12" s="112">
        <v>1835</v>
      </c>
      <c r="M12" s="112">
        <v>1960</v>
      </c>
      <c r="N12" s="112">
        <v>2220</v>
      </c>
      <c r="O12" s="112">
        <v>2285</v>
      </c>
      <c r="P12" s="112">
        <v>2410</v>
      </c>
      <c r="R12" s="74" t="str">
        <f t="shared" si="27"/>
        <v>4a</v>
      </c>
      <c r="S12" s="112">
        <f t="shared" si="15"/>
        <v>1792.2</v>
      </c>
      <c r="T12" s="112">
        <f t="shared" si="16"/>
        <v>1931.25</v>
      </c>
      <c r="U12" s="112">
        <f t="shared" si="16"/>
        <v>2060</v>
      </c>
      <c r="V12" s="112">
        <f t="shared" si="16"/>
        <v>2327.8000000000002</v>
      </c>
      <c r="W12" s="112">
        <f t="shared" si="16"/>
        <v>2394.75</v>
      </c>
      <c r="X12" s="112">
        <f t="shared" si="16"/>
        <v>2523.5</v>
      </c>
      <c r="Z12" s="176" t="str">
        <f t="shared" si="28"/>
        <v>4a</v>
      </c>
      <c r="AA12" s="112">
        <f t="shared" si="17"/>
        <v>1813.71</v>
      </c>
      <c r="AB12" s="112">
        <f t="shared" si="18"/>
        <v>1954.43</v>
      </c>
      <c r="AC12" s="112">
        <f t="shared" si="18"/>
        <v>2084.7199999999998</v>
      </c>
      <c r="AD12" s="112">
        <f t="shared" si="18"/>
        <v>2355.73</v>
      </c>
      <c r="AE12" s="112">
        <f t="shared" si="18"/>
        <v>2423.4899999999998</v>
      </c>
      <c r="AF12" s="112">
        <f t="shared" si="18"/>
        <v>2553.7800000000002</v>
      </c>
      <c r="AH12" s="176" t="str">
        <f t="shared" si="29"/>
        <v>4a</v>
      </c>
      <c r="AI12" s="112">
        <f t="shared" si="30"/>
        <v>1840.92</v>
      </c>
      <c r="AJ12" s="112">
        <f t="shared" si="31"/>
        <v>1983.75</v>
      </c>
      <c r="AK12" s="112">
        <f t="shared" si="32"/>
        <v>2115.9899999999998</v>
      </c>
      <c r="AL12" s="112">
        <f t="shared" si="33"/>
        <v>2391.0700000000002</v>
      </c>
      <c r="AM12" s="112">
        <f t="shared" si="34"/>
        <v>2459.84</v>
      </c>
      <c r="AN12" s="112">
        <f t="shared" si="76"/>
        <v>2592.09</v>
      </c>
      <c r="AP12" s="176" t="str">
        <f t="shared" si="35"/>
        <v>4a</v>
      </c>
      <c r="AQ12" s="112">
        <f t="shared" si="36"/>
        <v>1892.9</v>
      </c>
      <c r="AR12" s="112">
        <f t="shared" si="37"/>
        <v>2038.44</v>
      </c>
      <c r="AS12" s="112">
        <f t="shared" si="38"/>
        <v>2173.19</v>
      </c>
      <c r="AT12" s="112">
        <f t="shared" si="39"/>
        <v>2453.5</v>
      </c>
      <c r="AU12" s="112">
        <f t="shared" si="40"/>
        <v>2523.58</v>
      </c>
      <c r="AV12" s="112">
        <f t="shared" si="77"/>
        <v>2658.34</v>
      </c>
      <c r="AX12" s="176" t="str">
        <f t="shared" si="41"/>
        <v>4a</v>
      </c>
      <c r="AY12" s="112">
        <f t="shared" si="42"/>
        <v>1943.06</v>
      </c>
      <c r="AZ12" s="112">
        <f t="shared" si="43"/>
        <v>2092.46</v>
      </c>
      <c r="BA12" s="112">
        <f t="shared" si="44"/>
        <v>2230.7800000000002</v>
      </c>
      <c r="BB12" s="112">
        <f t="shared" si="45"/>
        <v>2518.52</v>
      </c>
      <c r="BC12" s="112">
        <f t="shared" si="46"/>
        <v>2590.4499999999998</v>
      </c>
      <c r="BD12" s="112">
        <f t="shared" si="78"/>
        <v>2728.79</v>
      </c>
      <c r="BF12" s="176" t="str">
        <f t="shared" si="47"/>
        <v>4a</v>
      </c>
      <c r="BG12" s="112">
        <f t="shared" si="48"/>
        <v>2000.38</v>
      </c>
      <c r="BH12" s="112">
        <f t="shared" si="49"/>
        <v>2154.19</v>
      </c>
      <c r="BI12" s="112">
        <f t="shared" si="50"/>
        <v>2296.59</v>
      </c>
      <c r="BJ12" s="112">
        <f t="shared" si="51"/>
        <v>2592.8200000000002</v>
      </c>
      <c r="BK12" s="112">
        <f t="shared" si="52"/>
        <v>2666.87</v>
      </c>
      <c r="BL12" s="112">
        <f t="shared" si="79"/>
        <v>2809.29</v>
      </c>
      <c r="BN12" s="176" t="str">
        <f t="shared" si="53"/>
        <v>4a</v>
      </c>
      <c r="BO12" s="112">
        <f t="shared" si="54"/>
        <v>2042.39</v>
      </c>
      <c r="BP12" s="112">
        <f t="shared" si="55"/>
        <v>2199.4299999999998</v>
      </c>
      <c r="BQ12" s="112">
        <f t="shared" si="56"/>
        <v>2344.8200000000002</v>
      </c>
      <c r="BR12" s="112">
        <f t="shared" si="57"/>
        <v>2647.27</v>
      </c>
      <c r="BS12" s="112">
        <f t="shared" si="58"/>
        <v>2722.87</v>
      </c>
      <c r="BT12" s="112">
        <f t="shared" si="80"/>
        <v>2868.29</v>
      </c>
      <c r="BV12" s="176" t="str">
        <f t="shared" si="59"/>
        <v>4a</v>
      </c>
      <c r="BW12" s="112">
        <f t="shared" si="60"/>
        <v>2117.3900000000003</v>
      </c>
      <c r="BX12" s="112">
        <f t="shared" si="61"/>
        <v>2274.4299999999998</v>
      </c>
      <c r="BY12" s="112">
        <f t="shared" si="62"/>
        <v>2419.8200000000002</v>
      </c>
      <c r="BZ12" s="112">
        <f t="shared" si="63"/>
        <v>2722.27</v>
      </c>
      <c r="CA12" s="112">
        <f t="shared" si="64"/>
        <v>2797.87</v>
      </c>
      <c r="CB12" s="112">
        <f t="shared" si="81"/>
        <v>2943.29</v>
      </c>
      <c r="CD12" s="176" t="str">
        <f t="shared" si="65"/>
        <v>4a</v>
      </c>
      <c r="CE12" s="112">
        <f>IF(BW12="-","-",IF(BW12&gt;3200,ROUND(BW12*'L Tab'!$CE$23,2),IF(ROUND(BW12*'L Tab'!$CE$23,2)-BW12&lt;'L Tab'!$CE$21,BW12+'L Tab'!$CE$21,ROUND(BW12*'L Tab'!$CE$23,2))))</f>
        <v>2192.3900000000003</v>
      </c>
      <c r="CF12" s="112">
        <f>IF(BX12="-","-",IF(BX12&gt;3200,ROUND(BX12*'L Tab'!$CE$23,2),IF(ROUND(BX12*'L Tab'!$CE$23,2)-BX12&lt;'L Tab'!$CE$21,BX12+'L Tab'!$CE$21,ROUND(BX12*'L Tab'!$CE$23,2))))</f>
        <v>2349.4299999999998</v>
      </c>
      <c r="CG12" s="112">
        <f>IF(BY12="-","-",IF(BY12&gt;3200,ROUND(BY12*'L Tab'!$CE$23,2),IF(ROUND(BY12*'L Tab'!$CE$23,2)-BY12&lt;'L Tab'!$CE$21,BY12+'L Tab'!$CE$21,ROUND(BY12*'L Tab'!$CE$23,2))))</f>
        <v>2494.8200000000002</v>
      </c>
      <c r="CH12" s="112">
        <f>IF(BZ12="-","-",IF(BZ12&gt;3200,ROUND(BZ12*'L Tab'!$CE$23,2),IF(ROUND(BZ12*'L Tab'!$CE$23,2)-BZ12&lt;'L Tab'!$CE$21,BZ12+'L Tab'!$CE$21,ROUND(BZ12*'L Tab'!$CE$23,2))))</f>
        <v>2797.27</v>
      </c>
      <c r="CI12" s="112">
        <f>IF(CA12="-","-",IF(CA12&gt;3200,ROUND(CA12*'L Tab'!$CE$23,2),IF(ROUND(CA12*'L Tab'!$CE$23,2)-CA12&lt;'L Tab'!$CE$21,CA12+'L Tab'!$CE$21,ROUND(CA12*'L Tab'!$CE$23,2))))</f>
        <v>2872.87</v>
      </c>
      <c r="CJ12" s="112">
        <f>IF(CB12="-","-",IF(CB12&gt;3200,ROUND(CB12*'L Tab'!$CE$23,2),IF(ROUND(CB12*'L Tab'!$CE$23,2)-CB12&lt;'L Tab'!$CE$21,CB12+'L Tab'!$CE$21,ROUND(CB12*'L Tab'!$CE$23,2))))</f>
        <v>3018.29</v>
      </c>
      <c r="CL12" s="176" t="str">
        <f t="shared" si="66"/>
        <v>4a</v>
      </c>
      <c r="CM12" s="112">
        <f>IF(CE12="-","-",ROUND(CE12*'L Tab'!$CM$23,2))</f>
        <v>2243.91</v>
      </c>
      <c r="CN12" s="112">
        <f>IF(CF12="-","-",ROUND(CF12*'L Tab'!$CM$23,2))</f>
        <v>2404.64</v>
      </c>
      <c r="CO12" s="112">
        <f>IF(CG12="-","-",ROUND(CG12*'L Tab'!$CM$23,2))</f>
        <v>2553.4499999999998</v>
      </c>
      <c r="CP12" s="112">
        <f>IF(CH12="-","-",ROUND(CH12*'L Tab'!$CM$23,2))</f>
        <v>2863.01</v>
      </c>
      <c r="CQ12" s="112">
        <f>IF(CI12="-","-",ROUND(CI12*'L Tab'!$CM$23,2))</f>
        <v>2940.38</v>
      </c>
      <c r="CR12" s="112">
        <f>IF(CJ12="-","-",ROUND(CJ12*'L Tab'!$CM$23,2))</f>
        <v>3089.22</v>
      </c>
      <c r="CT12" s="176" t="str">
        <f t="shared" si="67"/>
        <v>4a</v>
      </c>
      <c r="CU12" s="112">
        <f t="shared" si="68"/>
        <v>2243.91</v>
      </c>
      <c r="CV12" s="112">
        <f t="shared" si="69"/>
        <v>2404.64</v>
      </c>
      <c r="CW12" s="112">
        <f t="shared" si="70"/>
        <v>2553.4499999999998</v>
      </c>
      <c r="CX12" s="112">
        <f t="shared" si="71"/>
        <v>2863.01</v>
      </c>
      <c r="CY12" s="112">
        <f t="shared" si="72"/>
        <v>2940.38</v>
      </c>
      <c r="CZ12" s="112">
        <f t="shared" si="73"/>
        <v>3089.22</v>
      </c>
      <c r="DB12" s="74" t="s">
        <v>561</v>
      </c>
      <c r="DC12" s="112" t="str">
        <f>IF(CU45="-","-",ROUND(CU45*'L Tab'!$DC$23,2))</f>
        <v>-</v>
      </c>
      <c r="DD12" s="112">
        <f>IF(CV45="-","-",ROUND(CV45*'L Tab'!$DC$23,2))</f>
        <v>2793.61</v>
      </c>
      <c r="DE12" s="112">
        <f>IF(CW45="-","-",ROUND(CW45*'L Tab'!$DC$23,2))</f>
        <v>2964.28</v>
      </c>
      <c r="DF12" s="112">
        <f>IF(CX45="-","-",ROUND(CX45*'L Tab'!$DC$23,2))</f>
        <v>3226.86</v>
      </c>
      <c r="DG12" s="112">
        <f>IF(CY45="-","-",ROUND(CY45*'L Tab'!$DC$23,2))</f>
        <v>3358.13</v>
      </c>
      <c r="DH12" s="112">
        <f>IF(CZ45="-","-",ROUND(CZ45*'L Tab'!$DC$23,2))</f>
        <v>3493.36</v>
      </c>
      <c r="DJ12" s="74" t="str">
        <f t="shared" si="74"/>
        <v>KR 7</v>
      </c>
      <c r="DK12" s="112" t="str">
        <f>IF(DC12="-","-",ROUND(DC12*'L Tab'!$DK$23,2))</f>
        <v>-</v>
      </c>
      <c r="DL12" s="112">
        <f>IF(DD12="-","-",ROUND(DD12*'L Tab'!$DK$23,2))</f>
        <v>2880.77</v>
      </c>
      <c r="DM12" s="112">
        <f>IF(DE12="-","-",ROUND(DE12*'L Tab'!$DK$23,2))</f>
        <v>3056.77</v>
      </c>
      <c r="DN12" s="112">
        <f>IF(DF12="-","-",ROUND(DF12*'L Tab'!$DK$23,2))</f>
        <v>3327.54</v>
      </c>
      <c r="DO12" s="112">
        <f>IF(DG12="-","-",ROUND(DG12*'L Tab'!$DK$23,2))</f>
        <v>3462.9</v>
      </c>
      <c r="DP12" s="112">
        <f>IF(DH12="-","-",ROUND(DH12*'L Tab'!$DK$23,2))</f>
        <v>3602.35</v>
      </c>
      <c r="DR12" s="74" t="str">
        <f t="shared" si="75"/>
        <v>KR 7</v>
      </c>
      <c r="DS12" s="112" t="str">
        <f>IF(DK12="-","-",ROUND(DK12*'L Tab'!$DS$23,2))</f>
        <v>-</v>
      </c>
      <c r="DT12" s="112">
        <f>IF(DL12="-","-",ROUND(DL12*'L Tab'!$DS$23,2))</f>
        <v>2917.93</v>
      </c>
      <c r="DU12" s="112">
        <f>IF(DM12="-","-",ROUND(DM12*'L Tab'!$DS$23,2))</f>
        <v>3096.2</v>
      </c>
      <c r="DV12" s="112">
        <f>IF(DN12="-","-",ROUND(DN12*'L Tab'!$DS$23,2))</f>
        <v>3370.47</v>
      </c>
      <c r="DW12" s="112">
        <f>IF(DO12="-","-",ROUND(DO12*'L Tab'!$DS$23,2))</f>
        <v>3507.57</v>
      </c>
      <c r="DX12" s="112">
        <f>IF(DP12="-","-",ROUND(DP12*'L Tab'!$DS$23,2))</f>
        <v>3648.82</v>
      </c>
    </row>
    <row r="13" spans="1:128">
      <c r="B13" s="101" t="s">
        <v>288</v>
      </c>
      <c r="C13" s="37">
        <v>1575</v>
      </c>
      <c r="D13" s="37">
        <v>1750</v>
      </c>
      <c r="E13" s="37">
        <v>1800</v>
      </c>
      <c r="F13" s="37">
        <v>1880</v>
      </c>
      <c r="G13" s="37">
        <v>1940</v>
      </c>
      <c r="H13" s="37">
        <v>2081</v>
      </c>
      <c r="J13" s="74" t="str">
        <f t="shared" si="26"/>
        <v>3a</v>
      </c>
      <c r="K13" s="112">
        <v>1625</v>
      </c>
      <c r="L13" s="112">
        <v>1805</v>
      </c>
      <c r="M13" s="112">
        <v>1855</v>
      </c>
      <c r="N13" s="112">
        <v>1935</v>
      </c>
      <c r="O13" s="112">
        <v>2000</v>
      </c>
      <c r="P13" s="112">
        <v>2145</v>
      </c>
      <c r="R13" s="74" t="str">
        <f t="shared" si="27"/>
        <v>3a</v>
      </c>
      <c r="S13" s="112">
        <f t="shared" si="15"/>
        <v>1714.95</v>
      </c>
      <c r="T13" s="112">
        <f t="shared" si="16"/>
        <v>1900.35</v>
      </c>
      <c r="U13" s="112">
        <f t="shared" si="16"/>
        <v>1951.85</v>
      </c>
      <c r="V13" s="112">
        <f t="shared" si="16"/>
        <v>2034.25</v>
      </c>
      <c r="W13" s="112">
        <f t="shared" si="16"/>
        <v>2101.1999999999998</v>
      </c>
      <c r="X13" s="112">
        <f t="shared" si="16"/>
        <v>2250.5500000000002</v>
      </c>
      <c r="Z13" s="176" t="str">
        <f t="shared" si="28"/>
        <v>3a</v>
      </c>
      <c r="AA13" s="112">
        <f t="shared" si="17"/>
        <v>1735.53</v>
      </c>
      <c r="AB13" s="112">
        <f t="shared" si="18"/>
        <v>1923.15</v>
      </c>
      <c r="AC13" s="112">
        <f t="shared" si="18"/>
        <v>1975.27</v>
      </c>
      <c r="AD13" s="112">
        <f t="shared" si="18"/>
        <v>2058.66</v>
      </c>
      <c r="AE13" s="112">
        <f t="shared" si="18"/>
        <v>2126.41</v>
      </c>
      <c r="AF13" s="112">
        <f t="shared" si="18"/>
        <v>2277.56</v>
      </c>
      <c r="AH13" s="176" t="str">
        <f t="shared" si="29"/>
        <v>3a</v>
      </c>
      <c r="AI13" s="112">
        <f t="shared" si="30"/>
        <v>1761.56</v>
      </c>
      <c r="AJ13" s="112">
        <f t="shared" si="31"/>
        <v>1952</v>
      </c>
      <c r="AK13" s="112">
        <f t="shared" si="32"/>
        <v>2004.9</v>
      </c>
      <c r="AL13" s="112">
        <f t="shared" si="33"/>
        <v>2089.54</v>
      </c>
      <c r="AM13" s="112">
        <f t="shared" si="34"/>
        <v>2158.31</v>
      </c>
      <c r="AN13" s="112">
        <f t="shared" si="76"/>
        <v>2311.7199999999998</v>
      </c>
      <c r="AP13" s="176" t="str">
        <f t="shared" si="35"/>
        <v>3a</v>
      </c>
      <c r="AQ13" s="112">
        <f t="shared" si="36"/>
        <v>1812.03</v>
      </c>
      <c r="AR13" s="112">
        <f t="shared" si="37"/>
        <v>2006.09</v>
      </c>
      <c r="AS13" s="112">
        <f t="shared" si="38"/>
        <v>2059.9899999999998</v>
      </c>
      <c r="AT13" s="112">
        <f t="shared" si="39"/>
        <v>2146.2399999999998</v>
      </c>
      <c r="AU13" s="112">
        <f t="shared" si="40"/>
        <v>2216.3200000000002</v>
      </c>
      <c r="AV13" s="112">
        <f t="shared" si="77"/>
        <v>2372.64</v>
      </c>
      <c r="AX13" s="176" t="str">
        <f t="shared" si="41"/>
        <v>3a</v>
      </c>
      <c r="AY13" s="112">
        <f t="shared" si="42"/>
        <v>1860.05</v>
      </c>
      <c r="AZ13" s="112">
        <f t="shared" si="43"/>
        <v>2059.25</v>
      </c>
      <c r="BA13" s="112">
        <f t="shared" si="44"/>
        <v>2114.58</v>
      </c>
      <c r="BB13" s="112">
        <f t="shared" si="45"/>
        <v>2203.12</v>
      </c>
      <c r="BC13" s="112">
        <f t="shared" si="46"/>
        <v>2275.0500000000002</v>
      </c>
      <c r="BD13" s="112">
        <f t="shared" si="78"/>
        <v>2435.5100000000002</v>
      </c>
      <c r="BF13" s="176" t="str">
        <f t="shared" si="47"/>
        <v>3a</v>
      </c>
      <c r="BG13" s="112">
        <f t="shared" si="48"/>
        <v>1914.92</v>
      </c>
      <c r="BH13" s="112">
        <f t="shared" si="49"/>
        <v>2120</v>
      </c>
      <c r="BI13" s="112">
        <f t="shared" si="50"/>
        <v>2176.96</v>
      </c>
      <c r="BJ13" s="112">
        <f t="shared" si="51"/>
        <v>2268.11</v>
      </c>
      <c r="BK13" s="112">
        <f t="shared" si="52"/>
        <v>2342.16</v>
      </c>
      <c r="BL13" s="112">
        <f t="shared" si="79"/>
        <v>2507.36</v>
      </c>
      <c r="BN13" s="176" t="str">
        <f t="shared" si="53"/>
        <v>3a</v>
      </c>
      <c r="BO13" s="112">
        <f t="shared" si="54"/>
        <v>1955.13</v>
      </c>
      <c r="BP13" s="112">
        <f t="shared" si="55"/>
        <v>2164.52</v>
      </c>
      <c r="BQ13" s="112">
        <f t="shared" si="56"/>
        <v>2222.6799999999998</v>
      </c>
      <c r="BR13" s="112">
        <f t="shared" si="57"/>
        <v>2315.7399999999998</v>
      </c>
      <c r="BS13" s="112">
        <f t="shared" si="58"/>
        <v>2391.35</v>
      </c>
      <c r="BT13" s="112">
        <f t="shared" si="80"/>
        <v>2560.0100000000002</v>
      </c>
      <c r="BV13" s="176" t="str">
        <f t="shared" si="59"/>
        <v>3a</v>
      </c>
      <c r="BW13" s="112">
        <f t="shared" si="60"/>
        <v>2030.13</v>
      </c>
      <c r="BX13" s="112">
        <f t="shared" si="61"/>
        <v>2239.52</v>
      </c>
      <c r="BY13" s="112">
        <f t="shared" si="62"/>
        <v>2297.6799999999998</v>
      </c>
      <c r="BZ13" s="112">
        <f t="shared" si="63"/>
        <v>2390.7399999999998</v>
      </c>
      <c r="CA13" s="112">
        <f t="shared" si="64"/>
        <v>2466.35</v>
      </c>
      <c r="CB13" s="112">
        <f t="shared" si="81"/>
        <v>2635.01</v>
      </c>
      <c r="CD13" s="176" t="str">
        <f t="shared" si="65"/>
        <v>3a</v>
      </c>
      <c r="CE13" s="112">
        <f>IF(BW13="-","-",IF(BW13&gt;3200,ROUND(BW13*'L Tab'!$CE$23,2),IF(ROUND(BW13*'L Tab'!$CE$23,2)-BW13&lt;'L Tab'!$CE$21,BW13+'L Tab'!$CE$21,ROUND(BW13*'L Tab'!$CE$23,2))))</f>
        <v>2105.13</v>
      </c>
      <c r="CF13" s="112">
        <f>IF(BX13="-","-",IF(BX13&gt;3200,ROUND(BX13*'L Tab'!$CE$23,2),IF(ROUND(BX13*'L Tab'!$CE$23,2)-BX13&lt;'L Tab'!$CE$21,BX13+'L Tab'!$CE$21,ROUND(BX13*'L Tab'!$CE$23,2))))</f>
        <v>2314.52</v>
      </c>
      <c r="CG13" s="112">
        <f>IF(BY13="-","-",IF(BY13&gt;3200,ROUND(BY13*'L Tab'!$CE$23,2),IF(ROUND(BY13*'L Tab'!$CE$23,2)-BY13&lt;'L Tab'!$CE$21,BY13+'L Tab'!$CE$21,ROUND(BY13*'L Tab'!$CE$23,2))))</f>
        <v>2372.6799999999998</v>
      </c>
      <c r="CH13" s="112">
        <f>IF(BZ13="-","-",IF(BZ13&gt;3200,ROUND(BZ13*'L Tab'!$CE$23,2),IF(ROUND(BZ13*'L Tab'!$CE$23,2)-BZ13&lt;'L Tab'!$CE$21,BZ13+'L Tab'!$CE$21,ROUND(BZ13*'L Tab'!$CE$23,2))))</f>
        <v>2465.7399999999998</v>
      </c>
      <c r="CI13" s="112">
        <f>IF(CA13="-","-",IF(CA13&gt;3200,ROUND(CA13*'L Tab'!$CE$23,2),IF(ROUND(CA13*'L Tab'!$CE$23,2)-CA13&lt;'L Tab'!$CE$21,CA13+'L Tab'!$CE$21,ROUND(CA13*'L Tab'!$CE$23,2))))</f>
        <v>2541.35</v>
      </c>
      <c r="CJ13" s="112">
        <f>IF(CB13="-","-",IF(CB13&gt;3200,ROUND(CB13*'L Tab'!$CE$23,2),IF(ROUND(CB13*'L Tab'!$CE$23,2)-CB13&lt;'L Tab'!$CE$21,CB13+'L Tab'!$CE$21,ROUND(CB13*'L Tab'!$CE$23,2))))</f>
        <v>2710.01</v>
      </c>
      <c r="CL13" s="176" t="str">
        <f t="shared" si="66"/>
        <v>3a</v>
      </c>
      <c r="CM13" s="112">
        <f>IF(CE13="-","-",ROUND(CE13*'L Tab'!$CM$23,2))</f>
        <v>2154.6</v>
      </c>
      <c r="CN13" s="112">
        <f>IF(CF13="-","-",ROUND(CF13*'L Tab'!$CM$23,2))</f>
        <v>2368.91</v>
      </c>
      <c r="CO13" s="112">
        <f>IF(CG13="-","-",ROUND(CG13*'L Tab'!$CM$23,2))</f>
        <v>2428.44</v>
      </c>
      <c r="CP13" s="112">
        <f>IF(CH13="-","-",ROUND(CH13*'L Tab'!$CM$23,2))</f>
        <v>2523.6799999999998</v>
      </c>
      <c r="CQ13" s="112">
        <f>IF(CI13="-","-",ROUND(CI13*'L Tab'!$CM$23,2))</f>
        <v>2601.0700000000002</v>
      </c>
      <c r="CR13" s="112">
        <f>IF(CJ13="-","-",ROUND(CJ13*'L Tab'!$CM$23,2))</f>
        <v>2773.7</v>
      </c>
      <c r="CT13" s="176" t="str">
        <f t="shared" si="67"/>
        <v>3a</v>
      </c>
      <c r="CU13" s="112">
        <f t="shared" si="68"/>
        <v>2154.6</v>
      </c>
      <c r="CV13" s="112">
        <f t="shared" si="69"/>
        <v>2368.91</v>
      </c>
      <c r="CW13" s="112">
        <f t="shared" si="70"/>
        <v>2428.44</v>
      </c>
      <c r="CX13" s="112">
        <f t="shared" si="71"/>
        <v>2523.6799999999998</v>
      </c>
      <c r="CY13" s="112">
        <f t="shared" si="72"/>
        <v>2601.0700000000002</v>
      </c>
      <c r="CZ13" s="112">
        <f t="shared" si="73"/>
        <v>2773.7</v>
      </c>
      <c r="DB13" s="74" t="s">
        <v>562</v>
      </c>
      <c r="DC13" s="112">
        <f>IF(CU46="-","-",ROUND(CU46*'L Tab'!$DC$23,2))</f>
        <v>2341.6</v>
      </c>
      <c r="DD13" s="112">
        <f>IF(CV46="-","-",ROUND(CV46*'L Tab'!$DC$23,2))</f>
        <v>2504.87</v>
      </c>
      <c r="DE13" s="112">
        <f>IF(CW46="-","-",ROUND(CW46*'L Tab'!$DC$23,2))</f>
        <v>2662.34</v>
      </c>
      <c r="DF13" s="112">
        <f>IF(CX46="-","-",ROUND(CX46*'L Tab'!$DC$23,2))</f>
        <v>2997.11</v>
      </c>
      <c r="DG13" s="112">
        <f>IF(CY46="-","-",ROUND(CY46*'L Tab'!$DC$23,2))</f>
        <v>3082.44</v>
      </c>
      <c r="DH13" s="112">
        <f>IF(CZ46="-","-",ROUND(CZ46*'L Tab'!$DC$23,2))</f>
        <v>3239.95</v>
      </c>
      <c r="DJ13" s="74" t="str">
        <f t="shared" si="74"/>
        <v>KR 6</v>
      </c>
      <c r="DK13" s="112">
        <f>IF(DC13="-","-",ROUND(DC13*'L Tab'!$DK$23,2))</f>
        <v>2414.66</v>
      </c>
      <c r="DL13" s="112">
        <f>IF(DD13="-","-",ROUND(DD13*'L Tab'!$DK$23,2))</f>
        <v>2583.02</v>
      </c>
      <c r="DM13" s="112">
        <f>IF(DE13="-","-",ROUND(DE13*'L Tab'!$DK$23,2))</f>
        <v>2745.41</v>
      </c>
      <c r="DN13" s="112">
        <f>IF(DF13="-","-",ROUND(DF13*'L Tab'!$DK$23,2))</f>
        <v>3090.62</v>
      </c>
      <c r="DO13" s="112">
        <f>IF(DG13="-","-",ROUND(DG13*'L Tab'!$DK$23,2))</f>
        <v>3178.61</v>
      </c>
      <c r="DP13" s="112">
        <f>IF(DH13="-","-",ROUND(DH13*'L Tab'!$DK$23,2))</f>
        <v>3341.04</v>
      </c>
      <c r="DR13" s="74" t="str">
        <f t="shared" si="75"/>
        <v>KR 6</v>
      </c>
      <c r="DS13" s="112">
        <f>IF(DK13="-","-",ROUND(DK13*'L Tab'!$DS$23,2))</f>
        <v>2445.81</v>
      </c>
      <c r="DT13" s="112">
        <f>IF(DL13="-","-",ROUND(DL13*'L Tab'!$DS$23,2))</f>
        <v>2616.34</v>
      </c>
      <c r="DU13" s="112">
        <f>IF(DM13="-","-",ROUND(DM13*'L Tab'!$DS$23,2))</f>
        <v>2780.83</v>
      </c>
      <c r="DV13" s="112">
        <f>IF(DN13="-","-",ROUND(DN13*'L Tab'!$DS$23,2))</f>
        <v>3130.49</v>
      </c>
      <c r="DW13" s="112">
        <f>IF(DO13="-","-",ROUND(DO13*'L Tab'!$DS$23,2))</f>
        <v>3219.61</v>
      </c>
      <c r="DX13" s="112">
        <f>IF(DP13="-","-",ROUND(DP13*'L Tab'!$DS$23,2))</f>
        <v>3384.14</v>
      </c>
    </row>
    <row r="14" spans="1:128">
      <c r="B14" s="101"/>
      <c r="C14" s="40"/>
      <c r="D14" s="40"/>
      <c r="E14" s="40"/>
      <c r="F14" s="40"/>
      <c r="G14" s="40"/>
      <c r="H14" s="40"/>
      <c r="R14" s="179" t="str">
        <f>""</f>
        <v/>
      </c>
      <c r="S14" s="138" t="str">
        <f>""</f>
        <v/>
      </c>
      <c r="T14" s="138" t="str">
        <f>""</f>
        <v/>
      </c>
      <c r="U14" s="138" t="str">
        <f>""</f>
        <v/>
      </c>
      <c r="V14" s="138" t="str">
        <f>""</f>
        <v/>
      </c>
      <c r="W14" s="138" t="str">
        <f>""</f>
        <v/>
      </c>
      <c r="X14" s="138" t="str">
        <f>""</f>
        <v/>
      </c>
      <c r="DB14" s="74" t="s">
        <v>563</v>
      </c>
      <c r="DC14" s="112">
        <f>IF(CU47="-","-",ROUND(CU47*'L Tab'!$DC$23,2))</f>
        <v>2243.37</v>
      </c>
      <c r="DD14" s="112">
        <f>IF(CV47="-","-",ROUND(CV47*'L Tab'!$DC$23,2))</f>
        <v>2466.56</v>
      </c>
      <c r="DE14" s="112">
        <f>IF(CW47="-","-",ROUND(CW47*'L Tab'!$DC$23,2))</f>
        <v>2531.09</v>
      </c>
      <c r="DF14" s="112">
        <f>IF(CX47="-","-",ROUND(CX47*'L Tab'!$DC$23,2))</f>
        <v>2636.09</v>
      </c>
      <c r="DG14" s="112">
        <f>IF(CY47="-","-",ROUND(CY47*'L Tab'!$DC$23,2))</f>
        <v>2714.88</v>
      </c>
      <c r="DH14" s="112">
        <f>IF(CZ47="-","-",ROUND(CZ47*'L Tab'!$DC$23,2))</f>
        <v>2899.95</v>
      </c>
      <c r="DJ14" s="74" t="str">
        <f t="shared" si="74"/>
        <v>KR 5</v>
      </c>
      <c r="DK14" s="112">
        <f>IF(DC14="-","-",ROUND(DC14*'L Tab'!$DK$23,2))</f>
        <v>2313.36</v>
      </c>
      <c r="DL14" s="112">
        <f>IF(DD14="-","-",ROUND(DD14*'L Tab'!$DK$23,2))</f>
        <v>2543.52</v>
      </c>
      <c r="DM14" s="112">
        <f>IF(DE14="-","-",ROUND(DE14*'L Tab'!$DK$23,2))</f>
        <v>2610.06</v>
      </c>
      <c r="DN14" s="112">
        <f>IF(DF14="-","-",ROUND(DF14*'L Tab'!$DK$23,2))</f>
        <v>2718.34</v>
      </c>
      <c r="DO14" s="112">
        <f>IF(DG14="-","-",ROUND(DG14*'L Tab'!$DK$23,2))</f>
        <v>2799.58</v>
      </c>
      <c r="DP14" s="112">
        <f>IF(DH14="-","-",ROUND(DH14*'L Tab'!$DK$23,2))</f>
        <v>2990.43</v>
      </c>
      <c r="DR14" s="74" t="str">
        <f t="shared" si="75"/>
        <v>KR 5</v>
      </c>
      <c r="DS14" s="112">
        <f>IF(DK14="-","-",ROUND(DK14*'L Tab'!$DS$23,2))</f>
        <v>2343.1999999999998</v>
      </c>
      <c r="DT14" s="112">
        <f>IF(DL14="-","-",ROUND(DL14*'L Tab'!$DS$23,2))</f>
        <v>2576.33</v>
      </c>
      <c r="DU14" s="112">
        <f>IF(DM14="-","-",ROUND(DM14*'L Tab'!$DS$23,2))</f>
        <v>2643.73</v>
      </c>
      <c r="DV14" s="112">
        <f>IF(DN14="-","-",ROUND(DN14*'L Tab'!$DS$23,2))</f>
        <v>2753.41</v>
      </c>
      <c r="DW14" s="112">
        <f>IF(DO14="-","-",ROUND(DO14*'L Tab'!$DS$23,2))</f>
        <v>2835.69</v>
      </c>
      <c r="DX14" s="112">
        <f>IF(DP14="-","-",ROUND(DP14*'L Tab'!$DS$23,2))</f>
        <v>3029.01</v>
      </c>
    </row>
    <row r="15" spans="1:128">
      <c r="B15" s="101"/>
      <c r="C15" s="40"/>
      <c r="D15" s="40"/>
      <c r="E15" s="40"/>
      <c r="F15" s="40"/>
      <c r="G15" s="40"/>
      <c r="H15" s="40"/>
      <c r="R15" s="179" t="str">
        <f>""</f>
        <v/>
      </c>
      <c r="S15" s="138" t="str">
        <f>""</f>
        <v/>
      </c>
      <c r="T15" s="138" t="str">
        <f>""</f>
        <v/>
      </c>
      <c r="U15" s="138" t="str">
        <f>""</f>
        <v/>
      </c>
      <c r="V15" s="138" t="str">
        <f>""</f>
        <v/>
      </c>
      <c r="W15" s="138" t="str">
        <f>""</f>
        <v/>
      </c>
      <c r="X15" s="138" t="str">
        <f>""</f>
        <v/>
      </c>
      <c r="CC15" s="112"/>
    </row>
    <row r="16" spans="1:128">
      <c r="B16" s="101"/>
      <c r="C16" s="40"/>
      <c r="D16" s="40"/>
      <c r="E16" s="40"/>
      <c r="F16" s="40"/>
      <c r="G16" s="40"/>
      <c r="H16" s="40"/>
      <c r="R16" s="179" t="str">
        <f>""</f>
        <v/>
      </c>
      <c r="S16" s="138" t="str">
        <f>""</f>
        <v/>
      </c>
      <c r="T16" s="138" t="str">
        <f>""</f>
        <v/>
      </c>
      <c r="U16" s="138" t="str">
        <f>""</f>
        <v/>
      </c>
      <c r="V16" s="138" t="str">
        <f>""</f>
        <v/>
      </c>
      <c r="W16" s="138" t="str">
        <f>""</f>
        <v/>
      </c>
      <c r="X16" s="138" t="str">
        <f>""</f>
        <v/>
      </c>
    </row>
    <row r="17" spans="1:122">
      <c r="B17" s="74"/>
      <c r="C17" s="40"/>
      <c r="D17" s="40"/>
      <c r="E17" s="40"/>
      <c r="F17" s="40"/>
      <c r="G17" s="40"/>
      <c r="H17" s="40"/>
      <c r="R17" s="179" t="str">
        <f>""</f>
        <v/>
      </c>
      <c r="S17" s="138" t="str">
        <f>""</f>
        <v/>
      </c>
      <c r="T17" s="138" t="str">
        <f>""</f>
        <v/>
      </c>
      <c r="U17" s="138" t="str">
        <f>""</f>
        <v/>
      </c>
      <c r="V17" s="138" t="str">
        <f>""</f>
        <v/>
      </c>
      <c r="W17" s="138" t="str">
        <f>""</f>
        <v/>
      </c>
      <c r="X17" s="138" t="str">
        <f>""</f>
        <v/>
      </c>
    </row>
    <row r="18" spans="1:122">
      <c r="B18" s="74"/>
      <c r="C18" s="40"/>
      <c r="D18" s="40"/>
      <c r="E18" s="40"/>
      <c r="F18" s="40"/>
      <c r="G18" s="40"/>
      <c r="H18" s="40"/>
      <c r="R18" s="179" t="str">
        <f>""</f>
        <v/>
      </c>
      <c r="S18" s="138" t="str">
        <f>""</f>
        <v/>
      </c>
      <c r="T18" s="138" t="str">
        <f>""</f>
        <v/>
      </c>
      <c r="U18" s="138" t="str">
        <f>""</f>
        <v/>
      </c>
      <c r="V18" s="138" t="str">
        <f>""</f>
        <v/>
      </c>
      <c r="W18" s="138" t="str">
        <f>""</f>
        <v/>
      </c>
      <c r="X18" s="138" t="str">
        <f>""</f>
        <v/>
      </c>
    </row>
    <row r="19" spans="1:122">
      <c r="B19" s="74"/>
      <c r="C19" s="40"/>
      <c r="D19" s="40"/>
      <c r="E19" s="40"/>
      <c r="F19" s="40"/>
      <c r="G19" s="40"/>
      <c r="H19" s="40"/>
      <c r="R19" s="179" t="str">
        <f>""</f>
        <v/>
      </c>
      <c r="S19" s="138" t="str">
        <f>""</f>
        <v/>
      </c>
      <c r="T19" s="138" t="str">
        <f>""</f>
        <v/>
      </c>
      <c r="U19" s="138" t="str">
        <f>""</f>
        <v/>
      </c>
      <c r="V19" s="138" t="str">
        <f>""</f>
        <v/>
      </c>
      <c r="W19" s="138" t="str">
        <f>""</f>
        <v/>
      </c>
      <c r="X19" s="138" t="str">
        <f>""</f>
        <v/>
      </c>
    </row>
    <row r="20" spans="1:122">
      <c r="R20" s="179" t="str">
        <f>""</f>
        <v/>
      </c>
      <c r="S20" s="138" t="str">
        <f>""</f>
        <v/>
      </c>
      <c r="T20" s="138" t="str">
        <f>""</f>
        <v/>
      </c>
      <c r="U20" s="138" t="str">
        <f>""</f>
        <v/>
      </c>
      <c r="V20" s="138" t="str">
        <f>""</f>
        <v/>
      </c>
      <c r="W20" s="138" t="str">
        <f>""</f>
        <v/>
      </c>
      <c r="X20" s="138" t="str">
        <f>""</f>
        <v/>
      </c>
    </row>
    <row r="21" spans="1:122">
      <c r="C21" s="153"/>
      <c r="R21" s="179" t="str">
        <f>""</f>
        <v/>
      </c>
      <c r="S21" s="138" t="str">
        <f>""</f>
        <v/>
      </c>
      <c r="T21" s="138" t="str">
        <f>""</f>
        <v/>
      </c>
      <c r="U21" s="138" t="str">
        <f>""</f>
        <v/>
      </c>
      <c r="V21" s="138" t="str">
        <f>""</f>
        <v/>
      </c>
      <c r="W21" s="138" t="str">
        <f>""</f>
        <v/>
      </c>
      <c r="X21" s="138" t="str">
        <f>""</f>
        <v/>
      </c>
      <c r="BN21" s="396" t="s">
        <v>325</v>
      </c>
      <c r="BO21" s="228">
        <v>0</v>
      </c>
      <c r="BV21" s="396" t="s">
        <v>325</v>
      </c>
      <c r="BW21" s="228">
        <v>75</v>
      </c>
    </row>
    <row r="22" spans="1:122">
      <c r="A22" s="155" t="s">
        <v>81</v>
      </c>
      <c r="B22" s="152">
        <f>Para!C49</f>
        <v>0.92500000000000004</v>
      </c>
      <c r="C22" s="147"/>
      <c r="D22" s="147"/>
      <c r="E22" s="147"/>
      <c r="F22" s="147"/>
      <c r="G22" s="147"/>
      <c r="H22" s="147"/>
      <c r="R22" s="175" t="s">
        <v>133</v>
      </c>
      <c r="S22" s="135">
        <f>'L Tab'!S22</f>
        <v>40</v>
      </c>
      <c r="Z22" s="175" t="str">
        <f>$R$22</f>
        <v>Sockel</v>
      </c>
      <c r="AA22" s="135">
        <f>'L Tab'!AA22</f>
        <v>0</v>
      </c>
      <c r="AH22" s="175" t="str">
        <f>$R$22</f>
        <v>Sockel</v>
      </c>
      <c r="AI22" s="135">
        <f>'L Tab'!AI22</f>
        <v>0</v>
      </c>
      <c r="AP22" s="175" t="str">
        <f>$R$22</f>
        <v>Sockel</v>
      </c>
      <c r="AQ22" s="135">
        <f>'L Tab'!AQ22</f>
        <v>17</v>
      </c>
      <c r="AX22" s="175" t="str">
        <f>$R$22</f>
        <v>Sockel</v>
      </c>
      <c r="AY22" s="135">
        <f>'L Tab'!AY22</f>
        <v>0</v>
      </c>
      <c r="BF22" s="175" t="str">
        <f>$R$22</f>
        <v>Sockel</v>
      </c>
      <c r="BG22" s="135">
        <f>'L Tab'!BG22</f>
        <v>0</v>
      </c>
      <c r="BN22" s="175" t="str">
        <f>$R$22</f>
        <v>Sockel</v>
      </c>
      <c r="BO22" s="135">
        <f>'L Tab'!BO22</f>
        <v>0</v>
      </c>
      <c r="BQ22" s="159">
        <v>1</v>
      </c>
      <c r="BR22" s="159" t="s">
        <v>233</v>
      </c>
      <c r="BS22" s="135">
        <v>1</v>
      </c>
      <c r="BV22" s="175" t="str">
        <f>$R$22</f>
        <v>Sockel</v>
      </c>
      <c r="BW22" s="160">
        <f>'L Tab'!BW22</f>
        <v>0</v>
      </c>
      <c r="BY22" s="159">
        <v>1</v>
      </c>
      <c r="BZ22" s="159" t="s">
        <v>233</v>
      </c>
      <c r="CA22" s="135">
        <v>1</v>
      </c>
    </row>
    <row r="23" spans="1:122">
      <c r="B23" s="75" t="str">
        <f t="shared" ref="B23:H23" si="83">B1</f>
        <v>EG</v>
      </c>
      <c r="C23" s="75" t="str">
        <f t="shared" si="83"/>
        <v>Stufe 1</v>
      </c>
      <c r="D23" s="75" t="str">
        <f t="shared" si="83"/>
        <v>Stufe 2</v>
      </c>
      <c r="E23" s="75" t="str">
        <f t="shared" si="83"/>
        <v>Stufe 3</v>
      </c>
      <c r="F23" s="75" t="str">
        <f t="shared" si="83"/>
        <v>Stufe 4</v>
      </c>
      <c r="G23" s="75" t="str">
        <f t="shared" si="83"/>
        <v>Stufe 5</v>
      </c>
      <c r="H23" s="75" t="str">
        <f t="shared" si="83"/>
        <v>Stufe 6</v>
      </c>
      <c r="R23" s="175" t="s">
        <v>134</v>
      </c>
      <c r="S23" s="135">
        <f>'L Tab'!S23</f>
        <v>1.03</v>
      </c>
      <c r="T23" s="157" t="str">
        <f>'L Tab'!T23</f>
        <v>3,00</v>
      </c>
      <c r="Z23" s="175" t="str">
        <f>$R$23</f>
        <v>linear</v>
      </c>
      <c r="AA23" s="135">
        <f>'L Tab'!AA23</f>
        <v>1.012</v>
      </c>
      <c r="AB23" s="135" t="str">
        <f>'L Tab'!AB23</f>
        <v>1,20</v>
      </c>
      <c r="AH23" s="175" t="str">
        <f>$R$23</f>
        <v>linear</v>
      </c>
      <c r="AI23" s="135">
        <f>'L Tab'!AI23</f>
        <v>1.0149999999999999</v>
      </c>
      <c r="AJ23" s="135" t="str">
        <f>'L Tab'!AJ23</f>
        <v>1,50</v>
      </c>
      <c r="AP23" s="175" t="str">
        <f>$R$23</f>
        <v>linear</v>
      </c>
      <c r="AQ23" s="135">
        <f>'L Tab'!AQ23</f>
        <v>1.0189999999999999</v>
      </c>
      <c r="AR23" s="135" t="str">
        <f>'L Tab'!AR23</f>
        <v>1,90</v>
      </c>
      <c r="AX23" s="175" t="str">
        <f>$R$23</f>
        <v>linear</v>
      </c>
      <c r="AY23" s="135">
        <f>'L Tab'!AY23</f>
        <v>1.0265</v>
      </c>
      <c r="AZ23" s="135" t="str">
        <f>'L Tab'!AZ23</f>
        <v>2,65</v>
      </c>
      <c r="BF23" s="175" t="str">
        <f>$R$23</f>
        <v>linear</v>
      </c>
      <c r="BG23" s="135">
        <f>'L Tab'!BG23</f>
        <v>1.0295000000000001</v>
      </c>
      <c r="BH23" s="135" t="str">
        <f>'L Tab'!BH23</f>
        <v>2,95</v>
      </c>
      <c r="BN23" s="175" t="str">
        <f>$R$23</f>
        <v>linear</v>
      </c>
      <c r="BO23" s="135">
        <f>'L Tab'!BO23</f>
        <v>1.0209999999999999</v>
      </c>
      <c r="BP23" s="135" t="str">
        <f>'L Tab'!BP23</f>
        <v>2,10</v>
      </c>
      <c r="BQ23" s="159">
        <v>2</v>
      </c>
      <c r="BR23" s="159" t="s">
        <v>234</v>
      </c>
      <c r="BV23" s="175" t="str">
        <f>$R$23</f>
        <v>linear</v>
      </c>
      <c r="BW23" s="135">
        <f>'L Tab'!BW23</f>
        <v>1.0229999999999999</v>
      </c>
      <c r="BX23" s="135" t="str">
        <f>'L Tab'!BX23</f>
        <v>2,30</v>
      </c>
      <c r="BY23" s="159">
        <v>2</v>
      </c>
      <c r="BZ23" s="159" t="s">
        <v>234</v>
      </c>
    </row>
    <row r="24" spans="1:122">
      <c r="B24" s="75" t="str">
        <f t="shared" ref="B24:B35" si="84">B2</f>
        <v>12a</v>
      </c>
      <c r="C24" s="37" t="str">
        <f>IF(C2="-","-",ROUND(C2*Para!$C$49,0))</f>
        <v>-</v>
      </c>
      <c r="D24" s="37" t="str">
        <f>IF(D2="-","-",ROUND(D2*Para!$C$49,0))</f>
        <v>-</v>
      </c>
      <c r="E24" s="37">
        <f>IF(E2="-","-",ROUND(E2*Para!$C$49,0))</f>
        <v>2960</v>
      </c>
      <c r="F24" s="37">
        <f>IF(F2="-","-",ROUND(F2*Para!$C$49,0))</f>
        <v>3284</v>
      </c>
      <c r="G24" s="37">
        <f>IF(G2="-","-",ROUND(G2*Para!$C$49,0))</f>
        <v>3700</v>
      </c>
      <c r="H24" s="408">
        <f>IF(H2="-","-",ROUND(H2*Para!$C$49,0))</f>
        <v>3885</v>
      </c>
      <c r="R24" s="221" t="s">
        <v>187</v>
      </c>
      <c r="S24" s="158"/>
      <c r="Z24" s="221" t="str">
        <f>$R$24</f>
        <v>aus L Tab</v>
      </c>
      <c r="AH24" s="221" t="str">
        <f>$R$24</f>
        <v>aus L Tab</v>
      </c>
      <c r="AP24" s="221" t="str">
        <f>$R$24</f>
        <v>aus L Tab</v>
      </c>
      <c r="AX24" s="221" t="str">
        <f>$R$24</f>
        <v>aus L Tab</v>
      </c>
      <c r="BF24" s="221" t="str">
        <f>$R$24</f>
        <v>aus L Tab</v>
      </c>
      <c r="BN24" s="221" t="str">
        <f>$R$24</f>
        <v>aus L Tab</v>
      </c>
      <c r="BU24" s="396" t="s">
        <v>327</v>
      </c>
      <c r="BV24" s="221" t="str">
        <f>$R$24</f>
        <v>aus L Tab</v>
      </c>
      <c r="BW24" s="229">
        <v>1.0245</v>
      </c>
      <c r="BX24" s="135" t="str">
        <f>IF(BW24&gt;0,FIXED((BW24-1)*100,2),0)</f>
        <v>2,45</v>
      </c>
    </row>
    <row r="25" spans="1:122">
      <c r="B25" s="75" t="str">
        <f t="shared" si="84"/>
        <v>11b</v>
      </c>
      <c r="C25" s="37" t="str">
        <f>IF(C3="-","-",ROUND(C3*Para!$C$49,0))</f>
        <v>-</v>
      </c>
      <c r="D25" s="37" t="str">
        <f>IF(D3="-","-",ROUND(D3*Para!$C$49,0))</f>
        <v>-</v>
      </c>
      <c r="E25" s="37" t="str">
        <f>IF(E3="-","-",ROUND(E3*Para!$C$49,0))</f>
        <v>-</v>
      </c>
      <c r="F25" s="37">
        <f>IF(F3="-","-",ROUND(F3*Para!$C$49,0))</f>
        <v>2960</v>
      </c>
      <c r="G25" s="37">
        <f>IF(G3="-","-",ROUND(G3*Para!$C$49,0))</f>
        <v>3362</v>
      </c>
      <c r="H25" s="408">
        <f>IF(H3="-","-",ROUND(H3*Para!$C$49,0))</f>
        <v>3547</v>
      </c>
    </row>
    <row r="26" spans="1:122">
      <c r="B26" s="75" t="str">
        <f t="shared" si="84"/>
        <v>11a</v>
      </c>
      <c r="C26" s="37" t="str">
        <f>IF(C4="-","-",ROUND(C4*Para!$C$49,0))</f>
        <v>-</v>
      </c>
      <c r="D26" s="37" t="str">
        <f>IF(D4="-","-",ROUND(D4*Para!$C$49,0))</f>
        <v>-</v>
      </c>
      <c r="E26" s="37">
        <f>IF(E4="-","-",ROUND(E4*Para!$C$49,0))</f>
        <v>2683</v>
      </c>
      <c r="F26" s="37">
        <f>IF(F4="-","-",ROUND(F4*Para!$C$49,0))</f>
        <v>2960</v>
      </c>
      <c r="G26" s="37">
        <f>IF(G4="-","-",ROUND(G4*Para!$C$49,0))</f>
        <v>3362</v>
      </c>
      <c r="H26" s="37" t="str">
        <f>IF(H4="-","-",ROUND(H4*Para!$C$49,0))</f>
        <v>-</v>
      </c>
    </row>
    <row r="27" spans="1:122">
      <c r="B27" s="75" t="str">
        <f t="shared" si="84"/>
        <v>10a</v>
      </c>
      <c r="C27" s="37" t="str">
        <f>IF(C5="-","-",ROUND(C5*Para!$C$49,0))</f>
        <v>-</v>
      </c>
      <c r="D27" s="37" t="str">
        <f>IF(D5="-","-",ROUND(D5*Para!$C$49,0))</f>
        <v>-</v>
      </c>
      <c r="E27" s="37">
        <f>IF(E5="-","-",ROUND(E5*Para!$C$49,0))</f>
        <v>2590</v>
      </c>
      <c r="F27" s="37">
        <f>IF(F5="-","-",ROUND(F5*Para!$C$49,0))</f>
        <v>2775</v>
      </c>
      <c r="G27" s="37">
        <f>IF(G5="-","-",ROUND(G5*Para!$C$49,0))</f>
        <v>3127</v>
      </c>
      <c r="H27" s="37" t="str">
        <f>IF(H5="-","-",ROUND(H5*Para!$C$49,0))</f>
        <v>-</v>
      </c>
    </row>
    <row r="28" spans="1:122">
      <c r="B28" s="75" t="str">
        <f t="shared" si="84"/>
        <v>9d</v>
      </c>
      <c r="C28" s="37" t="str">
        <f>IF(C6="-","-",ROUND(C6*Para!$C$49,0))</f>
        <v>-</v>
      </c>
      <c r="D28" s="37" t="str">
        <f>IF(D6="-","-",ROUND(D6*Para!$C$49,0))</f>
        <v>-</v>
      </c>
      <c r="E28" s="37">
        <f>IF(E6="-","-",ROUND(E6*Para!$C$49,0))</f>
        <v>2525</v>
      </c>
      <c r="F28" s="37">
        <f>IF(F6="-","-",ROUND(F6*Para!$C$49,0))</f>
        <v>2757</v>
      </c>
      <c r="G28" s="37">
        <f>IF(G6="-","-",ROUND(G6*Para!$C$49,0))</f>
        <v>2942</v>
      </c>
      <c r="H28" s="37" t="str">
        <f>IF(H6="-","-",ROUND(H6*Para!$C$49,0))</f>
        <v>-</v>
      </c>
    </row>
    <row r="29" spans="1:122">
      <c r="B29" s="75" t="str">
        <f t="shared" si="84"/>
        <v>9c</v>
      </c>
      <c r="C29" s="37" t="str">
        <f>IF(C7="-","-",ROUND(C7*Para!$C$49,0))</f>
        <v>-</v>
      </c>
      <c r="D29" s="37" t="str">
        <f>IF(D7="-","-",ROUND(D7*Para!$C$49,0))</f>
        <v>-</v>
      </c>
      <c r="E29" s="37">
        <f>IF(E7="-","-",ROUND(E7*Para!$C$49,0))</f>
        <v>2451</v>
      </c>
      <c r="F29" s="37">
        <f>IF(F7="-","-",ROUND(F7*Para!$C$49,0))</f>
        <v>2627</v>
      </c>
      <c r="G29" s="37">
        <f>IF(G7="-","-",ROUND(G7*Para!$C$49,0))</f>
        <v>2794</v>
      </c>
      <c r="H29" s="37" t="str">
        <f>IF(H7="-","-",ROUND(H7*Para!$C$49,0))</f>
        <v>-</v>
      </c>
    </row>
    <row r="30" spans="1:122">
      <c r="B30" s="75" t="str">
        <f t="shared" si="84"/>
        <v>9b</v>
      </c>
      <c r="C30" s="37" t="str">
        <f>IF(C8="-","-",ROUND(C8*Para!$C$49,0))</f>
        <v>-</v>
      </c>
      <c r="D30" s="37" t="str">
        <f>IF(D8="-","-",ROUND(D8*Para!$C$49,0))</f>
        <v>-</v>
      </c>
      <c r="E30" s="37">
        <f>IF(E8="-","-",ROUND(E8*Para!$C$49,0))</f>
        <v>2229</v>
      </c>
      <c r="F30" s="37">
        <f>IF(F8="-","-",ROUND(F8*Para!$C$49,0))</f>
        <v>2525</v>
      </c>
      <c r="G30" s="37">
        <f>IF(G8="-","-",ROUND(G8*Para!$C$49,0))</f>
        <v>2627</v>
      </c>
      <c r="H30" s="37" t="str">
        <f>IF(H8="-","-",ROUND(H8*Para!$C$49,0))</f>
        <v>-</v>
      </c>
      <c r="R30" s="152">
        <v>0.92500000000000004</v>
      </c>
      <c r="S30" s="177" t="str">
        <f t="shared" ref="S30:X30" si="85">S1</f>
        <v>Stufe 1</v>
      </c>
      <c r="T30" s="177" t="str">
        <f t="shared" si="85"/>
        <v>Stufe 2</v>
      </c>
      <c r="U30" s="177" t="str">
        <f t="shared" si="85"/>
        <v>Stufe 3</v>
      </c>
      <c r="V30" s="177" t="str">
        <f t="shared" si="85"/>
        <v>Stufe 4</v>
      </c>
      <c r="W30" s="177" t="str">
        <f t="shared" si="85"/>
        <v>Stufe 5</v>
      </c>
      <c r="X30" s="177" t="str">
        <f t="shared" si="85"/>
        <v>Stufe 6</v>
      </c>
    </row>
    <row r="31" spans="1:122">
      <c r="B31" s="75" t="str">
        <f t="shared" si="84"/>
        <v>9a</v>
      </c>
      <c r="C31" s="37" t="str">
        <f>IF(C9="-","-",ROUND(C9*Para!$C$49,0))</f>
        <v>-</v>
      </c>
      <c r="D31" s="37" t="str">
        <f>IF(D9="-","-",ROUND(D9*Para!$C$49,0))</f>
        <v>-</v>
      </c>
      <c r="E31" s="37">
        <f>IF(E9="-","-",ROUND(E9*Para!$C$49,0))</f>
        <v>2229</v>
      </c>
      <c r="F31" s="37">
        <f>IF(F9="-","-",ROUND(F9*Para!$C$49,0))</f>
        <v>2308</v>
      </c>
      <c r="G31" s="37">
        <f>IF(G9="-","-",ROUND(G9*Para!$C$49,0))</f>
        <v>2451</v>
      </c>
      <c r="H31" s="37" t="str">
        <f>IF(H9="-","-",ROUND(H9*Para!$C$49,0))</f>
        <v>-</v>
      </c>
      <c r="R31" s="177" t="str">
        <f>R2</f>
        <v>12a</v>
      </c>
      <c r="S31" s="138" t="str">
        <f t="shared" ref="S31:X31" si="86">IF(S2="-","-",ROUND(S2*$R$30,2))</f>
        <v>-</v>
      </c>
      <c r="T31" s="138" t="str">
        <f t="shared" si="86"/>
        <v>-</v>
      </c>
      <c r="U31" s="138">
        <f t="shared" si="86"/>
        <v>3177.42</v>
      </c>
      <c r="V31" s="138">
        <f t="shared" si="86"/>
        <v>3520.41</v>
      </c>
      <c r="W31" s="138">
        <f t="shared" si="86"/>
        <v>3963.44</v>
      </c>
      <c r="X31" s="408">
        <f t="shared" si="86"/>
        <v>4159.51</v>
      </c>
    </row>
    <row r="32" spans="1:122">
      <c r="B32" s="75" t="str">
        <f t="shared" si="84"/>
        <v>8a</v>
      </c>
      <c r="C32" s="37">
        <f>IF(C10="-","-",ROUND(C10*Para!$C$49,0))</f>
        <v>1850</v>
      </c>
      <c r="D32" s="37">
        <f>IF(D10="-","-",ROUND(D10*Para!$C$49,0))</f>
        <v>1970</v>
      </c>
      <c r="E32" s="37">
        <f>IF(E10="-","-",ROUND(E10*Para!$C$49,0))</f>
        <v>2072</v>
      </c>
      <c r="F32" s="37">
        <f>IF(F10="-","-",ROUND(F10*Para!$C$49,0))</f>
        <v>2155</v>
      </c>
      <c r="G32" s="37">
        <f>IF(G10="-","-",ROUND(G10*Para!$C$49,0))</f>
        <v>2308</v>
      </c>
      <c r="H32" s="37">
        <f>IF(H10="-","-",ROUND(H10*Para!$C$49,0))</f>
        <v>2451</v>
      </c>
      <c r="R32" s="177" t="str">
        <f t="shared" ref="R32:X47" si="87">R3</f>
        <v>11b</v>
      </c>
      <c r="S32" s="138" t="str">
        <f t="shared" ref="S32:X35" si="88">IF(S3="-","-",ROUND(S3*$R$30,2))</f>
        <v>-</v>
      </c>
      <c r="T32" s="138" t="str">
        <f t="shared" si="88"/>
        <v>-</v>
      </c>
      <c r="U32" s="138" t="str">
        <f t="shared" si="88"/>
        <v>-</v>
      </c>
      <c r="V32" s="138">
        <f t="shared" si="88"/>
        <v>3177.42</v>
      </c>
      <c r="W32" s="138">
        <f t="shared" si="88"/>
        <v>3606.16</v>
      </c>
      <c r="X32" s="408">
        <f t="shared" si="88"/>
        <v>3802.23</v>
      </c>
      <c r="DB32" s="135" t="s">
        <v>568</v>
      </c>
      <c r="DJ32" s="135" t="s">
        <v>566</v>
      </c>
      <c r="DR32" s="135" t="s">
        <v>567</v>
      </c>
    </row>
    <row r="33" spans="1:112">
      <c r="B33" s="75" t="str">
        <f t="shared" si="84"/>
        <v>7a</v>
      </c>
      <c r="C33" s="37">
        <f>IF(C11="-","-",ROUND(C11*Para!$C$49,0))</f>
        <v>1711</v>
      </c>
      <c r="D33" s="37">
        <f>IF(D11="-","-",ROUND(D11*Para!$C$49,0))</f>
        <v>1850</v>
      </c>
      <c r="E33" s="37">
        <f>IF(E11="-","-",ROUND(E11*Para!$C$49,0))</f>
        <v>1970</v>
      </c>
      <c r="F33" s="37">
        <f>IF(F11="-","-",ROUND(F11*Para!$C$49,0))</f>
        <v>2155</v>
      </c>
      <c r="G33" s="37">
        <f>IF(G11="-","-",ROUND(G11*Para!$C$49,0))</f>
        <v>2248</v>
      </c>
      <c r="H33" s="37">
        <f>IF(H11="-","-",ROUND(H11*Para!$C$49,0))</f>
        <v>2343</v>
      </c>
      <c r="R33" s="177" t="str">
        <f t="shared" si="87"/>
        <v>11a</v>
      </c>
      <c r="S33" s="138" t="str">
        <f t="shared" si="88"/>
        <v>-</v>
      </c>
      <c r="T33" s="138" t="str">
        <f t="shared" si="88"/>
        <v>-</v>
      </c>
      <c r="U33" s="138">
        <f t="shared" si="88"/>
        <v>2882.07</v>
      </c>
      <c r="V33" s="138">
        <f t="shared" si="88"/>
        <v>3177.42</v>
      </c>
      <c r="W33" s="138">
        <f t="shared" si="88"/>
        <v>3606.16</v>
      </c>
      <c r="X33" s="138" t="str">
        <f t="shared" si="88"/>
        <v>-</v>
      </c>
    </row>
    <row r="34" spans="1:112">
      <c r="B34" s="75" t="str">
        <f t="shared" si="84"/>
        <v>4a</v>
      </c>
      <c r="C34" s="37">
        <f>IF(C12="-","-",ROUND(C12*Para!$C$49,0))</f>
        <v>1528</v>
      </c>
      <c r="D34" s="37">
        <f>IF(D12="-","-",ROUND(D12*Para!$C$49,0))</f>
        <v>1647</v>
      </c>
      <c r="E34" s="37">
        <f>IF(E12="-","-",ROUND(E12*Para!$C$49,0))</f>
        <v>1758</v>
      </c>
      <c r="F34" s="37">
        <f>IF(F12="-","-",ROUND(F12*Para!$C$49,0))</f>
        <v>1993</v>
      </c>
      <c r="G34" s="37">
        <f>IF(G12="-","-",ROUND(G12*Para!$C$49,0))</f>
        <v>2054</v>
      </c>
      <c r="H34" s="37">
        <f>IF(H12="-","-",ROUND(H12*Para!$C$49,0))</f>
        <v>2165</v>
      </c>
      <c r="R34" s="177" t="str">
        <f t="shared" si="87"/>
        <v>10a</v>
      </c>
      <c r="S34" s="138" t="str">
        <f t="shared" si="88"/>
        <v>-</v>
      </c>
      <c r="T34" s="138" t="str">
        <f t="shared" si="88"/>
        <v>-</v>
      </c>
      <c r="U34" s="138">
        <f t="shared" si="88"/>
        <v>2786.79</v>
      </c>
      <c r="V34" s="138">
        <f t="shared" si="88"/>
        <v>2982.11</v>
      </c>
      <c r="W34" s="138">
        <f t="shared" si="88"/>
        <v>3353.68</v>
      </c>
      <c r="X34" s="138" t="str">
        <f t="shared" si="88"/>
        <v>-</v>
      </c>
      <c r="BV34" s="396" t="s">
        <v>325</v>
      </c>
      <c r="BW34" s="228">
        <v>80</v>
      </c>
      <c r="CT34" s="215" t="s">
        <v>591</v>
      </c>
      <c r="CU34" s="135" t="str">
        <f t="shared" ref="CU34:CZ34" si="89">CU1</f>
        <v>Stufe 1</v>
      </c>
      <c r="CV34" s="135" t="str">
        <f t="shared" si="89"/>
        <v>Stufe 2</v>
      </c>
      <c r="CW34" s="135" t="str">
        <f t="shared" si="89"/>
        <v>Stufe 3</v>
      </c>
      <c r="CX34" s="135" t="str">
        <f t="shared" si="89"/>
        <v>Stufe 4</v>
      </c>
      <c r="CY34" s="135" t="str">
        <f t="shared" si="89"/>
        <v>Stufe 5</v>
      </c>
      <c r="CZ34" s="135" t="str">
        <f t="shared" si="89"/>
        <v>Stufe 6</v>
      </c>
    </row>
    <row r="35" spans="1:112">
      <c r="B35" s="75" t="str">
        <f t="shared" si="84"/>
        <v>3a</v>
      </c>
      <c r="C35" s="37">
        <f>IF(C13="-","-",ROUND(C13*Para!$C$49,0))</f>
        <v>1457</v>
      </c>
      <c r="D35" s="37">
        <f>IF(D13="-","-",ROUND(D13*Para!$C$49,0))</f>
        <v>1619</v>
      </c>
      <c r="E35" s="37">
        <f>IF(E13="-","-",ROUND(E13*Para!$C$49,0))</f>
        <v>1665</v>
      </c>
      <c r="F35" s="37">
        <f>IF(F13="-","-",ROUND(F13*Para!$C$49,0))</f>
        <v>1739</v>
      </c>
      <c r="G35" s="37">
        <f>IF(G13="-","-",ROUND(G13*Para!$C$49,0))</f>
        <v>1795</v>
      </c>
      <c r="H35" s="37">
        <f>IF(H13="-","-",ROUND(H13*Para!$C$49,0))</f>
        <v>1925</v>
      </c>
      <c r="R35" s="177" t="str">
        <f t="shared" si="87"/>
        <v>9d</v>
      </c>
      <c r="S35" s="138" t="str">
        <f t="shared" si="88"/>
        <v>-</v>
      </c>
      <c r="T35" s="138" t="str">
        <f t="shared" si="88"/>
        <v>-</v>
      </c>
      <c r="U35" s="138">
        <f t="shared" si="88"/>
        <v>2715.34</v>
      </c>
      <c r="V35" s="138">
        <f t="shared" si="88"/>
        <v>2963.05</v>
      </c>
      <c r="W35" s="138">
        <f t="shared" si="88"/>
        <v>3158.37</v>
      </c>
      <c r="X35" s="138" t="str">
        <f t="shared" si="88"/>
        <v>-</v>
      </c>
      <c r="AO35" s="161" t="s">
        <v>205</v>
      </c>
      <c r="AP35" s="222" t="str">
        <f>$R$22</f>
        <v>Sockel</v>
      </c>
      <c r="AQ35" s="223">
        <v>0</v>
      </c>
      <c r="AR35" s="159"/>
      <c r="AS35" s="159"/>
      <c r="AT35" s="159"/>
      <c r="AU35" s="159"/>
      <c r="AV35" s="159"/>
      <c r="AW35" s="161" t="s">
        <v>205</v>
      </c>
      <c r="AX35" s="222" t="str">
        <f>$R$22</f>
        <v>Sockel</v>
      </c>
      <c r="AY35" s="231">
        <v>0</v>
      </c>
      <c r="AZ35" s="159"/>
      <c r="BA35" s="159">
        <v>1</v>
      </c>
      <c r="BB35" s="159" t="s">
        <v>233</v>
      </c>
      <c r="BC35" s="162">
        <v>2</v>
      </c>
      <c r="BD35" s="159"/>
      <c r="BE35" s="161" t="s">
        <v>205</v>
      </c>
      <c r="BF35" s="222" t="str">
        <f>$R$22</f>
        <v>Sockel</v>
      </c>
      <c r="BG35" s="231">
        <v>0</v>
      </c>
      <c r="BH35" s="159"/>
      <c r="BI35" s="159">
        <v>1</v>
      </c>
      <c r="BJ35" s="159" t="s">
        <v>233</v>
      </c>
      <c r="BK35" s="162">
        <v>2</v>
      </c>
      <c r="BL35" s="159"/>
      <c r="BM35" s="161" t="s">
        <v>205</v>
      </c>
      <c r="BN35" s="222" t="str">
        <f>$R$22</f>
        <v>Sockel</v>
      </c>
      <c r="BO35" s="231">
        <v>0</v>
      </c>
      <c r="BP35" s="159"/>
      <c r="BQ35" s="159">
        <v>1</v>
      </c>
      <c r="BR35" s="159" t="s">
        <v>233</v>
      </c>
      <c r="BS35" s="162">
        <v>1</v>
      </c>
      <c r="BT35" s="159"/>
      <c r="BU35" s="161" t="s">
        <v>205</v>
      </c>
      <c r="BV35" s="222" t="str">
        <f>$R$22</f>
        <v>Sockel</v>
      </c>
      <c r="BW35" s="232">
        <v>0</v>
      </c>
      <c r="BX35" s="159"/>
      <c r="BY35" s="159">
        <v>1</v>
      </c>
      <c r="BZ35" s="159" t="s">
        <v>233</v>
      </c>
      <c r="CA35" s="162">
        <v>1</v>
      </c>
      <c r="CB35" s="159"/>
      <c r="CT35" s="135" t="s">
        <v>551</v>
      </c>
      <c r="CU35" s="112" t="s">
        <v>15</v>
      </c>
      <c r="CV35" s="156">
        <v>4266.96</v>
      </c>
      <c r="CW35" s="156">
        <v>4416.3100000000004</v>
      </c>
      <c r="CX35" s="156">
        <v>4896.2299999999996</v>
      </c>
      <c r="CY35" s="156">
        <v>5403.11</v>
      </c>
      <c r="CZ35" s="156">
        <v>5717.65</v>
      </c>
      <c r="DC35" s="112" t="str">
        <f t="shared" ref="DC35:DH35" si="90">IF(CU35="-","-",DC2-CU35)</f>
        <v>-</v>
      </c>
      <c r="DD35" s="112">
        <f t="shared" si="90"/>
        <v>128.4399999999996</v>
      </c>
      <c r="DE35" s="112">
        <f t="shared" si="90"/>
        <v>132.92999999999938</v>
      </c>
      <c r="DF35" s="112">
        <f t="shared" si="90"/>
        <v>147.38000000000011</v>
      </c>
      <c r="DG35" s="112">
        <f t="shared" si="90"/>
        <v>162.63000000000011</v>
      </c>
      <c r="DH35" s="112">
        <f t="shared" si="90"/>
        <v>172.10000000000036</v>
      </c>
    </row>
    <row r="36" spans="1:112">
      <c r="B36" s="75"/>
      <c r="C36" s="40"/>
      <c r="D36" s="40"/>
      <c r="E36" s="40"/>
      <c r="F36" s="40"/>
      <c r="G36" s="40"/>
      <c r="H36" s="40"/>
      <c r="R36" s="177" t="str">
        <f t="shared" si="87"/>
        <v>9c</v>
      </c>
      <c r="S36" s="138" t="str">
        <f t="shared" ref="S36:X36" si="91">S7</f>
        <v>-</v>
      </c>
      <c r="T36" s="138" t="str">
        <f t="shared" si="91"/>
        <v>-</v>
      </c>
      <c r="U36" s="138">
        <f t="shared" si="91"/>
        <v>2853.1</v>
      </c>
      <c r="V36" s="138">
        <f t="shared" si="91"/>
        <v>3053.95</v>
      </c>
      <c r="W36" s="138">
        <f t="shared" si="91"/>
        <v>3244.5</v>
      </c>
      <c r="X36" s="138" t="str">
        <f t="shared" si="91"/>
        <v>-</v>
      </c>
      <c r="AO36" s="161" t="s">
        <v>205</v>
      </c>
      <c r="AP36" s="222" t="str">
        <f>$R$23</f>
        <v>linear</v>
      </c>
      <c r="AQ36" s="159">
        <v>1.026</v>
      </c>
      <c r="AR36" s="159" t="str">
        <f>IF(AQ36&gt;0,FIXED((AQ36-1)*100,2),0)</f>
        <v>2,60</v>
      </c>
      <c r="AS36" s="159"/>
      <c r="AT36" s="159"/>
      <c r="AU36" s="159"/>
      <c r="AV36" s="159"/>
      <c r="AW36" s="161" t="s">
        <v>205</v>
      </c>
      <c r="AX36" s="222" t="str">
        <f>$R$23</f>
        <v>linear</v>
      </c>
      <c r="AY36" s="232">
        <v>1.028</v>
      </c>
      <c r="AZ36" s="159" t="str">
        <f>IF(AY36&gt;0,FIXED((AY36-1)*100,2),0)</f>
        <v>2,80</v>
      </c>
      <c r="BA36" s="159">
        <v>2</v>
      </c>
      <c r="BB36" s="159" t="s">
        <v>234</v>
      </c>
      <c r="BC36" s="159"/>
      <c r="BD36" s="159"/>
      <c r="BE36" s="161" t="s">
        <v>205</v>
      </c>
      <c r="BF36" s="222" t="str">
        <f>$R$23</f>
        <v>linear</v>
      </c>
      <c r="BG36" s="232">
        <v>1.028</v>
      </c>
      <c r="BH36" s="159" t="str">
        <f>IF(BG36&gt;0,FIXED((BG36-1)*100,2),0)</f>
        <v>2,80</v>
      </c>
      <c r="BI36" s="159">
        <v>2</v>
      </c>
      <c r="BJ36" s="159" t="s">
        <v>234</v>
      </c>
      <c r="BK36" s="159"/>
      <c r="BL36" s="159"/>
      <c r="BM36" s="161" t="s">
        <v>205</v>
      </c>
      <c r="BN36" s="222" t="str">
        <f>$R$23</f>
        <v>linear</v>
      </c>
      <c r="BO36" s="232">
        <v>1.02</v>
      </c>
      <c r="BP36" s="159" t="str">
        <f>IF(BO36&gt;0,FIXED((BO36-1)*100,2),0)</f>
        <v>2,00</v>
      </c>
      <c r="BQ36" s="159">
        <v>2</v>
      </c>
      <c r="BR36" s="159" t="s">
        <v>234</v>
      </c>
      <c r="BS36" s="159"/>
      <c r="BT36" s="159"/>
      <c r="BU36" s="161" t="s">
        <v>205</v>
      </c>
      <c r="BV36" s="222" t="str">
        <f>$R$23</f>
        <v>linear</v>
      </c>
      <c r="BW36" s="232">
        <v>1.024</v>
      </c>
      <c r="BX36" s="159" t="str">
        <f>IF(BW36&gt;0,FIXED((BW36-1)*100,2),0)</f>
        <v>2,40</v>
      </c>
      <c r="BY36" s="159">
        <v>2</v>
      </c>
      <c r="BZ36" s="159" t="s">
        <v>234</v>
      </c>
      <c r="CA36" s="159"/>
      <c r="CB36" s="159"/>
      <c r="CT36" s="135" t="s">
        <v>552</v>
      </c>
      <c r="CU36" s="112" t="s">
        <v>15</v>
      </c>
      <c r="CV36" s="156">
        <v>4168.28</v>
      </c>
      <c r="CW36" s="156">
        <v>4314.41</v>
      </c>
      <c r="CX36" s="156">
        <v>4786.24</v>
      </c>
      <c r="CY36" s="156">
        <v>5336.25</v>
      </c>
      <c r="CZ36" s="156">
        <v>5578.86</v>
      </c>
      <c r="DC36" s="112" t="str">
        <f t="shared" ref="DC36:DC47" si="92">IF(CU36="-","-",DC3-CU36)</f>
        <v>-</v>
      </c>
      <c r="DD36" s="112">
        <f t="shared" ref="DD36:DD47" si="93">IF(CV36="-","-",DD3-CV36)</f>
        <v>125.47000000000025</v>
      </c>
      <c r="DE36" s="112">
        <f t="shared" ref="DE36:DE47" si="94">IF(CW36="-","-",DE3-CW36)</f>
        <v>129.86000000000058</v>
      </c>
      <c r="DF36" s="112">
        <f t="shared" ref="DF36:DF47" si="95">IF(CX36="-","-",DF3-CX36)</f>
        <v>144.07000000000062</v>
      </c>
      <c r="DG36" s="112">
        <f t="shared" ref="DG36:DG47" si="96">IF(CY36="-","-",DG3-CY36)</f>
        <v>160.61999999999989</v>
      </c>
      <c r="DH36" s="112">
        <f t="shared" ref="DH36:DH47" si="97">IF(CZ36="-","-",DH3-CZ36)</f>
        <v>167.92000000000007</v>
      </c>
    </row>
    <row r="37" spans="1:112">
      <c r="B37" s="75"/>
      <c r="C37" s="40"/>
      <c r="D37" s="40"/>
      <c r="E37" s="40"/>
      <c r="F37" s="40"/>
      <c r="G37" s="40"/>
      <c r="H37" s="40"/>
      <c r="R37" s="177" t="str">
        <f t="shared" si="87"/>
        <v>9b</v>
      </c>
      <c r="S37" s="138" t="str">
        <f t="shared" si="87"/>
        <v>-</v>
      </c>
      <c r="T37" s="138" t="str">
        <f t="shared" si="87"/>
        <v>-</v>
      </c>
      <c r="U37" s="138">
        <f t="shared" si="87"/>
        <v>2595.6</v>
      </c>
      <c r="V37" s="138">
        <f t="shared" si="87"/>
        <v>2935.5</v>
      </c>
      <c r="W37" s="138">
        <f t="shared" si="87"/>
        <v>3053.95</v>
      </c>
      <c r="X37" s="138" t="str">
        <f t="shared" si="87"/>
        <v>-</v>
      </c>
      <c r="AO37" s="159"/>
      <c r="AP37" s="224" t="str">
        <f>$R$24</f>
        <v>aus L Tab</v>
      </c>
      <c r="AQ37" s="159"/>
      <c r="AR37" s="159"/>
      <c r="AS37" s="159"/>
      <c r="AT37" s="159"/>
      <c r="AU37" s="159"/>
      <c r="AV37" s="159"/>
      <c r="AW37" s="159"/>
      <c r="AX37" s="224" t="str">
        <f>$R$24</f>
        <v>aus L Tab</v>
      </c>
      <c r="AY37" s="159"/>
      <c r="AZ37" s="159"/>
      <c r="BA37" s="159"/>
      <c r="BB37" s="159"/>
      <c r="BC37" s="159"/>
      <c r="BD37" s="159"/>
      <c r="BE37" s="159"/>
      <c r="BF37" s="224" t="str">
        <f>$R$24</f>
        <v>aus L Tab</v>
      </c>
      <c r="BG37" s="159"/>
      <c r="BH37" s="159"/>
      <c r="BI37" s="159"/>
      <c r="BJ37" s="159"/>
      <c r="BK37" s="159"/>
      <c r="BL37" s="159"/>
      <c r="BM37" s="159"/>
      <c r="BN37" s="224" t="str">
        <f>$R$24</f>
        <v>aus L Tab</v>
      </c>
      <c r="BO37" s="159"/>
      <c r="BP37" s="159"/>
      <c r="BQ37" s="159"/>
      <c r="BR37" s="159"/>
      <c r="BS37" s="159"/>
      <c r="BT37" s="159"/>
      <c r="BU37" s="396" t="s">
        <v>327</v>
      </c>
      <c r="BV37" s="224" t="str">
        <f>$R$24</f>
        <v>aus L Tab</v>
      </c>
      <c r="BW37" s="229">
        <v>1.0255000000000001</v>
      </c>
      <c r="BX37" s="159" t="str">
        <f>IF(BW37&gt;0,FIXED((BW37-1)*100,2),0)</f>
        <v>2,55</v>
      </c>
      <c r="BY37" s="159"/>
      <c r="BZ37" s="159"/>
      <c r="CA37" s="159"/>
      <c r="CB37" s="159"/>
      <c r="CT37" s="135" t="s">
        <v>553</v>
      </c>
      <c r="CU37" s="112" t="s">
        <v>15</v>
      </c>
      <c r="CV37" s="156">
        <v>4078.76</v>
      </c>
      <c r="CW37" s="156">
        <v>4212.4799999999996</v>
      </c>
      <c r="CX37" s="156">
        <v>4546.8100000000004</v>
      </c>
      <c r="CY37" s="156">
        <v>4946.92</v>
      </c>
      <c r="CZ37" s="156">
        <v>5099.7299999999996</v>
      </c>
      <c r="DC37" s="112" t="str">
        <f t="shared" si="92"/>
        <v>-</v>
      </c>
      <c r="DD37" s="112">
        <f t="shared" si="93"/>
        <v>122.76999999999953</v>
      </c>
      <c r="DE37" s="112">
        <f t="shared" si="94"/>
        <v>126.80000000000018</v>
      </c>
      <c r="DF37" s="112">
        <f t="shared" si="95"/>
        <v>136.85999999999967</v>
      </c>
      <c r="DG37" s="112">
        <f t="shared" si="96"/>
        <v>148.89999999999964</v>
      </c>
      <c r="DH37" s="112">
        <f t="shared" si="97"/>
        <v>153.5</v>
      </c>
    </row>
    <row r="38" spans="1:112">
      <c r="B38" s="75"/>
      <c r="C38" s="40"/>
      <c r="D38" s="40"/>
      <c r="E38" s="40"/>
      <c r="F38" s="40"/>
      <c r="G38" s="40"/>
      <c r="H38" s="40"/>
      <c r="R38" s="177" t="str">
        <f t="shared" si="87"/>
        <v>9a</v>
      </c>
      <c r="S38" s="138" t="str">
        <f t="shared" si="87"/>
        <v>-</v>
      </c>
      <c r="T38" s="138" t="str">
        <f t="shared" si="87"/>
        <v>-</v>
      </c>
      <c r="U38" s="138">
        <f t="shared" si="87"/>
        <v>2595.6</v>
      </c>
      <c r="V38" s="138">
        <f t="shared" si="87"/>
        <v>2688.3</v>
      </c>
      <c r="W38" s="138">
        <f t="shared" si="87"/>
        <v>2853.1</v>
      </c>
      <c r="X38" s="138" t="str">
        <f t="shared" si="87"/>
        <v>-</v>
      </c>
      <c r="AO38" s="159"/>
      <c r="AP38" s="162" t="s">
        <v>196</v>
      </c>
      <c r="AQ38" s="159"/>
      <c r="AR38" s="159"/>
      <c r="AS38" s="159"/>
      <c r="AT38" s="159"/>
      <c r="AU38" s="159"/>
      <c r="AV38" s="159"/>
      <c r="AW38" s="159"/>
      <c r="AX38" s="162" t="s">
        <v>196</v>
      </c>
      <c r="AY38" s="159"/>
      <c r="AZ38" s="159"/>
      <c r="BA38" s="159"/>
      <c r="BB38" s="159"/>
      <c r="BC38" s="159"/>
      <c r="BD38" s="159"/>
      <c r="BE38" s="159"/>
      <c r="BF38" s="162" t="s">
        <v>196</v>
      </c>
      <c r="BG38" s="159"/>
      <c r="BH38" s="159"/>
      <c r="BI38" s="159"/>
      <c r="BJ38" s="159"/>
      <c r="BK38" s="159"/>
      <c r="BL38" s="159"/>
      <c r="BM38" s="159"/>
      <c r="BN38" s="162" t="s">
        <v>196</v>
      </c>
      <c r="BO38" s="159"/>
      <c r="BP38" s="159"/>
      <c r="BQ38" s="159"/>
      <c r="BR38" s="159"/>
      <c r="BS38" s="159"/>
      <c r="BT38" s="159"/>
      <c r="BU38" s="159"/>
      <c r="BV38" s="162" t="s">
        <v>196</v>
      </c>
      <c r="BW38" s="159"/>
      <c r="BX38" s="159"/>
      <c r="BY38" s="159"/>
      <c r="BZ38" s="159"/>
      <c r="CA38" s="159"/>
      <c r="CB38" s="159"/>
      <c r="CT38" s="135" t="s">
        <v>554</v>
      </c>
      <c r="CU38" s="112" t="s">
        <v>15</v>
      </c>
      <c r="CV38" s="156">
        <v>3980.08</v>
      </c>
      <c r="CW38" s="156">
        <v>4110.58</v>
      </c>
      <c r="CX38" s="156">
        <v>4436.82</v>
      </c>
      <c r="CY38" s="156">
        <v>4880.0600000000004</v>
      </c>
      <c r="CZ38" s="156">
        <v>4960.9399999999996</v>
      </c>
      <c r="DC38" s="112" t="str">
        <f t="shared" si="92"/>
        <v>-</v>
      </c>
      <c r="DD38" s="112">
        <f t="shared" si="93"/>
        <v>119.80000000000018</v>
      </c>
      <c r="DE38" s="112">
        <f t="shared" si="94"/>
        <v>123.73000000000047</v>
      </c>
      <c r="DF38" s="112">
        <f t="shared" si="95"/>
        <v>133.55000000000018</v>
      </c>
      <c r="DG38" s="112">
        <f t="shared" si="96"/>
        <v>146.88999999999942</v>
      </c>
      <c r="DH38" s="112">
        <f t="shared" si="97"/>
        <v>149.32000000000062</v>
      </c>
    </row>
    <row r="39" spans="1:112">
      <c r="B39" s="75"/>
      <c r="C39" s="37"/>
      <c r="D39" s="37"/>
      <c r="E39" s="37"/>
      <c r="F39" s="37"/>
      <c r="G39" s="37"/>
      <c r="H39" s="37"/>
      <c r="R39" s="177" t="str">
        <f t="shared" si="87"/>
        <v>8a</v>
      </c>
      <c r="S39" s="138">
        <f t="shared" si="87"/>
        <v>2163</v>
      </c>
      <c r="T39" s="138">
        <f t="shared" si="87"/>
        <v>2302.0500000000002</v>
      </c>
      <c r="U39" s="138">
        <f t="shared" si="87"/>
        <v>2415.35</v>
      </c>
      <c r="V39" s="138">
        <f t="shared" si="87"/>
        <v>2513.1999999999998</v>
      </c>
      <c r="W39" s="138">
        <f t="shared" si="87"/>
        <v>2688.3</v>
      </c>
      <c r="X39" s="138">
        <f t="shared" si="87"/>
        <v>2853.1</v>
      </c>
      <c r="AO39" s="159"/>
      <c r="AP39" s="162" t="str">
        <f>Para!F163</f>
        <v>( ab 1.03.2012 )</v>
      </c>
      <c r="AQ39" s="159"/>
      <c r="AR39" s="159"/>
      <c r="AS39" s="159"/>
      <c r="AT39" s="159"/>
      <c r="AU39" s="159"/>
      <c r="AV39" s="159"/>
      <c r="AW39" s="159"/>
      <c r="AX39" s="162" t="str">
        <f>Para!F164</f>
        <v>( ab 1.07.2013 )</v>
      </c>
      <c r="AY39" s="159"/>
      <c r="AZ39" s="159"/>
      <c r="BA39" s="159"/>
      <c r="BB39" s="159"/>
      <c r="BC39" s="159"/>
      <c r="BD39" s="159"/>
      <c r="BE39" s="159"/>
      <c r="BF39" s="162" t="str">
        <f>Para!F165</f>
        <v>( ab 1.04.2014 )</v>
      </c>
      <c r="BG39" s="159"/>
      <c r="BH39" s="159"/>
      <c r="BI39" s="159"/>
      <c r="BJ39" s="159"/>
      <c r="BK39" s="159"/>
      <c r="BL39" s="159"/>
      <c r="BM39" s="159"/>
      <c r="BN39" s="162" t="str">
        <f>Para!F166</f>
        <v>( ab 1.03.2015 )</v>
      </c>
      <c r="BO39" s="159"/>
      <c r="BP39" s="159"/>
      <c r="BQ39" s="159"/>
      <c r="BR39" s="159"/>
      <c r="BS39" s="159"/>
      <c r="BT39" s="159"/>
      <c r="BU39" s="159"/>
      <c r="BV39" s="162" t="str">
        <f>Para!F167</f>
        <v>( ab 1.04.2016 )</v>
      </c>
      <c r="BW39" s="159"/>
      <c r="BX39" s="159"/>
      <c r="BY39" s="159"/>
      <c r="BZ39" s="159"/>
      <c r="CA39" s="159"/>
      <c r="CB39" s="159"/>
      <c r="CT39" s="135" t="s">
        <v>555</v>
      </c>
      <c r="CU39" s="112" t="s">
        <v>15</v>
      </c>
      <c r="CV39" s="156">
        <v>3881.41</v>
      </c>
      <c r="CW39" s="156">
        <v>4008.67</v>
      </c>
      <c r="CX39" s="156">
        <v>4326.8</v>
      </c>
      <c r="CY39" s="156">
        <v>4556.5200000000004</v>
      </c>
      <c r="CZ39" s="156">
        <v>4615.83</v>
      </c>
      <c r="DC39" s="112" t="str">
        <f t="shared" si="92"/>
        <v>-</v>
      </c>
      <c r="DD39" s="112">
        <f t="shared" si="93"/>
        <v>116.82999999999993</v>
      </c>
      <c r="DE39" s="112">
        <f t="shared" si="94"/>
        <v>120.65999999999985</v>
      </c>
      <c r="DF39" s="112">
        <f t="shared" si="95"/>
        <v>130.23999999999978</v>
      </c>
      <c r="DG39" s="112">
        <f t="shared" si="96"/>
        <v>137.14999999999964</v>
      </c>
      <c r="DH39" s="112">
        <f t="shared" si="97"/>
        <v>138.94000000000051</v>
      </c>
    </row>
    <row r="40" spans="1:112">
      <c r="B40" s="75"/>
      <c r="C40" s="37"/>
      <c r="D40" s="37"/>
      <c r="E40" s="37"/>
      <c r="F40" s="37"/>
      <c r="G40" s="37"/>
      <c r="H40" s="37"/>
      <c r="R40" s="177" t="str">
        <f t="shared" si="87"/>
        <v>7a</v>
      </c>
      <c r="S40" s="138">
        <f t="shared" si="87"/>
        <v>2003.35</v>
      </c>
      <c r="T40" s="138">
        <f t="shared" si="87"/>
        <v>2163</v>
      </c>
      <c r="U40" s="138">
        <f t="shared" si="87"/>
        <v>2302.0500000000002</v>
      </c>
      <c r="V40" s="138">
        <f t="shared" si="87"/>
        <v>2513.1999999999998</v>
      </c>
      <c r="W40" s="138">
        <f t="shared" si="87"/>
        <v>2621.35</v>
      </c>
      <c r="X40" s="138">
        <f t="shared" si="87"/>
        <v>2729.5</v>
      </c>
      <c r="AO40" s="159"/>
      <c r="AP40" s="162" t="str">
        <f>Para!G163</f>
        <v>Stand 1.03.2012</v>
      </c>
      <c r="AQ40" s="159"/>
      <c r="AR40" s="159"/>
      <c r="AS40" s="159"/>
      <c r="AT40" s="159"/>
      <c r="AU40" s="159"/>
      <c r="AV40" s="159"/>
      <c r="AW40" s="159"/>
      <c r="AX40" s="162" t="str">
        <f>Para!G164</f>
        <v>Stand 1.07.2013</v>
      </c>
      <c r="AY40" s="159"/>
      <c r="AZ40" s="159"/>
      <c r="BA40" s="159"/>
      <c r="BB40" s="159"/>
      <c r="BC40" s="159"/>
      <c r="BD40" s="159"/>
      <c r="BE40" s="159"/>
      <c r="BF40" s="162" t="str">
        <f>Para!G165</f>
        <v>Stand 1.04.2014</v>
      </c>
      <c r="BG40" s="159"/>
      <c r="BH40" s="159"/>
      <c r="BI40" s="159"/>
      <c r="BJ40" s="159"/>
      <c r="BK40" s="159"/>
      <c r="BL40" s="159"/>
      <c r="BM40" s="159"/>
      <c r="BN40" s="162" t="str">
        <f>Para!G166</f>
        <v>Stand 1.03.2015</v>
      </c>
      <c r="BO40" s="159"/>
      <c r="BP40" s="159"/>
      <c r="BQ40" s="159"/>
      <c r="BR40" s="159"/>
      <c r="BS40" s="159"/>
      <c r="BT40" s="159"/>
      <c r="BU40" s="159"/>
      <c r="BV40" s="162" t="str">
        <f>Para!G167</f>
        <v>Stand 1.04.2016</v>
      </c>
      <c r="BW40" s="159"/>
      <c r="BX40" s="159"/>
      <c r="BY40" s="159"/>
      <c r="BZ40" s="159"/>
      <c r="CA40" s="159"/>
      <c r="CB40" s="159"/>
      <c r="CT40" s="135" t="s">
        <v>556</v>
      </c>
      <c r="CU40" s="112" t="s">
        <v>15</v>
      </c>
      <c r="CV40" s="156">
        <v>3684.03</v>
      </c>
      <c r="CW40" s="156">
        <v>3804.83</v>
      </c>
      <c r="CX40" s="156">
        <v>4106.8</v>
      </c>
      <c r="CY40" s="156">
        <v>4292.29</v>
      </c>
      <c r="CZ40" s="156">
        <v>4378.57</v>
      </c>
      <c r="DC40" s="112" t="str">
        <f t="shared" si="92"/>
        <v>-</v>
      </c>
      <c r="DD40" s="112">
        <f t="shared" si="93"/>
        <v>110.88999999999987</v>
      </c>
      <c r="DE40" s="112">
        <f t="shared" si="94"/>
        <v>114.5300000000002</v>
      </c>
      <c r="DF40" s="112">
        <f t="shared" si="95"/>
        <v>123.60999999999967</v>
      </c>
      <c r="DG40" s="112">
        <f t="shared" si="96"/>
        <v>129.19999999999982</v>
      </c>
      <c r="DH40" s="112">
        <f t="shared" si="97"/>
        <v>131.78999999999996</v>
      </c>
    </row>
    <row r="41" spans="1:112">
      <c r="B41" s="75"/>
      <c r="C41" s="37"/>
      <c r="D41" s="37"/>
      <c r="E41" s="37"/>
      <c r="F41" s="37"/>
      <c r="G41" s="37"/>
      <c r="H41" s="37"/>
      <c r="R41" s="177" t="str">
        <f t="shared" si="87"/>
        <v>4a</v>
      </c>
      <c r="S41" s="138">
        <f t="shared" si="87"/>
        <v>1792.2</v>
      </c>
      <c r="T41" s="138">
        <f t="shared" si="87"/>
        <v>1931.25</v>
      </c>
      <c r="U41" s="138">
        <f t="shared" si="87"/>
        <v>2060</v>
      </c>
      <c r="V41" s="138">
        <f t="shared" si="87"/>
        <v>2327.8000000000002</v>
      </c>
      <c r="W41" s="138">
        <f t="shared" si="87"/>
        <v>2394.75</v>
      </c>
      <c r="X41" s="138">
        <f t="shared" si="87"/>
        <v>2523.5</v>
      </c>
      <c r="AO41" s="161"/>
      <c r="AP41" s="225" t="str">
        <f>Para!E163</f>
        <v>ab 1.03.2012</v>
      </c>
      <c r="AQ41" s="159"/>
      <c r="AR41" s="159"/>
      <c r="AS41" s="159"/>
      <c r="AT41" s="159"/>
      <c r="AU41" s="159"/>
      <c r="AV41" s="159"/>
      <c r="AW41" s="161"/>
      <c r="AX41" s="225" t="str">
        <f>Para!E164</f>
        <v>ab 1.07.2013</v>
      </c>
      <c r="AY41" s="159"/>
      <c r="AZ41" s="159"/>
      <c r="BA41" s="159"/>
      <c r="BB41" s="159"/>
      <c r="BC41" s="159"/>
      <c r="BD41" s="159"/>
      <c r="BE41" s="161"/>
      <c r="BF41" s="225" t="str">
        <f>Para!E165</f>
        <v>ab 1.04.2014</v>
      </c>
      <c r="BG41" s="159"/>
      <c r="BH41" s="159"/>
      <c r="BI41" s="159"/>
      <c r="BJ41" s="159"/>
      <c r="BK41" s="159"/>
      <c r="BL41" s="159"/>
      <c r="BM41" s="161"/>
      <c r="BN41" s="225" t="str">
        <f>Para!E166</f>
        <v>ab 1.03.2015</v>
      </c>
      <c r="BO41" s="159"/>
      <c r="BP41" s="159"/>
      <c r="BQ41" s="159"/>
      <c r="BR41" s="159"/>
      <c r="BS41" s="159"/>
      <c r="BT41" s="159"/>
      <c r="BU41" s="161"/>
      <c r="BV41" s="225" t="str">
        <f>Para!E167</f>
        <v>ab 1.04.2016</v>
      </c>
      <c r="BW41" s="159"/>
      <c r="BX41" s="159"/>
      <c r="BY41" s="159"/>
      <c r="BZ41" s="159"/>
      <c r="CA41" s="159"/>
      <c r="CB41" s="159"/>
      <c r="CT41" s="135" t="s">
        <v>557</v>
      </c>
      <c r="CU41" s="112" t="s">
        <v>15</v>
      </c>
      <c r="CV41" s="156">
        <v>3486.68</v>
      </c>
      <c r="CW41" s="156">
        <v>3601</v>
      </c>
      <c r="CX41" s="156">
        <v>3886.8</v>
      </c>
      <c r="CY41" s="156">
        <v>4076.6</v>
      </c>
      <c r="CZ41" s="156">
        <v>4162.88</v>
      </c>
      <c r="DC41" s="112" t="str">
        <f t="shared" si="92"/>
        <v>-</v>
      </c>
      <c r="DD41" s="112">
        <f t="shared" si="93"/>
        <v>104.95000000000027</v>
      </c>
      <c r="DE41" s="112">
        <f t="shared" si="94"/>
        <v>108.38999999999987</v>
      </c>
      <c r="DF41" s="112">
        <f t="shared" si="95"/>
        <v>116.98999999999978</v>
      </c>
      <c r="DG41" s="112">
        <f t="shared" si="96"/>
        <v>122.71000000000049</v>
      </c>
      <c r="DH41" s="112">
        <f t="shared" si="97"/>
        <v>125.30000000000018</v>
      </c>
    </row>
    <row r="42" spans="1:112">
      <c r="R42" s="177" t="str">
        <f t="shared" si="87"/>
        <v>3a</v>
      </c>
      <c r="S42" s="138">
        <f t="shared" si="87"/>
        <v>1714.95</v>
      </c>
      <c r="T42" s="138">
        <f t="shared" si="87"/>
        <v>1900.35</v>
      </c>
      <c r="U42" s="138">
        <f t="shared" si="87"/>
        <v>1951.85</v>
      </c>
      <c r="V42" s="138">
        <f t="shared" si="87"/>
        <v>2034.25</v>
      </c>
      <c r="W42" s="138">
        <f t="shared" si="87"/>
        <v>2101.1999999999998</v>
      </c>
      <c r="X42" s="138">
        <f t="shared" si="87"/>
        <v>2250.5500000000002</v>
      </c>
      <c r="AO42" s="161"/>
      <c r="AP42" s="162" t="str">
        <f>Para!H163</f>
        <v xml:space="preserve"> (gilt bis 30.06.2013)</v>
      </c>
      <c r="AQ42" s="159"/>
      <c r="AR42" s="159"/>
      <c r="AS42" s="159"/>
      <c r="AT42" s="159"/>
      <c r="AU42" s="159"/>
      <c r="AV42" s="159"/>
      <c r="AW42" s="161"/>
      <c r="AX42" s="162" t="str">
        <f>Para!H164</f>
        <v xml:space="preserve"> (gilt bis 31.03.2014)</v>
      </c>
      <c r="AY42" s="159"/>
      <c r="AZ42" s="159"/>
      <c r="BA42" s="159"/>
      <c r="BB42" s="159"/>
      <c r="BC42" s="159"/>
      <c r="BD42" s="159"/>
      <c r="BE42" s="161"/>
      <c r="BF42" s="162" t="str">
        <f>Para!H165</f>
        <v xml:space="preserve"> (mind bis 31.12.2014)</v>
      </c>
      <c r="BG42" s="159"/>
      <c r="BH42" s="159"/>
      <c r="BI42" s="159"/>
      <c r="BJ42" s="159"/>
      <c r="BK42" s="159"/>
      <c r="BL42" s="159"/>
      <c r="BM42" s="161"/>
      <c r="BN42" s="162" t="str">
        <f>Para!H166</f>
        <v xml:space="preserve"> (gilt bis 31.03.2016)</v>
      </c>
      <c r="BO42" s="159"/>
      <c r="BP42" s="159"/>
      <c r="BQ42" s="159"/>
      <c r="BR42" s="159"/>
      <c r="BS42" s="159"/>
      <c r="BT42" s="159"/>
      <c r="BU42" s="161"/>
      <c r="BV42" s="162" t="str">
        <f>Para!H167</f>
        <v xml:space="preserve"> (mind bis 31.12.2016)</v>
      </c>
      <c r="BW42" s="159"/>
      <c r="BX42" s="159"/>
      <c r="BY42" s="159"/>
      <c r="BZ42" s="159"/>
      <c r="CA42" s="159"/>
      <c r="CB42" s="159"/>
      <c r="CT42" s="135" t="s">
        <v>558</v>
      </c>
      <c r="CU42" s="112" t="s">
        <v>15</v>
      </c>
      <c r="CV42" s="156">
        <v>3289.33</v>
      </c>
      <c r="CW42" s="156">
        <v>3397.17</v>
      </c>
      <c r="CX42" s="156">
        <v>3699.14</v>
      </c>
      <c r="CY42" s="156">
        <v>3844.73</v>
      </c>
      <c r="CZ42" s="156">
        <v>3936.4</v>
      </c>
      <c r="DC42" s="112" t="str">
        <f t="shared" si="92"/>
        <v>-</v>
      </c>
      <c r="DD42" s="112">
        <f t="shared" si="93"/>
        <v>99.010000000000218</v>
      </c>
      <c r="DE42" s="112">
        <f t="shared" si="94"/>
        <v>102.25</v>
      </c>
      <c r="DF42" s="112">
        <f t="shared" si="95"/>
        <v>111.34000000000015</v>
      </c>
      <c r="DG42" s="112">
        <f t="shared" si="96"/>
        <v>115.73000000000002</v>
      </c>
      <c r="DH42" s="112">
        <f t="shared" si="97"/>
        <v>118.48999999999978</v>
      </c>
    </row>
    <row r="43" spans="1:112">
      <c r="R43" s="177" t="str">
        <f t="shared" si="87"/>
        <v/>
      </c>
      <c r="S43" s="138" t="str">
        <f t="shared" si="87"/>
        <v/>
      </c>
      <c r="T43" s="138" t="str">
        <f t="shared" si="87"/>
        <v/>
      </c>
      <c r="U43" s="138" t="str">
        <f t="shared" si="87"/>
        <v/>
      </c>
      <c r="V43" s="138" t="str">
        <f t="shared" si="87"/>
        <v/>
      </c>
      <c r="W43" s="138" t="str">
        <f t="shared" si="87"/>
        <v/>
      </c>
      <c r="X43" s="138" t="str">
        <f t="shared" si="87"/>
        <v/>
      </c>
      <c r="AO43" s="159"/>
      <c r="AP43" s="159" t="str">
        <f>IF(AND(AQ35&gt;0,AQ36&gt;1)," ( + "&amp;AQ35&amp;" Euro ",IF(AND(AQ35&gt;0,AQ36=1)," ( + "&amp;AQ35&amp;" Euro) ",""))</f>
        <v/>
      </c>
      <c r="AQ43" s="159"/>
      <c r="AR43" s="159"/>
      <c r="AS43" s="159"/>
      <c r="AT43" s="159"/>
      <c r="AU43" s="159"/>
      <c r="AV43" s="159"/>
      <c r="AW43" s="159"/>
      <c r="AX43" s="135" t="str">
        <f>IF(AND(AY35=0,AY36&gt;1)," ( + "&amp;AZ36&amp;" % ) ",IF(AND(AY35&gt;0,AY36&gt;1,BC35=1)," ( + "&amp;AY35&amp;" Euro ",IF(AND(AY35&gt;0,AY36&gt;1,BC35=2)," ( + "&amp;AZ36&amp;" % ","")))</f>
        <v xml:space="preserve"> ( + 2,80 % ) </v>
      </c>
      <c r="AY43" s="159"/>
      <c r="AZ43" s="159"/>
      <c r="BA43" s="159"/>
      <c r="BB43" s="159"/>
      <c r="BC43" s="159"/>
      <c r="BD43" s="159"/>
      <c r="BE43" s="159"/>
      <c r="BF43" s="135" t="str">
        <f>IF(AND(BG35=0,BG36&gt;1)," ( + "&amp;BH36&amp;" % ) ",IF(AND(BG35&gt;0,BG36&gt;1,BK35=1)," ( + "&amp;BG35&amp;" Euro ",IF(AND(BG35&gt;0,BG36&gt;1,BK35=2)," ( + "&amp;BH36&amp;" % ","")))</f>
        <v xml:space="preserve"> ( + 2,80 % ) </v>
      </c>
      <c r="BG43" s="159"/>
      <c r="BH43" s="159"/>
      <c r="BI43" s="159"/>
      <c r="BJ43" s="159"/>
      <c r="BK43" s="159"/>
      <c r="BL43" s="159"/>
      <c r="BM43" s="159"/>
      <c r="BN43" s="135" t="str">
        <f>IF(AND(BO35=0,BO36&gt;1)," ( + "&amp;BP36&amp;" % ) ",IF(AND(BO35&gt;0,BO36&gt;1,BS35=1)," ( + "&amp;BO35&amp;" Euro ",IF(AND(BO35&gt;0,BO36&gt;1,BS35=2)," ( + "&amp;BP36&amp;" % ","")))</f>
        <v xml:space="preserve"> ( + 2,00 % ) </v>
      </c>
      <c r="BO43" s="159"/>
      <c r="BP43" s="159"/>
      <c r="BQ43" s="159"/>
      <c r="BR43" s="159"/>
      <c r="BS43" s="159"/>
      <c r="BT43" s="159"/>
      <c r="BU43" s="159"/>
      <c r="BV43" s="135" t="str">
        <f>IF(AND(BW35=0,BW36&gt;1)," ( + "&amp;BX36&amp;" % ) ",IF(AND(BW35&gt;0,BW36&gt;1,CA35=1)," ( + "&amp;BW35&amp;" Euro ",IF(AND(BW35&gt;0,BW36&gt;1,CA35=2)," ( + "&amp;BX36&amp;" % ","")))</f>
        <v xml:space="preserve"> ( + 2,40 % ) </v>
      </c>
      <c r="BW43" s="159"/>
      <c r="BX43" s="159"/>
      <c r="BY43" s="159"/>
      <c r="BZ43" s="159"/>
      <c r="CA43" s="159"/>
      <c r="CB43" s="159"/>
      <c r="CT43" s="135" t="s">
        <v>559</v>
      </c>
      <c r="CU43" s="112" t="s">
        <v>15</v>
      </c>
      <c r="CV43" s="156">
        <v>3127.55</v>
      </c>
      <c r="CW43" s="156">
        <v>3289.33</v>
      </c>
      <c r="CX43" s="156">
        <v>3397.17</v>
      </c>
      <c r="CY43" s="156">
        <v>3602.07</v>
      </c>
      <c r="CZ43" s="156">
        <v>3688.35</v>
      </c>
      <c r="DC43" s="112" t="str">
        <f t="shared" si="92"/>
        <v>-</v>
      </c>
      <c r="DD43" s="112">
        <f t="shared" si="93"/>
        <v>94.139999999999873</v>
      </c>
      <c r="DE43" s="112">
        <f t="shared" si="94"/>
        <v>99.010000000000218</v>
      </c>
      <c r="DF43" s="112">
        <f t="shared" si="95"/>
        <v>102.25</v>
      </c>
      <c r="DG43" s="112">
        <f t="shared" si="96"/>
        <v>108.41999999999962</v>
      </c>
      <c r="DH43" s="112">
        <f t="shared" si="97"/>
        <v>111.01999999999998</v>
      </c>
    </row>
    <row r="44" spans="1:112">
      <c r="A44" s="155" t="s">
        <v>82</v>
      </c>
      <c r="B44" s="152">
        <f>Para!C50</f>
        <v>1</v>
      </c>
      <c r="C44" s="148" t="str">
        <f>Para!G55</f>
        <v>EG Kr 9d - 3a</v>
      </c>
      <c r="D44" s="147"/>
      <c r="E44" s="147"/>
      <c r="F44" s="147"/>
      <c r="G44" s="147"/>
      <c r="H44" s="147"/>
      <c r="R44" s="177" t="str">
        <f t="shared" si="87"/>
        <v/>
      </c>
      <c r="S44" s="138" t="str">
        <f t="shared" si="87"/>
        <v/>
      </c>
      <c r="T44" s="138" t="str">
        <f t="shared" si="87"/>
        <v/>
      </c>
      <c r="U44" s="138" t="str">
        <f t="shared" si="87"/>
        <v/>
      </c>
      <c r="V44" s="138" t="str">
        <f t="shared" si="87"/>
        <v/>
      </c>
      <c r="W44" s="138" t="str">
        <f t="shared" si="87"/>
        <v/>
      </c>
      <c r="X44" s="138" t="str">
        <f t="shared" si="87"/>
        <v/>
      </c>
      <c r="AO44" s="159"/>
      <c r="AP44" s="159" t="str">
        <f>IF(AQ35&gt;0," + "&amp;AR36&amp;" % ) "," ( + "&amp;AR36&amp;" % ) ")</f>
        <v xml:space="preserve"> ( + 2,60 % ) </v>
      </c>
      <c r="AQ44" s="159"/>
      <c r="AR44" s="159"/>
      <c r="AS44" s="159"/>
      <c r="AT44" s="159"/>
      <c r="AU44" s="159"/>
      <c r="AV44" s="159"/>
      <c r="AW44" s="159"/>
      <c r="AX44" s="135" t="str">
        <f>IF(AND(AY35=0,AY36&gt;1)," ( + "&amp;AZ36&amp;" % ) ",IF(AND(AY35&gt;0,AY36&gt;1,BC35=1),"  + "&amp;AZ36&amp;" % )",IF(AND(AY35&gt;0,AY36&gt;1,BC35=2),"  + "&amp;AY35&amp;" Euro )","")))</f>
        <v xml:space="preserve"> ( + 2,80 % ) </v>
      </c>
      <c r="AY44" s="159"/>
      <c r="AZ44" s="159"/>
      <c r="BA44" s="159"/>
      <c r="BB44" s="159"/>
      <c r="BC44" s="159"/>
      <c r="BD44" s="159"/>
      <c r="BE44" s="159"/>
      <c r="BF44" s="135" t="str">
        <f>IF(AND(BG35=0,BG36&gt;1)," ( + "&amp;BH36&amp;" % ) ",IF(AND(BG35&gt;0,BG36&gt;1,BK35=1),"  + "&amp;BH36&amp;" % )",IF(AND(BG35&gt;0,BG36&gt;1,BK35=2),"  + "&amp;BG35&amp;" Euro )","")))</f>
        <v xml:space="preserve"> ( + 2,80 % ) </v>
      </c>
      <c r="BG44" s="159"/>
      <c r="BH44" s="159"/>
      <c r="BI44" s="159"/>
      <c r="BJ44" s="159"/>
      <c r="BK44" s="159"/>
      <c r="BL44" s="159"/>
      <c r="BM44" s="159"/>
      <c r="BN44" s="135" t="str">
        <f>IF(AND(BO35=0,BO36&gt;1)," ( + "&amp;BP36&amp;" % ) ",IF(AND(BO35&gt;0,BO36&gt;1,BS35=1),"  + "&amp;BP36&amp;" % )",IF(AND(BO35&gt;0,BO36&gt;1,BS35=2),"  + "&amp;BO35&amp;" Euro )","")))</f>
        <v xml:space="preserve"> ( + 2,00 % ) </v>
      </c>
      <c r="BO44" s="159"/>
      <c r="BP44" s="159"/>
      <c r="BQ44" s="159"/>
      <c r="BR44" s="159"/>
      <c r="BS44" s="159"/>
      <c r="BT44" s="159"/>
      <c r="BU44" s="159"/>
      <c r="BV44" s="135" t="str">
        <f>IF(AND(BW35=0,BW36&gt;1)," ( + "&amp;BX36&amp;" % ) ",IF(AND(BW35&gt;0,BW36&gt;1,CA35=1),"  + "&amp;BX36&amp;" % )",IF(AND(BW35&gt;0,BW36&gt;1,CA35=2),"  + "&amp;BW35&amp;" Euro )","")))</f>
        <v xml:space="preserve"> ( + 2,40 % ) </v>
      </c>
      <c r="BW44" s="159"/>
      <c r="BX44" s="159"/>
      <c r="BY44" s="159"/>
      <c r="BZ44" s="159"/>
      <c r="CA44" s="159"/>
      <c r="CB44" s="159"/>
      <c r="CT44" s="135" t="s">
        <v>560</v>
      </c>
      <c r="CU44" s="112" t="s">
        <v>15</v>
      </c>
      <c r="CV44" s="156">
        <v>2877.66</v>
      </c>
      <c r="CW44" s="156">
        <v>3017.88</v>
      </c>
      <c r="CX44" s="156">
        <v>3197.65</v>
      </c>
      <c r="CY44" s="156">
        <v>3342.85</v>
      </c>
      <c r="CZ44" s="156">
        <v>3544.22</v>
      </c>
      <c r="DC44" s="112" t="str">
        <f t="shared" si="92"/>
        <v>-</v>
      </c>
      <c r="DD44" s="112">
        <f t="shared" si="93"/>
        <v>86.620000000000346</v>
      </c>
      <c r="DE44" s="112">
        <f t="shared" si="94"/>
        <v>90.839999999999691</v>
      </c>
      <c r="DF44" s="112">
        <f t="shared" si="95"/>
        <v>96.25</v>
      </c>
      <c r="DG44" s="112">
        <f t="shared" si="96"/>
        <v>100.61999999999989</v>
      </c>
      <c r="DH44" s="112">
        <f t="shared" si="97"/>
        <v>106.68000000000029</v>
      </c>
    </row>
    <row r="45" spans="1:112">
      <c r="B45" s="75" t="str">
        <f t="shared" ref="B45:H50" si="98">B23</f>
        <v>EG</v>
      </c>
      <c r="C45" s="75" t="str">
        <f t="shared" si="98"/>
        <v>Stufe 1</v>
      </c>
      <c r="D45" s="75" t="str">
        <f t="shared" si="98"/>
        <v>Stufe 2</v>
      </c>
      <c r="E45" s="75" t="str">
        <f t="shared" si="98"/>
        <v>Stufe 3</v>
      </c>
      <c r="F45" s="75" t="str">
        <f t="shared" si="98"/>
        <v>Stufe 4</v>
      </c>
      <c r="G45" s="75" t="str">
        <f t="shared" si="98"/>
        <v>Stufe 5</v>
      </c>
      <c r="H45" s="75" t="str">
        <f t="shared" si="98"/>
        <v>Stufe 6</v>
      </c>
      <c r="R45" s="177" t="str">
        <f t="shared" si="87"/>
        <v/>
      </c>
      <c r="S45" s="138" t="str">
        <f t="shared" si="87"/>
        <v/>
      </c>
      <c r="T45" s="138" t="str">
        <f t="shared" si="87"/>
        <v/>
      </c>
      <c r="U45" s="138" t="str">
        <f t="shared" si="87"/>
        <v/>
      </c>
      <c r="V45" s="138" t="str">
        <f t="shared" si="87"/>
        <v/>
      </c>
      <c r="W45" s="138" t="str">
        <f t="shared" si="87"/>
        <v/>
      </c>
      <c r="X45" s="138" t="str">
        <f t="shared" si="87"/>
        <v/>
      </c>
      <c r="AO45" s="159"/>
      <c r="AP45" s="159" t="str">
        <f>IF(AND(AQ35&gt;0,AQ36&gt;1),AP43&amp;AP44,IF(AND(AQ35&gt;0,AQ36=1),AP43,AP44))</f>
        <v xml:space="preserve"> ( + 2,60 % ) </v>
      </c>
      <c r="AQ45" s="159"/>
      <c r="AR45" s="159"/>
      <c r="AS45" s="159"/>
      <c r="AT45" s="159"/>
      <c r="AU45" s="159"/>
      <c r="AV45" s="159"/>
      <c r="AW45" s="159"/>
      <c r="AX45" s="145" t="str">
        <f>IF(AND(AY35&gt;0,AY36&gt;1),AX43&amp;AX44,IF(AND(AY35&gt;0,AY36=1),AX43,AX44))</f>
        <v xml:space="preserve"> ( + 2,80 % ) </v>
      </c>
      <c r="AY45" s="226"/>
      <c r="AZ45" s="159"/>
      <c r="BA45" s="159"/>
      <c r="BB45" s="159"/>
      <c r="BC45" s="159"/>
      <c r="BD45" s="159"/>
      <c r="BE45" s="159"/>
      <c r="BF45" s="145" t="str">
        <f>IF(AND(BG35&gt;0,BG36&gt;1),BF43&amp;BF44,IF(AND(BG35&gt;0,BG36=1),BF43,BF44))</f>
        <v xml:space="preserve"> ( + 2,80 % ) </v>
      </c>
      <c r="BG45" s="159"/>
      <c r="BH45" s="159"/>
      <c r="BI45" s="159"/>
      <c r="BJ45" s="159"/>
      <c r="BK45" s="159"/>
      <c r="BL45" s="159"/>
      <c r="BM45" s="159"/>
      <c r="BN45" s="145" t="str">
        <f>IF(AND(BO35&gt;0,BO36&gt;1),BN43&amp;BN44,IF(AND(BO35&gt;0,BO36=1),BN43,BN44))</f>
        <v xml:space="preserve"> ( + 2,00 % ) </v>
      </c>
      <c r="BO45" s="226"/>
      <c r="BP45" s="159"/>
      <c r="BQ45" s="159"/>
      <c r="BR45" s="159"/>
      <c r="BS45" s="159"/>
      <c r="BT45" s="159"/>
      <c r="BU45" s="159"/>
      <c r="BV45" s="145" t="str">
        <f>IF(AND(BW35=0,BW34&gt;1)," (+ "&amp;BX36&amp;" % mind + "&amp;BW34&amp;" € bis EG 9) ",IF(AND(BW35&gt;0,BW36&gt;1),BV43&amp;BV44,IF(AND(BW35&gt;0,BW36=1),BV43,BV44)))</f>
        <v xml:space="preserve"> (+ 2,40 % mind + 80 € bis EG 9) </v>
      </c>
      <c r="BW45" s="159"/>
      <c r="BX45" s="159"/>
      <c r="BY45" s="159"/>
      <c r="BZ45" s="159"/>
      <c r="CA45" s="159"/>
      <c r="CB45" s="159"/>
      <c r="CT45" s="135" t="s">
        <v>561</v>
      </c>
      <c r="CU45" s="112" t="s">
        <v>15</v>
      </c>
      <c r="CV45" s="156">
        <v>2711.98</v>
      </c>
      <c r="CW45" s="156">
        <v>2877.66</v>
      </c>
      <c r="CX45" s="156">
        <v>3132.57</v>
      </c>
      <c r="CY45" s="156">
        <v>3260</v>
      </c>
      <c r="CZ45" s="156">
        <v>3391.28</v>
      </c>
      <c r="DC45" s="112" t="str">
        <f t="shared" si="92"/>
        <v>-</v>
      </c>
      <c r="DD45" s="112">
        <f t="shared" si="93"/>
        <v>81.630000000000109</v>
      </c>
      <c r="DE45" s="112">
        <f t="shared" si="94"/>
        <v>86.620000000000346</v>
      </c>
      <c r="DF45" s="112">
        <f t="shared" si="95"/>
        <v>94.289999999999964</v>
      </c>
      <c r="DG45" s="112">
        <f t="shared" si="96"/>
        <v>98.130000000000109</v>
      </c>
      <c r="DH45" s="112">
        <f t="shared" si="97"/>
        <v>102.07999999999993</v>
      </c>
    </row>
    <row r="46" spans="1:112">
      <c r="B46" s="75" t="str">
        <f t="shared" si="98"/>
        <v>12a</v>
      </c>
      <c r="C46" s="37" t="str">
        <f t="shared" si="98"/>
        <v>-</v>
      </c>
      <c r="D46" s="37" t="str">
        <f t="shared" si="98"/>
        <v>-</v>
      </c>
      <c r="E46" s="37">
        <f t="shared" si="98"/>
        <v>2960</v>
      </c>
      <c r="F46" s="37">
        <f t="shared" si="98"/>
        <v>3284</v>
      </c>
      <c r="G46" s="37">
        <f t="shared" si="98"/>
        <v>3700</v>
      </c>
      <c r="H46" s="408">
        <f t="shared" si="98"/>
        <v>3885</v>
      </c>
      <c r="R46" s="177" t="str">
        <f t="shared" si="87"/>
        <v/>
      </c>
      <c r="S46" s="138" t="str">
        <f t="shared" si="87"/>
        <v/>
      </c>
      <c r="T46" s="138" t="str">
        <f t="shared" si="87"/>
        <v/>
      </c>
      <c r="U46" s="138" t="str">
        <f t="shared" si="87"/>
        <v/>
      </c>
      <c r="V46" s="138" t="str">
        <f t="shared" si="87"/>
        <v/>
      </c>
      <c r="W46" s="138" t="str">
        <f t="shared" si="87"/>
        <v/>
      </c>
      <c r="X46" s="138" t="str">
        <f t="shared" si="87"/>
        <v/>
      </c>
      <c r="CT46" s="135" t="s">
        <v>562</v>
      </c>
      <c r="CU46" s="156">
        <v>2273.1799999999998</v>
      </c>
      <c r="CV46" s="156">
        <v>2431.6799999999998</v>
      </c>
      <c r="CW46" s="156">
        <v>2584.5500000000002</v>
      </c>
      <c r="CX46" s="156">
        <v>2909.53</v>
      </c>
      <c r="CY46" s="156">
        <v>2992.37</v>
      </c>
      <c r="CZ46" s="156">
        <v>3145.28</v>
      </c>
      <c r="DC46" s="112">
        <f t="shared" si="92"/>
        <v>68.420000000000073</v>
      </c>
      <c r="DD46" s="112">
        <f t="shared" si="93"/>
        <v>73.190000000000055</v>
      </c>
      <c r="DE46" s="112">
        <f t="shared" si="94"/>
        <v>77.789999999999964</v>
      </c>
      <c r="DF46" s="112">
        <f t="shared" si="95"/>
        <v>87.579999999999927</v>
      </c>
      <c r="DG46" s="112">
        <f t="shared" si="96"/>
        <v>90.070000000000164</v>
      </c>
      <c r="DH46" s="112">
        <f t="shared" si="97"/>
        <v>94.669999999999618</v>
      </c>
    </row>
    <row r="47" spans="1:112">
      <c r="B47" s="75" t="str">
        <f t="shared" si="98"/>
        <v>11b</v>
      </c>
      <c r="C47" s="37" t="str">
        <f t="shared" si="98"/>
        <v>-</v>
      </c>
      <c r="D47" s="37" t="str">
        <f t="shared" si="98"/>
        <v>-</v>
      </c>
      <c r="E47" s="37" t="str">
        <f t="shared" si="98"/>
        <v>-</v>
      </c>
      <c r="F47" s="37">
        <f t="shared" si="98"/>
        <v>2960</v>
      </c>
      <c r="G47" s="37">
        <f t="shared" si="98"/>
        <v>3362</v>
      </c>
      <c r="H47" s="408">
        <f t="shared" si="98"/>
        <v>3547</v>
      </c>
      <c r="R47" s="177" t="str">
        <f t="shared" si="87"/>
        <v/>
      </c>
      <c r="S47" s="138" t="str">
        <f t="shared" si="87"/>
        <v/>
      </c>
      <c r="T47" s="138" t="str">
        <f t="shared" si="87"/>
        <v/>
      </c>
      <c r="U47" s="138" t="str">
        <f t="shared" si="87"/>
        <v/>
      </c>
      <c r="V47" s="138" t="str">
        <f t="shared" si="87"/>
        <v/>
      </c>
      <c r="W47" s="138" t="str">
        <f t="shared" si="87"/>
        <v/>
      </c>
      <c r="X47" s="138" t="str">
        <f t="shared" si="87"/>
        <v/>
      </c>
      <c r="CT47" s="135" t="s">
        <v>563</v>
      </c>
      <c r="CU47" s="156">
        <v>2177.8200000000002</v>
      </c>
      <c r="CV47" s="156">
        <v>2394.4899999999998</v>
      </c>
      <c r="CW47" s="156">
        <v>2457.13</v>
      </c>
      <c r="CX47" s="156">
        <v>2559.06</v>
      </c>
      <c r="CY47" s="156">
        <v>2635.55</v>
      </c>
      <c r="CZ47" s="156">
        <v>2815.21</v>
      </c>
      <c r="DC47" s="112">
        <f t="shared" si="92"/>
        <v>65.549999999999727</v>
      </c>
      <c r="DD47" s="112">
        <f t="shared" si="93"/>
        <v>72.070000000000164</v>
      </c>
      <c r="DE47" s="112">
        <f t="shared" si="94"/>
        <v>73.960000000000036</v>
      </c>
      <c r="DF47" s="112">
        <f t="shared" si="95"/>
        <v>77.0300000000002</v>
      </c>
      <c r="DG47" s="112">
        <f t="shared" si="96"/>
        <v>79.329999999999927</v>
      </c>
      <c r="DH47" s="112">
        <f t="shared" si="97"/>
        <v>84.739999999999782</v>
      </c>
    </row>
    <row r="48" spans="1:112">
      <c r="B48" s="75" t="str">
        <f t="shared" si="98"/>
        <v>11a</v>
      </c>
      <c r="C48" s="37" t="str">
        <f t="shared" si="98"/>
        <v>-</v>
      </c>
      <c r="D48" s="37" t="str">
        <f t="shared" si="98"/>
        <v>-</v>
      </c>
      <c r="E48" s="37">
        <f t="shared" si="98"/>
        <v>2683</v>
      </c>
      <c r="F48" s="37">
        <f t="shared" si="98"/>
        <v>2960</v>
      </c>
      <c r="G48" s="37">
        <f t="shared" si="98"/>
        <v>3362</v>
      </c>
      <c r="H48" s="37" t="str">
        <f t="shared" si="98"/>
        <v>-</v>
      </c>
      <c r="R48" s="177" t="str">
        <f t="shared" ref="R48:X50" si="99">R19</f>
        <v/>
      </c>
      <c r="S48" s="138" t="str">
        <f t="shared" si="99"/>
        <v/>
      </c>
      <c r="T48" s="138" t="str">
        <f t="shared" si="99"/>
        <v/>
      </c>
      <c r="U48" s="138" t="str">
        <f t="shared" si="99"/>
        <v/>
      </c>
      <c r="V48" s="138" t="str">
        <f t="shared" si="99"/>
        <v/>
      </c>
      <c r="W48" s="138" t="str">
        <f t="shared" si="99"/>
        <v/>
      </c>
      <c r="X48" s="138" t="str">
        <f t="shared" si="99"/>
        <v/>
      </c>
      <c r="BU48" s="396" t="s">
        <v>325</v>
      </c>
    </row>
    <row r="49" spans="2:81">
      <c r="B49" s="75" t="str">
        <f t="shared" si="98"/>
        <v>10a</v>
      </c>
      <c r="C49" s="37" t="str">
        <f t="shared" si="98"/>
        <v>-</v>
      </c>
      <c r="D49" s="37" t="str">
        <f t="shared" si="98"/>
        <v>-</v>
      </c>
      <c r="E49" s="37">
        <f t="shared" si="98"/>
        <v>2590</v>
      </c>
      <c r="F49" s="37">
        <f t="shared" si="98"/>
        <v>2775</v>
      </c>
      <c r="G49" s="37">
        <f t="shared" si="98"/>
        <v>3127</v>
      </c>
      <c r="H49" s="37" t="str">
        <f t="shared" si="98"/>
        <v>-</v>
      </c>
      <c r="R49" s="177" t="str">
        <f t="shared" si="99"/>
        <v/>
      </c>
      <c r="S49" s="138" t="str">
        <f t="shared" si="99"/>
        <v/>
      </c>
      <c r="T49" s="138" t="str">
        <f t="shared" si="99"/>
        <v/>
      </c>
      <c r="U49" s="138" t="str">
        <f t="shared" si="99"/>
        <v/>
      </c>
      <c r="V49" s="138" t="str">
        <f t="shared" si="99"/>
        <v/>
      </c>
      <c r="W49" s="138" t="str">
        <f t="shared" si="99"/>
        <v/>
      </c>
      <c r="X49" s="138" t="str">
        <f t="shared" si="99"/>
        <v/>
      </c>
      <c r="AO49" s="161" t="str">
        <f>AO35</f>
        <v>He</v>
      </c>
      <c r="AP49" s="115">
        <f>AP1</f>
        <v>2012</v>
      </c>
      <c r="AQ49" s="113" t="str">
        <f t="shared" ref="AQ49:AV49" si="100">AQ1</f>
        <v>Stufe 1</v>
      </c>
      <c r="AR49" s="113" t="str">
        <f t="shared" si="100"/>
        <v>Stufe 2</v>
      </c>
      <c r="AS49" s="113" t="str">
        <f t="shared" si="100"/>
        <v>Stufe 3</v>
      </c>
      <c r="AT49" s="113" t="str">
        <f t="shared" si="100"/>
        <v>Stufe 4</v>
      </c>
      <c r="AU49" s="113" t="str">
        <f t="shared" si="100"/>
        <v>Stufe 5</v>
      </c>
      <c r="AV49" s="113" t="str">
        <f t="shared" si="100"/>
        <v>Stufe 6</v>
      </c>
      <c r="AW49" s="408">
        <f>AV50-AU50</f>
        <v>223.39000000000033</v>
      </c>
      <c r="AX49" s="215">
        <f>AX1</f>
        <v>2013</v>
      </c>
      <c r="AY49" s="113" t="str">
        <f t="shared" ref="AY49:BD49" si="101">AQ49</f>
        <v>Stufe 1</v>
      </c>
      <c r="AZ49" s="113" t="str">
        <f t="shared" si="101"/>
        <v>Stufe 2</v>
      </c>
      <c r="BA49" s="113" t="str">
        <f t="shared" si="101"/>
        <v>Stufe 3</v>
      </c>
      <c r="BB49" s="113" t="str">
        <f t="shared" si="101"/>
        <v>Stufe 4</v>
      </c>
      <c r="BC49" s="113" t="str">
        <f t="shared" si="101"/>
        <v>Stufe 5</v>
      </c>
      <c r="BD49" s="113" t="str">
        <f t="shared" si="101"/>
        <v>Stufe 6</v>
      </c>
      <c r="BE49" s="408">
        <f>IF(AW49="-","-",IF($AY$35=0,ROUND(AW49*$AY$36,2),IF(AND($AY$35&gt;0,$BC$35=1),ROUND((AW49+$AY$35)*$AY$36,2),IF(AND($AY$35&gt;0,$BC$35=2),ROUND(AW49*$AY$36,2)+$AY$35))))</f>
        <v>229.64</v>
      </c>
      <c r="BF49" s="215">
        <f>BF1</f>
        <v>2014</v>
      </c>
      <c r="BG49" s="113" t="str">
        <f t="shared" ref="BG49:BL49" si="102">AQ49</f>
        <v>Stufe 1</v>
      </c>
      <c r="BH49" s="113" t="str">
        <f t="shared" si="102"/>
        <v>Stufe 2</v>
      </c>
      <c r="BI49" s="113" t="str">
        <f t="shared" si="102"/>
        <v>Stufe 3</v>
      </c>
      <c r="BJ49" s="113" t="str">
        <f t="shared" si="102"/>
        <v>Stufe 4</v>
      </c>
      <c r="BK49" s="113" t="str">
        <f t="shared" si="102"/>
        <v>Stufe 5</v>
      </c>
      <c r="BL49" s="113" t="str">
        <f t="shared" si="102"/>
        <v>Stufe 6</v>
      </c>
      <c r="BM49" s="408">
        <f>IF(BE49="-","-",IF($BG$35=0,ROUND(BE49*$BG$36,2),IF(AND($BG$35&gt;0,$BK$35=1),ROUND((BE49+$BG$35)*$BG$36,2),IF(AND($BG$35&gt;0,$BK$35=2),ROUND(BE49*$BG$36,2)+$BG$35))))</f>
        <v>236.07</v>
      </c>
      <c r="BN49" s="215">
        <f>BN1</f>
        <v>2015</v>
      </c>
      <c r="BO49" s="113" t="str">
        <f t="shared" ref="BO49:BT49" si="103">AY49</f>
        <v>Stufe 1</v>
      </c>
      <c r="BP49" s="113" t="str">
        <f t="shared" si="103"/>
        <v>Stufe 2</v>
      </c>
      <c r="BQ49" s="113" t="str">
        <f t="shared" si="103"/>
        <v>Stufe 3</v>
      </c>
      <c r="BR49" s="113" t="str">
        <f t="shared" si="103"/>
        <v>Stufe 4</v>
      </c>
      <c r="BS49" s="113" t="str">
        <f t="shared" si="103"/>
        <v>Stufe 5</v>
      </c>
      <c r="BT49" s="113" t="str">
        <f t="shared" si="103"/>
        <v>Stufe 6</v>
      </c>
      <c r="BU49" s="408">
        <f>IF(BM49="-","-",IF($BO$35=0,ROUND(BM49*$BO$36,2),IF(AND($BO$35&gt;0,$BS$35=1),ROUND((BM49+$BO$35)*$BO$36,2),IF(AND($BO$35&gt;0,$BS$35=2),ROUND(BM49*$BO$36,2)+$BO$35))))</f>
        <v>240.79</v>
      </c>
      <c r="BV49" s="215">
        <f>BV1</f>
        <v>2016</v>
      </c>
      <c r="BW49" s="113" t="str">
        <f t="shared" ref="BW49:CB49" si="104">BG49</f>
        <v>Stufe 1</v>
      </c>
      <c r="BX49" s="113" t="str">
        <f t="shared" si="104"/>
        <v>Stufe 2</v>
      </c>
      <c r="BY49" s="113" t="str">
        <f t="shared" si="104"/>
        <v>Stufe 3</v>
      </c>
      <c r="BZ49" s="113" t="str">
        <f t="shared" si="104"/>
        <v>Stufe 4</v>
      </c>
      <c r="CA49" s="113" t="str">
        <f t="shared" si="104"/>
        <v>Stufe 5</v>
      </c>
      <c r="CB49" s="113" t="str">
        <f t="shared" si="104"/>
        <v>Stufe 6</v>
      </c>
      <c r="CC49" s="408">
        <f>IF(BU49="-","-",IF($BW$35=0,ROUND(BU49*$BW$36,2),IF(AND($BW$35&gt;0,$CA$35=1),ROUND((BU49+$BW$35)*$BW$36,2),IF(AND($BW$35&gt;0,$CA$35=2),ROUND(BU49*$BW$36,2)+$BW$35))))</f>
        <v>246.57</v>
      </c>
    </row>
    <row r="50" spans="2:81">
      <c r="B50" s="75" t="str">
        <f t="shared" si="98"/>
        <v>9d</v>
      </c>
      <c r="C50" s="37" t="str">
        <f t="shared" si="98"/>
        <v>-</v>
      </c>
      <c r="D50" s="37" t="str">
        <f t="shared" si="98"/>
        <v>-</v>
      </c>
      <c r="E50" s="37">
        <f t="shared" si="98"/>
        <v>2525</v>
      </c>
      <c r="F50" s="37">
        <f t="shared" si="98"/>
        <v>2757</v>
      </c>
      <c r="G50" s="37">
        <f t="shared" si="98"/>
        <v>2942</v>
      </c>
      <c r="H50" s="37" t="str">
        <f t="shared" si="98"/>
        <v>-</v>
      </c>
      <c r="R50" s="177" t="str">
        <f t="shared" si="99"/>
        <v/>
      </c>
      <c r="S50" s="138" t="str">
        <f t="shared" si="99"/>
        <v/>
      </c>
      <c r="T50" s="138" t="str">
        <f t="shared" si="99"/>
        <v/>
      </c>
      <c r="U50" s="138" t="str">
        <f t="shared" si="99"/>
        <v/>
      </c>
      <c r="V50" s="138" t="str">
        <f t="shared" si="99"/>
        <v/>
      </c>
      <c r="W50" s="138" t="str">
        <f t="shared" si="99"/>
        <v/>
      </c>
      <c r="X50" s="138" t="str">
        <f t="shared" si="99"/>
        <v/>
      </c>
      <c r="AO50" s="159"/>
      <c r="AP50" s="115" t="str">
        <f t="shared" ref="AP50:AP61" si="105">AP2</f>
        <v>12a</v>
      </c>
      <c r="AQ50" s="114" t="str">
        <f t="shared" ref="AQ50:AV61" si="106">IF(AI2="-","-",ROUND(AI2*$AQ$36,2))</f>
        <v>-</v>
      </c>
      <c r="AR50" s="114" t="str">
        <f t="shared" si="106"/>
        <v>-</v>
      </c>
      <c r="AS50" s="114">
        <f t="shared" si="106"/>
        <v>3620.15</v>
      </c>
      <c r="AT50" s="114">
        <f t="shared" si="106"/>
        <v>4010.93</v>
      </c>
      <c r="AU50" s="114">
        <f t="shared" si="106"/>
        <v>4515.6899999999996</v>
      </c>
      <c r="AV50" s="408">
        <f>IF(AN2="-","-",ROUND(AN2*$AQ$36,2))</f>
        <v>4739.08</v>
      </c>
      <c r="AX50" s="115" t="str">
        <f>AP50</f>
        <v>12a</v>
      </c>
      <c r="AY50" s="112" t="str">
        <f t="shared" ref="AY50:BD61" si="107">IF(AQ50="-","-",IF($AY$35=0,ROUND(AQ50*$AY$36,2),IF(AND($AY$35&gt;0,$BC$35=1),ROUND((AQ50+$AY$35)*$AY$36,2),IF(AND($AY$35&gt;0,$BC$35=2),ROUND(AQ50*$AY$36,2)+$AY$35))))</f>
        <v>-</v>
      </c>
      <c r="AZ50" s="112" t="str">
        <f t="shared" si="107"/>
        <v>-</v>
      </c>
      <c r="BA50" s="112">
        <f t="shared" si="107"/>
        <v>3721.51</v>
      </c>
      <c r="BB50" s="112">
        <f t="shared" si="107"/>
        <v>4123.24</v>
      </c>
      <c r="BC50" s="112">
        <f t="shared" si="107"/>
        <v>4642.13</v>
      </c>
      <c r="BD50" s="408">
        <f>IF(AV50="-","-",IF($AY$35=0,ROUND(AV50*$AY$36,2),IF(AND($AY$35&gt;0,$BC$35=1),ROUND((AV50+$AY$35)*$AY$36,2),IF(AND($AY$35&gt;0,$BC$35=2),ROUND(AV50*$AY$36,2)+$AY$35))))</f>
        <v>4871.7700000000004</v>
      </c>
      <c r="BF50" s="115" t="str">
        <f>AP50</f>
        <v>12a</v>
      </c>
      <c r="BG50" s="227" t="str">
        <f t="shared" ref="BG50:BL61" si="108">IF(AY50="-","-",IF($BG$35=0,ROUND(AY50*$BG$36,2),IF(AND($BG$35&gt;0,$BK$35=1),ROUND((AY50+$BG$35)*$BG$36,2),IF(AND($BG$35&gt;0,$BK$35=2),ROUND(AY50*$BG$36,2)+$BG$35))))</f>
        <v>-</v>
      </c>
      <c r="BH50" s="227" t="str">
        <f t="shared" si="108"/>
        <v>-</v>
      </c>
      <c r="BI50" s="227">
        <f t="shared" si="108"/>
        <v>3825.71</v>
      </c>
      <c r="BJ50" s="227">
        <f t="shared" si="108"/>
        <v>4238.6899999999996</v>
      </c>
      <c r="BK50" s="227">
        <f t="shared" si="108"/>
        <v>4772.1099999999997</v>
      </c>
      <c r="BL50" s="408">
        <f t="shared" si="108"/>
        <v>5008.18</v>
      </c>
      <c r="BN50" s="115" t="str">
        <f>AX50</f>
        <v>12a</v>
      </c>
      <c r="BO50" s="114" t="str">
        <f>IF(BG50="-","-",IF($BO$35=0,ROUND(BG50*$BO$36,2),IF(AND($BO$35&gt;0,$BS$35=1),ROUND((BG50+$BO$35)*$BO$36,2),IF(AND($BO$35&gt;0,$BS$35=2),ROUND(BG50*$BO$36,2)+$BO$35))))</f>
        <v>-</v>
      </c>
      <c r="BP50" s="114" t="str">
        <f t="shared" ref="BO50:BT61" si="109">IF(BH50="-","-",IF($BO$35=0,ROUND(BH50*$BO$36,2),IF(AND($BO$35&gt;0,$BS$35=1),ROUND((BH50+$BO$35)*$BO$36,2),IF(AND($BO$35&gt;0,$BS$35=2),ROUND(BH50*$BO$36,2)+$BO$35))))</f>
        <v>-</v>
      </c>
      <c r="BQ50" s="114">
        <f t="shared" si="109"/>
        <v>3902.22</v>
      </c>
      <c r="BR50" s="114">
        <f t="shared" si="109"/>
        <v>4323.46</v>
      </c>
      <c r="BS50" s="114">
        <f t="shared" si="109"/>
        <v>4867.55</v>
      </c>
      <c r="BT50" s="408">
        <f t="shared" si="109"/>
        <v>5108.34</v>
      </c>
      <c r="BU50" s="380">
        <v>0</v>
      </c>
      <c r="BV50" s="115" t="str">
        <f>BF50</f>
        <v>12a</v>
      </c>
      <c r="BW50" s="114" t="str">
        <f t="shared" ref="BW50:CB50" si="110">IF(BO50="-","-",IF(AND($BU50=0,$BW$35=0),ROUND(BO50*$BW$36,2),IF(AND($BU50&gt;0,$BW$35=0,(((BO50*$BW$36)-BO50)&lt;$BU50)),BO50+$BU50,IF(AND($BU50&gt;0,$BW$35=0,(((BO50*$BW$36)-BO50)&gt;=$BU50)),ROUND(BO50*$BW$36,2),IF(AND($BW$35&gt;0,$CA$35=1),ROUND((BO50+$BW$35)*$BW$36,2),IF(AND($BW$35&gt;0,$CA$35=2),ROUND(BO50*$BW$36,2)+$BW$35))))))</f>
        <v>-</v>
      </c>
      <c r="BX50" s="114" t="str">
        <f t="shared" si="110"/>
        <v>-</v>
      </c>
      <c r="BY50" s="114">
        <f t="shared" si="110"/>
        <v>3995.87</v>
      </c>
      <c r="BZ50" s="114">
        <f t="shared" si="110"/>
        <v>4427.22</v>
      </c>
      <c r="CA50" s="114">
        <f t="shared" si="110"/>
        <v>4984.37</v>
      </c>
      <c r="CB50" s="408">
        <f t="shared" si="110"/>
        <v>5230.9399999999996</v>
      </c>
    </row>
    <row r="51" spans="2:81">
      <c r="B51" s="75" t="str">
        <f t="shared" ref="B51:B57" si="111">B29</f>
        <v>9c</v>
      </c>
      <c r="C51" s="37" t="str">
        <f t="shared" ref="C51:H51" si="112">C7</f>
        <v>-</v>
      </c>
      <c r="D51" s="37" t="str">
        <f t="shared" si="112"/>
        <v>-</v>
      </c>
      <c r="E51" s="37">
        <f t="shared" si="112"/>
        <v>2650</v>
      </c>
      <c r="F51" s="37">
        <f t="shared" si="112"/>
        <v>2840</v>
      </c>
      <c r="G51" s="37">
        <f t="shared" si="112"/>
        <v>3020</v>
      </c>
      <c r="H51" s="37" t="str">
        <f t="shared" si="112"/>
        <v>-</v>
      </c>
      <c r="AO51" s="159"/>
      <c r="AP51" s="115" t="str">
        <f t="shared" si="105"/>
        <v>11b</v>
      </c>
      <c r="AQ51" s="114" t="str">
        <f t="shared" si="106"/>
        <v>-</v>
      </c>
      <c r="AR51" s="114" t="str">
        <f t="shared" si="106"/>
        <v>-</v>
      </c>
      <c r="AS51" s="114" t="str">
        <f t="shared" si="106"/>
        <v>-</v>
      </c>
      <c r="AT51" s="114">
        <f t="shared" si="106"/>
        <v>3620.15</v>
      </c>
      <c r="AU51" s="114">
        <f t="shared" si="106"/>
        <v>4108.63</v>
      </c>
      <c r="AV51" s="408">
        <f>AU51+AW49</f>
        <v>4332.0200000000004</v>
      </c>
      <c r="AW51" s="178"/>
      <c r="AX51" s="115" t="str">
        <f t="shared" ref="AX51:AX61" si="113">AP51</f>
        <v>11b</v>
      </c>
      <c r="AY51" s="112" t="str">
        <f t="shared" si="107"/>
        <v>-</v>
      </c>
      <c r="AZ51" s="112" t="str">
        <f t="shared" si="107"/>
        <v>-</v>
      </c>
      <c r="BA51" s="112" t="str">
        <f t="shared" si="107"/>
        <v>-</v>
      </c>
      <c r="BB51" s="112">
        <f t="shared" si="107"/>
        <v>3721.51</v>
      </c>
      <c r="BC51" s="112">
        <f t="shared" si="107"/>
        <v>4223.67</v>
      </c>
      <c r="BD51" s="408">
        <f>BC51+BE49</f>
        <v>4453.3100000000004</v>
      </c>
      <c r="BE51" s="178"/>
      <c r="BF51" s="115" t="str">
        <f t="shared" ref="BF51:BF61" si="114">AP51</f>
        <v>11b</v>
      </c>
      <c r="BG51" s="227" t="str">
        <f t="shared" si="108"/>
        <v>-</v>
      </c>
      <c r="BH51" s="227" t="str">
        <f t="shared" si="108"/>
        <v>-</v>
      </c>
      <c r="BI51" s="227" t="str">
        <f t="shared" si="108"/>
        <v>-</v>
      </c>
      <c r="BJ51" s="227">
        <f t="shared" si="108"/>
        <v>3825.71</v>
      </c>
      <c r="BK51" s="227">
        <f t="shared" si="108"/>
        <v>4341.93</v>
      </c>
      <c r="BL51" s="408">
        <f>BK51+BM49</f>
        <v>4578</v>
      </c>
      <c r="BM51" s="178"/>
      <c r="BN51" s="115" t="str">
        <f t="shared" ref="BN51:BN61" si="115">AX51</f>
        <v>11b</v>
      </c>
      <c r="BO51" s="114" t="str">
        <f t="shared" si="109"/>
        <v>-</v>
      </c>
      <c r="BP51" s="114" t="str">
        <f t="shared" si="109"/>
        <v>-</v>
      </c>
      <c r="BQ51" s="114" t="str">
        <f t="shared" si="109"/>
        <v>-</v>
      </c>
      <c r="BR51" s="114">
        <f t="shared" si="109"/>
        <v>3902.22</v>
      </c>
      <c r="BS51" s="114">
        <f t="shared" si="109"/>
        <v>4428.7700000000004</v>
      </c>
      <c r="BT51" s="408">
        <f>BS51+BU49</f>
        <v>4669.5600000000004</v>
      </c>
      <c r="BU51" s="380">
        <v>0</v>
      </c>
      <c r="BV51" s="115" t="str">
        <f t="shared" ref="BV51:BV61" si="116">BF51</f>
        <v>11b</v>
      </c>
      <c r="BW51" s="114" t="str">
        <f t="shared" ref="BW51:BW61" si="117">IF(BO51="-","-",IF(AND($BU51=0,$BW$35=0),ROUND(BO51*$BW$36,2),IF(AND($BU51&gt;0,$BW$35=0,(((BO51*$BW$36)-BO51)&lt;$BU51)),BO51+$BU51,IF(AND($BU51&gt;0,$BW$35=0,(((BO51*$BW$36)-BO51)&gt;=$BU51)),ROUND(BO51*$BW$36,2),IF(AND($BW$35&gt;0,$CA$35=1),ROUND((BO51+$BW$35)*$BW$36,2),IF(AND($BW$35&gt;0,$CA$35=2),ROUND(BO51*$BW$36,2)+$BW$35))))))</f>
        <v>-</v>
      </c>
      <c r="BX51" s="114" t="str">
        <f t="shared" ref="BX51:BX56" si="118">IF(BP51="-","-",IF(AND($BU51=0,$BW$35=0),ROUND(BP51*$BW$36,2),IF(AND($BU51&gt;0,$BW$35=0,(((BP51*$BW$36)-BP51)&lt;$BU51)),BP51+$BU51,IF(AND($BU51&gt;0,$BW$35=0,(((BP51*$BW$36)-BP51)&gt;=$BU51)),ROUND(BP51*$BW$36,2),IF(AND($BW$35&gt;0,$CA$35=1),ROUND((BP51+$BW$35)*$BW$36,2),IF(AND($BW$35&gt;0,$CA$35=2),ROUND(BP51*$BW$36,2)+$BW$35))))))</f>
        <v>-</v>
      </c>
      <c r="BY51" s="114" t="str">
        <f t="shared" ref="BY51:BY56" si="119">IF(BQ51="-","-",IF(AND($BU51=0,$BW$35=0),ROUND(BQ51*$BW$36,2),IF(AND($BU51&gt;0,$BW$35=0,(((BQ51*$BW$36)-BQ51)&lt;$BU51)),BQ51+$BU51,IF(AND($BU51&gt;0,$BW$35=0,(((BQ51*$BW$36)-BQ51)&gt;=$BU51)),ROUND(BQ51*$BW$36,2),IF(AND($BW$35&gt;0,$CA$35=1),ROUND((BQ51+$BW$35)*$BW$36,2),IF(AND($BW$35&gt;0,$CA$35=2),ROUND(BQ51*$BW$36,2)+$BW$35))))))</f>
        <v>-</v>
      </c>
      <c r="BZ51" s="114">
        <f t="shared" ref="BZ51:BZ56" si="120">IF(BR51="-","-",IF(AND($BU51=0,$BW$35=0),ROUND(BR51*$BW$36,2),IF(AND($BU51&gt;0,$BW$35=0,(((BR51*$BW$36)-BR51)&lt;$BU51)),BR51+$BU51,IF(AND($BU51&gt;0,$BW$35=0,(((BR51*$BW$36)-BR51)&gt;=$BU51)),ROUND(BR51*$BW$36,2),IF(AND($BW$35&gt;0,$CA$35=1),ROUND((BR51+$BW$35)*$BW$36,2),IF(AND($BW$35&gt;0,$CA$35=2),ROUND(BR51*$BW$36,2)+$BW$35))))))</f>
        <v>3995.87</v>
      </c>
      <c r="CA51" s="114">
        <f t="shared" ref="CA51:CA56" si="121">IF(BS51="-","-",IF(AND($BU51=0,$BW$35=0),ROUND(BS51*$BW$36,2),IF(AND($BU51&gt;0,$BW$35=0,(((BS51*$BW$36)-BS51)&lt;$BU51)),BS51+$BU51,IF(AND($BU51&gt;0,$BW$35=0,(((BS51*$BW$36)-BS51)&gt;=$BU51)),ROUND(BS51*$BW$36,2),IF(AND($BW$35&gt;0,$CA$35=1),ROUND((BS51+$BW$35)*$BW$36,2),IF(AND($BW$35&gt;0,$CA$35=2),ROUND(BS51*$BW$36,2)+$BW$35))))))</f>
        <v>4535.0600000000004</v>
      </c>
      <c r="CB51" s="408">
        <f>CA51+CC49</f>
        <v>4781.63</v>
      </c>
    </row>
    <row r="52" spans="2:81">
      <c r="B52" s="75" t="str">
        <f t="shared" si="111"/>
        <v>9b</v>
      </c>
      <c r="C52" s="37" t="str">
        <f t="shared" ref="C52:H52" si="122">C8</f>
        <v>-</v>
      </c>
      <c r="D52" s="37" t="str">
        <f t="shared" si="122"/>
        <v>-</v>
      </c>
      <c r="E52" s="37">
        <f t="shared" si="122"/>
        <v>2410</v>
      </c>
      <c r="F52" s="37">
        <f t="shared" si="122"/>
        <v>2730</v>
      </c>
      <c r="G52" s="37">
        <f t="shared" si="122"/>
        <v>2840</v>
      </c>
      <c r="H52" s="37" t="str">
        <f t="shared" si="122"/>
        <v>-</v>
      </c>
      <c r="AO52" s="159"/>
      <c r="AP52" s="115" t="str">
        <f t="shared" si="105"/>
        <v>11a</v>
      </c>
      <c r="AQ52" s="114" t="str">
        <f t="shared" si="106"/>
        <v>-</v>
      </c>
      <c r="AR52" s="114" t="str">
        <f t="shared" si="106"/>
        <v>-</v>
      </c>
      <c r="AS52" s="114">
        <f t="shared" si="106"/>
        <v>3283.65</v>
      </c>
      <c r="AT52" s="114">
        <f t="shared" si="106"/>
        <v>3620.15</v>
      </c>
      <c r="AU52" s="114">
        <f t="shared" si="106"/>
        <v>4108.63</v>
      </c>
      <c r="AV52" s="114" t="str">
        <f t="shared" si="106"/>
        <v>-</v>
      </c>
      <c r="AW52" s="159"/>
      <c r="AX52" s="115" t="str">
        <f t="shared" si="113"/>
        <v>11a</v>
      </c>
      <c r="AY52" s="112" t="str">
        <f t="shared" si="107"/>
        <v>-</v>
      </c>
      <c r="AZ52" s="112" t="str">
        <f t="shared" si="107"/>
        <v>-</v>
      </c>
      <c r="BA52" s="112">
        <f t="shared" si="107"/>
        <v>3375.59</v>
      </c>
      <c r="BB52" s="112">
        <f t="shared" si="107"/>
        <v>3721.51</v>
      </c>
      <c r="BC52" s="112">
        <f t="shared" si="107"/>
        <v>4223.67</v>
      </c>
      <c r="BD52" s="112" t="str">
        <f t="shared" si="107"/>
        <v>-</v>
      </c>
      <c r="BE52" s="159"/>
      <c r="BF52" s="115" t="str">
        <f t="shared" si="114"/>
        <v>11a</v>
      </c>
      <c r="BG52" s="227" t="str">
        <f t="shared" si="108"/>
        <v>-</v>
      </c>
      <c r="BH52" s="227" t="str">
        <f t="shared" si="108"/>
        <v>-</v>
      </c>
      <c r="BI52" s="227">
        <f t="shared" si="108"/>
        <v>3470.11</v>
      </c>
      <c r="BJ52" s="227">
        <f t="shared" si="108"/>
        <v>3825.71</v>
      </c>
      <c r="BK52" s="227">
        <f t="shared" si="108"/>
        <v>4341.93</v>
      </c>
      <c r="BL52" s="227" t="str">
        <f t="shared" si="108"/>
        <v>-</v>
      </c>
      <c r="BM52" s="159"/>
      <c r="BN52" s="115" t="str">
        <f t="shared" si="115"/>
        <v>11a</v>
      </c>
      <c r="BO52" s="114" t="str">
        <f t="shared" si="109"/>
        <v>-</v>
      </c>
      <c r="BP52" s="114" t="str">
        <f t="shared" si="109"/>
        <v>-</v>
      </c>
      <c r="BQ52" s="114">
        <f t="shared" si="109"/>
        <v>3539.51</v>
      </c>
      <c r="BR52" s="114">
        <f t="shared" si="109"/>
        <v>3902.22</v>
      </c>
      <c r="BS52" s="114">
        <f t="shared" si="109"/>
        <v>4428.7700000000004</v>
      </c>
      <c r="BT52" s="114" t="str">
        <f t="shared" si="109"/>
        <v>-</v>
      </c>
      <c r="BU52" s="380">
        <v>0</v>
      </c>
      <c r="BV52" s="115" t="str">
        <f t="shared" si="116"/>
        <v>11a</v>
      </c>
      <c r="BW52" s="114" t="str">
        <f t="shared" si="117"/>
        <v>-</v>
      </c>
      <c r="BX52" s="114" t="str">
        <f t="shared" si="118"/>
        <v>-</v>
      </c>
      <c r="BY52" s="114">
        <f t="shared" si="119"/>
        <v>3624.46</v>
      </c>
      <c r="BZ52" s="114">
        <f t="shared" si="120"/>
        <v>3995.87</v>
      </c>
      <c r="CA52" s="114">
        <f t="shared" si="121"/>
        <v>4535.0600000000004</v>
      </c>
      <c r="CB52" s="114" t="str">
        <f>IF(BT52="-","-",IF(AND($BU52=0,$BW$35=0),ROUND(BT52*$BW$36,2),IF(AND($BU52&gt;0,$BW$35=0,(((BT52*$BW$36)-BT52)&lt;$BU52)),BT52+$BU52,IF(AND($BU52&gt;0,$BW$35=0,(((BT52*$BW$36)-BT52)&gt;=$BU52)),ROUND(BT52*$BW$36,2),IF(AND($BW$35&gt;0,$CA$35=1),ROUND((BT52+$BW$35)*$BW$36,2),IF(AND($BW$35&gt;0,$CA$35=2),ROUND(BT52*$BW$36,2)+$BW$35))))))</f>
        <v>-</v>
      </c>
    </row>
    <row r="53" spans="2:81">
      <c r="B53" s="75" t="str">
        <f t="shared" si="111"/>
        <v>9a</v>
      </c>
      <c r="C53" s="37" t="str">
        <f t="shared" ref="C53:H53" si="123">C9</f>
        <v>-</v>
      </c>
      <c r="D53" s="37" t="str">
        <f t="shared" si="123"/>
        <v>-</v>
      </c>
      <c r="E53" s="37">
        <f t="shared" si="123"/>
        <v>2410</v>
      </c>
      <c r="F53" s="37">
        <f t="shared" si="123"/>
        <v>2495</v>
      </c>
      <c r="G53" s="37">
        <f t="shared" si="123"/>
        <v>2650</v>
      </c>
      <c r="H53" s="37" t="str">
        <f t="shared" si="123"/>
        <v>-</v>
      </c>
      <c r="AO53" s="159"/>
      <c r="AP53" s="115" t="str">
        <f t="shared" si="105"/>
        <v>10a</v>
      </c>
      <c r="AQ53" s="114" t="str">
        <f t="shared" si="106"/>
        <v>-</v>
      </c>
      <c r="AR53" s="114" t="str">
        <f t="shared" si="106"/>
        <v>-</v>
      </c>
      <c r="AS53" s="114">
        <f t="shared" si="106"/>
        <v>3175.09</v>
      </c>
      <c r="AT53" s="114">
        <f t="shared" si="106"/>
        <v>3397.63</v>
      </c>
      <c r="AU53" s="114">
        <f t="shared" si="106"/>
        <v>3820.98</v>
      </c>
      <c r="AV53" s="114" t="str">
        <f t="shared" si="106"/>
        <v>-</v>
      </c>
      <c r="AW53" s="159"/>
      <c r="AX53" s="115" t="str">
        <f t="shared" si="113"/>
        <v>10a</v>
      </c>
      <c r="AY53" s="112" t="str">
        <f t="shared" si="107"/>
        <v>-</v>
      </c>
      <c r="AZ53" s="112" t="str">
        <f t="shared" si="107"/>
        <v>-</v>
      </c>
      <c r="BA53" s="112">
        <f t="shared" si="107"/>
        <v>3263.99</v>
      </c>
      <c r="BB53" s="112">
        <f t="shared" si="107"/>
        <v>3492.76</v>
      </c>
      <c r="BC53" s="112">
        <f t="shared" si="107"/>
        <v>3927.97</v>
      </c>
      <c r="BD53" s="112" t="str">
        <f t="shared" si="107"/>
        <v>-</v>
      </c>
      <c r="BE53" s="159"/>
      <c r="BF53" s="115" t="str">
        <f t="shared" si="114"/>
        <v>10a</v>
      </c>
      <c r="BG53" s="227" t="str">
        <f t="shared" si="108"/>
        <v>-</v>
      </c>
      <c r="BH53" s="227" t="str">
        <f t="shared" si="108"/>
        <v>-</v>
      </c>
      <c r="BI53" s="227">
        <f t="shared" si="108"/>
        <v>3355.38</v>
      </c>
      <c r="BJ53" s="227">
        <f t="shared" si="108"/>
        <v>3590.56</v>
      </c>
      <c r="BK53" s="227">
        <f t="shared" si="108"/>
        <v>4037.95</v>
      </c>
      <c r="BL53" s="227" t="str">
        <f t="shared" si="108"/>
        <v>-</v>
      </c>
      <c r="BM53" s="159"/>
      <c r="BN53" s="115" t="str">
        <f t="shared" si="115"/>
        <v>10a</v>
      </c>
      <c r="BO53" s="114" t="str">
        <f t="shared" si="109"/>
        <v>-</v>
      </c>
      <c r="BP53" s="114" t="str">
        <f t="shared" si="109"/>
        <v>-</v>
      </c>
      <c r="BQ53" s="114">
        <f t="shared" si="109"/>
        <v>3422.49</v>
      </c>
      <c r="BR53" s="114">
        <f t="shared" si="109"/>
        <v>3662.37</v>
      </c>
      <c r="BS53" s="114">
        <f t="shared" si="109"/>
        <v>4118.71</v>
      </c>
      <c r="BT53" s="114" t="str">
        <f t="shared" si="109"/>
        <v>-</v>
      </c>
      <c r="BU53" s="380">
        <v>0</v>
      </c>
      <c r="BV53" s="115" t="str">
        <f t="shared" si="116"/>
        <v>10a</v>
      </c>
      <c r="BW53" s="114" t="str">
        <f t="shared" si="117"/>
        <v>-</v>
      </c>
      <c r="BX53" s="114" t="str">
        <f t="shared" si="118"/>
        <v>-</v>
      </c>
      <c r="BY53" s="114">
        <f t="shared" si="119"/>
        <v>3504.63</v>
      </c>
      <c r="BZ53" s="114">
        <f t="shared" si="120"/>
        <v>3750.27</v>
      </c>
      <c r="CA53" s="114">
        <f t="shared" si="121"/>
        <v>4217.5600000000004</v>
      </c>
      <c r="CB53" s="114" t="str">
        <f>IF(BT53="-","-",IF(AND($BU53=0,$BW$35=0),ROUND(BT53*$BW$36,2),IF(AND($BU53&gt;0,$BW$35=0,(((BT53*$BW$36)-BT53)&lt;$BU53)),BT53+$BU53,IF(AND($BU53&gt;0,$BW$35=0,(((BT53*$BW$36)-BT53)&gt;=$BU53)),ROUND(BT53*$BW$36,2),IF(AND($BW$35&gt;0,$CA$35=1),ROUND((BT53+$BW$35)*$BW$36,2),IF(AND($BW$35&gt;0,$CA$35=2),ROUND(BT53*$BW$36,2)+$BW$35))))))</f>
        <v>-</v>
      </c>
    </row>
    <row r="54" spans="2:81">
      <c r="B54" s="75" t="str">
        <f t="shared" si="111"/>
        <v>8a</v>
      </c>
      <c r="C54" s="37">
        <f t="shared" ref="C54:H54" si="124">C10</f>
        <v>2000</v>
      </c>
      <c r="D54" s="37">
        <f t="shared" si="124"/>
        <v>2130</v>
      </c>
      <c r="E54" s="37">
        <f t="shared" si="124"/>
        <v>2240</v>
      </c>
      <c r="F54" s="37">
        <f t="shared" si="124"/>
        <v>2330</v>
      </c>
      <c r="G54" s="37">
        <f t="shared" si="124"/>
        <v>2495</v>
      </c>
      <c r="H54" s="37">
        <f t="shared" si="124"/>
        <v>2650</v>
      </c>
      <c r="AO54" s="159"/>
      <c r="AP54" s="115" t="str">
        <f t="shared" si="105"/>
        <v>9d</v>
      </c>
      <c r="AQ54" s="114" t="str">
        <f t="shared" si="106"/>
        <v>-</v>
      </c>
      <c r="AR54" s="114" t="str">
        <f t="shared" si="106"/>
        <v>-</v>
      </c>
      <c r="AS54" s="114">
        <f t="shared" si="106"/>
        <v>3093.69</v>
      </c>
      <c r="AT54" s="114">
        <f t="shared" si="106"/>
        <v>3375.92</v>
      </c>
      <c r="AU54" s="114">
        <f t="shared" si="106"/>
        <v>3598.44</v>
      </c>
      <c r="AV54" s="114" t="str">
        <f t="shared" si="106"/>
        <v>-</v>
      </c>
      <c r="AW54" s="159"/>
      <c r="AX54" s="115" t="str">
        <f t="shared" si="113"/>
        <v>9d</v>
      </c>
      <c r="AY54" s="112" t="str">
        <f t="shared" si="107"/>
        <v>-</v>
      </c>
      <c r="AZ54" s="112" t="str">
        <f t="shared" si="107"/>
        <v>-</v>
      </c>
      <c r="BA54" s="112">
        <f t="shared" si="107"/>
        <v>3180.31</v>
      </c>
      <c r="BB54" s="112">
        <f t="shared" si="107"/>
        <v>3470.45</v>
      </c>
      <c r="BC54" s="112">
        <f t="shared" si="107"/>
        <v>3699.2</v>
      </c>
      <c r="BD54" s="112" t="str">
        <f t="shared" si="107"/>
        <v>-</v>
      </c>
      <c r="BE54" s="159"/>
      <c r="BF54" s="115" t="str">
        <f t="shared" si="114"/>
        <v>9d</v>
      </c>
      <c r="BG54" s="227" t="str">
        <f t="shared" si="108"/>
        <v>-</v>
      </c>
      <c r="BH54" s="227" t="str">
        <f t="shared" si="108"/>
        <v>-</v>
      </c>
      <c r="BI54" s="227">
        <f t="shared" si="108"/>
        <v>3269.36</v>
      </c>
      <c r="BJ54" s="227">
        <f t="shared" si="108"/>
        <v>3567.62</v>
      </c>
      <c r="BK54" s="227">
        <f t="shared" si="108"/>
        <v>3802.78</v>
      </c>
      <c r="BL54" s="227" t="str">
        <f t="shared" si="108"/>
        <v>-</v>
      </c>
      <c r="BM54" s="159"/>
      <c r="BN54" s="115" t="str">
        <f t="shared" si="115"/>
        <v>9d</v>
      </c>
      <c r="BO54" s="114" t="str">
        <f t="shared" si="109"/>
        <v>-</v>
      </c>
      <c r="BP54" s="114" t="str">
        <f t="shared" si="109"/>
        <v>-</v>
      </c>
      <c r="BQ54" s="114">
        <f t="shared" si="109"/>
        <v>3334.75</v>
      </c>
      <c r="BR54" s="114">
        <f t="shared" si="109"/>
        <v>3638.97</v>
      </c>
      <c r="BS54" s="114">
        <f t="shared" si="109"/>
        <v>3878.84</v>
      </c>
      <c r="BT54" s="114" t="str">
        <f t="shared" si="109"/>
        <v>-</v>
      </c>
      <c r="BU54" s="380">
        <f>$BW$34</f>
        <v>80</v>
      </c>
      <c r="BV54" s="115" t="str">
        <f t="shared" si="116"/>
        <v>9d</v>
      </c>
      <c r="BW54" s="114" t="str">
        <f t="shared" si="117"/>
        <v>-</v>
      </c>
      <c r="BX54" s="114" t="str">
        <f t="shared" si="118"/>
        <v>-</v>
      </c>
      <c r="BY54" s="114">
        <f t="shared" si="119"/>
        <v>3414.78</v>
      </c>
      <c r="BZ54" s="114">
        <f t="shared" si="120"/>
        <v>3726.31</v>
      </c>
      <c r="CA54" s="114">
        <f t="shared" si="121"/>
        <v>3971.93</v>
      </c>
      <c r="CB54" s="114" t="str">
        <f>IF(BT54="-","-",IF(AND($BU54=0,$BW$35=0),ROUND(BT54*$BW$36,2),IF(AND($BU54&gt;0,$BW$35=0,(((BT54*$BW$36)-BT54)&lt;$BU54)),BT54+$BU54,IF(AND($BU54&gt;0,$BW$35=0,(((BT54*$BW$36)-BT54)&gt;=$BU54)),ROUND(BT54*$BW$36,2),IF(AND($BW$35&gt;0,$CA$35=1),ROUND((BT54+$BW$35)*$BW$36,2),IF(AND($BW$35&gt;0,$CA$35=2),ROUND(BT54*$BW$36,2)+$BW$35))))))</f>
        <v>-</v>
      </c>
    </row>
    <row r="55" spans="2:81">
      <c r="B55" s="75" t="str">
        <f t="shared" si="111"/>
        <v>7a</v>
      </c>
      <c r="C55" s="37">
        <f t="shared" ref="C55:H55" si="125">C11</f>
        <v>1850</v>
      </c>
      <c r="D55" s="37">
        <f t="shared" si="125"/>
        <v>2000</v>
      </c>
      <c r="E55" s="37">
        <f t="shared" si="125"/>
        <v>2130</v>
      </c>
      <c r="F55" s="37">
        <f t="shared" si="125"/>
        <v>2330</v>
      </c>
      <c r="G55" s="37">
        <f t="shared" si="125"/>
        <v>2430</v>
      </c>
      <c r="H55" s="37">
        <f t="shared" si="125"/>
        <v>2533</v>
      </c>
      <c r="AO55" s="159"/>
      <c r="AP55" s="115" t="str">
        <f t="shared" si="105"/>
        <v>9c</v>
      </c>
      <c r="AQ55" s="114" t="str">
        <f t="shared" si="106"/>
        <v>-</v>
      </c>
      <c r="AR55" s="114" t="str">
        <f t="shared" si="106"/>
        <v>-</v>
      </c>
      <c r="AS55" s="114">
        <f t="shared" si="106"/>
        <v>3006.85</v>
      </c>
      <c r="AT55" s="114">
        <f t="shared" si="106"/>
        <v>3218.52</v>
      </c>
      <c r="AU55" s="114">
        <f t="shared" si="106"/>
        <v>3419.33</v>
      </c>
      <c r="AV55" s="114" t="str">
        <f t="shared" si="106"/>
        <v>-</v>
      </c>
      <c r="AW55" s="159"/>
      <c r="AX55" s="115" t="str">
        <f t="shared" si="113"/>
        <v>9c</v>
      </c>
      <c r="AY55" s="112" t="str">
        <f t="shared" si="107"/>
        <v>-</v>
      </c>
      <c r="AZ55" s="112" t="str">
        <f t="shared" si="107"/>
        <v>-</v>
      </c>
      <c r="BA55" s="112">
        <f t="shared" si="107"/>
        <v>3091.04</v>
      </c>
      <c r="BB55" s="112">
        <f t="shared" si="107"/>
        <v>3308.64</v>
      </c>
      <c r="BC55" s="112">
        <f t="shared" si="107"/>
        <v>3515.07</v>
      </c>
      <c r="BD55" s="112" t="str">
        <f t="shared" si="107"/>
        <v>-</v>
      </c>
      <c r="BE55" s="159"/>
      <c r="BF55" s="115" t="str">
        <f t="shared" si="114"/>
        <v>9c</v>
      </c>
      <c r="BG55" s="227" t="str">
        <f t="shared" si="108"/>
        <v>-</v>
      </c>
      <c r="BH55" s="227" t="str">
        <f t="shared" si="108"/>
        <v>-</v>
      </c>
      <c r="BI55" s="227">
        <f t="shared" si="108"/>
        <v>3177.59</v>
      </c>
      <c r="BJ55" s="227">
        <f t="shared" si="108"/>
        <v>3401.28</v>
      </c>
      <c r="BK55" s="227">
        <f t="shared" si="108"/>
        <v>3613.49</v>
      </c>
      <c r="BL55" s="227" t="str">
        <f t="shared" si="108"/>
        <v>-</v>
      </c>
      <c r="BM55" s="159"/>
      <c r="BN55" s="115" t="str">
        <f t="shared" si="115"/>
        <v>9c</v>
      </c>
      <c r="BO55" s="114" t="str">
        <f t="shared" si="109"/>
        <v>-</v>
      </c>
      <c r="BP55" s="114" t="str">
        <f t="shared" si="109"/>
        <v>-</v>
      </c>
      <c r="BQ55" s="114">
        <f t="shared" si="109"/>
        <v>3241.14</v>
      </c>
      <c r="BR55" s="114">
        <f t="shared" si="109"/>
        <v>3469.31</v>
      </c>
      <c r="BS55" s="114">
        <f t="shared" si="109"/>
        <v>3685.76</v>
      </c>
      <c r="BT55" s="114" t="str">
        <f t="shared" si="109"/>
        <v>-</v>
      </c>
      <c r="BU55" s="380">
        <f t="shared" ref="BU55:BU61" si="126">$BW$34</f>
        <v>80</v>
      </c>
      <c r="BV55" s="115" t="str">
        <f t="shared" si="116"/>
        <v>9c</v>
      </c>
      <c r="BW55" s="114" t="str">
        <f t="shared" si="117"/>
        <v>-</v>
      </c>
      <c r="BX55" s="114" t="str">
        <f t="shared" si="118"/>
        <v>-</v>
      </c>
      <c r="BY55" s="114">
        <f t="shared" si="119"/>
        <v>3321.14</v>
      </c>
      <c r="BZ55" s="114">
        <f t="shared" si="120"/>
        <v>3552.57</v>
      </c>
      <c r="CA55" s="114">
        <f t="shared" si="121"/>
        <v>3774.22</v>
      </c>
      <c r="CB55" s="114" t="str">
        <f>IF(BT55="-","-",IF(AND($BU55=0,$BW$35=0),ROUND(BT55*$BW$36,2),IF(AND($BU55&gt;0,$BW$35=0,(((BT55*$BW$36)-BT55)&lt;$BU55)),BT55+$BU55,IF(AND($BU55&gt;0,$BW$35=0,(((BT55*$BW$36)-BT55)&gt;=$BU55)),ROUND(BT55*$BW$36,2),IF(AND($BW$35&gt;0,$CA$35=1),ROUND((BT55+$BW$35)*$BW$36,2),IF(AND($BW$35&gt;0,$CA$35=2),ROUND(BT55*$BW$36,2)+$BW$35))))))</f>
        <v>-</v>
      </c>
    </row>
    <row r="56" spans="2:81">
      <c r="B56" s="75" t="str">
        <f t="shared" si="111"/>
        <v>4a</v>
      </c>
      <c r="C56" s="37">
        <f t="shared" ref="C56:H56" si="127">C12</f>
        <v>1652</v>
      </c>
      <c r="D56" s="37">
        <f t="shared" si="127"/>
        <v>1780</v>
      </c>
      <c r="E56" s="37">
        <f t="shared" si="127"/>
        <v>1900</v>
      </c>
      <c r="F56" s="37">
        <f t="shared" si="127"/>
        <v>2155</v>
      </c>
      <c r="G56" s="37">
        <f t="shared" si="127"/>
        <v>2220</v>
      </c>
      <c r="H56" s="37">
        <f t="shared" si="127"/>
        <v>2340</v>
      </c>
      <c r="AO56" s="159"/>
      <c r="AP56" s="115" t="str">
        <f t="shared" si="105"/>
        <v>9b</v>
      </c>
      <c r="AQ56" s="114" t="str">
        <f t="shared" si="106"/>
        <v>-</v>
      </c>
      <c r="AR56" s="114" t="str">
        <f t="shared" si="106"/>
        <v>-</v>
      </c>
      <c r="AS56" s="114">
        <f t="shared" si="106"/>
        <v>2735.47</v>
      </c>
      <c r="AT56" s="114">
        <f t="shared" si="106"/>
        <v>3093.69</v>
      </c>
      <c r="AU56" s="114">
        <f t="shared" si="106"/>
        <v>3218.52</v>
      </c>
      <c r="AV56" s="114" t="str">
        <f t="shared" si="106"/>
        <v>-</v>
      </c>
      <c r="AW56" s="159"/>
      <c r="AX56" s="115" t="str">
        <f t="shared" si="113"/>
        <v>9b</v>
      </c>
      <c r="AY56" s="112" t="str">
        <f t="shared" si="107"/>
        <v>-</v>
      </c>
      <c r="AZ56" s="112" t="str">
        <f t="shared" si="107"/>
        <v>-</v>
      </c>
      <c r="BA56" s="112">
        <f t="shared" si="107"/>
        <v>2812.06</v>
      </c>
      <c r="BB56" s="112">
        <f t="shared" si="107"/>
        <v>3180.31</v>
      </c>
      <c r="BC56" s="112">
        <f t="shared" si="107"/>
        <v>3308.64</v>
      </c>
      <c r="BD56" s="112" t="str">
        <f t="shared" si="107"/>
        <v>-</v>
      </c>
      <c r="BE56" s="159"/>
      <c r="BF56" s="115" t="str">
        <f t="shared" si="114"/>
        <v>9b</v>
      </c>
      <c r="BG56" s="227" t="str">
        <f t="shared" si="108"/>
        <v>-</v>
      </c>
      <c r="BH56" s="227" t="str">
        <f t="shared" si="108"/>
        <v>-</v>
      </c>
      <c r="BI56" s="227">
        <f t="shared" si="108"/>
        <v>2890.8</v>
      </c>
      <c r="BJ56" s="227">
        <f t="shared" si="108"/>
        <v>3269.36</v>
      </c>
      <c r="BK56" s="227">
        <f t="shared" si="108"/>
        <v>3401.28</v>
      </c>
      <c r="BL56" s="227" t="str">
        <f t="shared" si="108"/>
        <v>-</v>
      </c>
      <c r="BM56" s="159"/>
      <c r="BN56" s="115" t="str">
        <f t="shared" si="115"/>
        <v>9b</v>
      </c>
      <c r="BO56" s="114" t="str">
        <f t="shared" si="109"/>
        <v>-</v>
      </c>
      <c r="BP56" s="114" t="str">
        <f t="shared" si="109"/>
        <v>-</v>
      </c>
      <c r="BQ56" s="114">
        <f t="shared" si="109"/>
        <v>2948.62</v>
      </c>
      <c r="BR56" s="114">
        <f t="shared" si="109"/>
        <v>3334.75</v>
      </c>
      <c r="BS56" s="114">
        <f t="shared" si="109"/>
        <v>3469.31</v>
      </c>
      <c r="BT56" s="114" t="str">
        <f t="shared" si="109"/>
        <v>-</v>
      </c>
      <c r="BU56" s="380">
        <f t="shared" si="126"/>
        <v>80</v>
      </c>
      <c r="BV56" s="115" t="str">
        <f t="shared" si="116"/>
        <v>9b</v>
      </c>
      <c r="BW56" s="114" t="str">
        <f t="shared" si="117"/>
        <v>-</v>
      </c>
      <c r="BX56" s="114" t="str">
        <f t="shared" si="118"/>
        <v>-</v>
      </c>
      <c r="BY56" s="114">
        <f t="shared" si="119"/>
        <v>3028.62</v>
      </c>
      <c r="BZ56" s="114">
        <f t="shared" si="120"/>
        <v>3414.78</v>
      </c>
      <c r="CA56" s="114">
        <f t="shared" si="121"/>
        <v>3552.57</v>
      </c>
      <c r="CB56" s="114" t="str">
        <f>IF(BT56="-","-",IF(AND($BU56=0,$BW$35=0),ROUND(BT56*$BW$36,2),IF(AND($BU56&gt;0,$BW$35=0,(((BT56*$BW$36)-BT56)&lt;$BU56)),BT56+$BU56,IF(AND($BU56&gt;0,$BW$35=0,(((BT56*$BW$36)-BT56)&gt;=$BU56)),ROUND(BT56*$BW$36,2),IF(AND($BW$35&gt;0,$CA$35=1),ROUND((BT56+$BW$35)*$BW$36,2),IF(AND($BW$35&gt;0,$CA$35=2),ROUND(BT56*$BW$36,2)+$BW$35))))))</f>
        <v>-</v>
      </c>
    </row>
    <row r="57" spans="2:81">
      <c r="B57" s="75" t="str">
        <f t="shared" si="111"/>
        <v>3a</v>
      </c>
      <c r="C57" s="37">
        <f t="shared" ref="C57:H57" si="128">C13</f>
        <v>1575</v>
      </c>
      <c r="D57" s="37">
        <f t="shared" si="128"/>
        <v>1750</v>
      </c>
      <c r="E57" s="37">
        <f t="shared" si="128"/>
        <v>1800</v>
      </c>
      <c r="F57" s="37">
        <f t="shared" si="128"/>
        <v>1880</v>
      </c>
      <c r="G57" s="37">
        <f t="shared" si="128"/>
        <v>1940</v>
      </c>
      <c r="H57" s="37">
        <f t="shared" si="128"/>
        <v>2081</v>
      </c>
      <c r="AO57" s="159"/>
      <c r="AP57" s="115" t="str">
        <f t="shared" si="105"/>
        <v>9a</v>
      </c>
      <c r="AQ57" s="114" t="str">
        <f t="shared" si="106"/>
        <v>-</v>
      </c>
      <c r="AR57" s="114" t="str">
        <f t="shared" si="106"/>
        <v>-</v>
      </c>
      <c r="AS57" s="114">
        <f t="shared" si="106"/>
        <v>2735.47</v>
      </c>
      <c r="AT57" s="114">
        <f t="shared" si="106"/>
        <v>2833.17</v>
      </c>
      <c r="AU57" s="114">
        <f t="shared" si="106"/>
        <v>3006.85</v>
      </c>
      <c r="AV57" s="114" t="str">
        <f t="shared" si="106"/>
        <v>-</v>
      </c>
      <c r="AW57" s="159"/>
      <c r="AX57" s="115" t="str">
        <f t="shared" si="113"/>
        <v>9a</v>
      </c>
      <c r="AY57" s="112" t="str">
        <f t="shared" si="107"/>
        <v>-</v>
      </c>
      <c r="AZ57" s="112" t="str">
        <f t="shared" si="107"/>
        <v>-</v>
      </c>
      <c r="BA57" s="112">
        <f t="shared" si="107"/>
        <v>2812.06</v>
      </c>
      <c r="BB57" s="112">
        <f t="shared" si="107"/>
        <v>2912.5</v>
      </c>
      <c r="BC57" s="112">
        <f t="shared" si="107"/>
        <v>3091.04</v>
      </c>
      <c r="BD57" s="112" t="str">
        <f t="shared" si="107"/>
        <v>-</v>
      </c>
      <c r="BE57" s="159"/>
      <c r="BF57" s="115" t="str">
        <f t="shared" si="114"/>
        <v>9a</v>
      </c>
      <c r="BG57" s="227" t="str">
        <f t="shared" si="108"/>
        <v>-</v>
      </c>
      <c r="BH57" s="227" t="str">
        <f t="shared" si="108"/>
        <v>-</v>
      </c>
      <c r="BI57" s="227">
        <f t="shared" si="108"/>
        <v>2890.8</v>
      </c>
      <c r="BJ57" s="227">
        <f t="shared" si="108"/>
        <v>2994.05</v>
      </c>
      <c r="BK57" s="227">
        <f t="shared" si="108"/>
        <v>3177.59</v>
      </c>
      <c r="BL57" s="227" t="str">
        <f t="shared" si="108"/>
        <v>-</v>
      </c>
      <c r="BM57" s="159"/>
      <c r="BN57" s="115" t="str">
        <f t="shared" si="115"/>
        <v>9a</v>
      </c>
      <c r="BO57" s="114" t="str">
        <f t="shared" si="109"/>
        <v>-</v>
      </c>
      <c r="BP57" s="114" t="str">
        <f t="shared" si="109"/>
        <v>-</v>
      </c>
      <c r="BQ57" s="114">
        <f t="shared" si="109"/>
        <v>2948.62</v>
      </c>
      <c r="BR57" s="114">
        <f t="shared" si="109"/>
        <v>3053.93</v>
      </c>
      <c r="BS57" s="114">
        <f t="shared" si="109"/>
        <v>3241.14</v>
      </c>
      <c r="BT57" s="114" t="str">
        <f t="shared" si="109"/>
        <v>-</v>
      </c>
      <c r="BU57" s="380">
        <f t="shared" si="126"/>
        <v>80</v>
      </c>
      <c r="BV57" s="115" t="str">
        <f t="shared" si="116"/>
        <v>9a</v>
      </c>
      <c r="BW57" s="114" t="str">
        <f t="shared" si="117"/>
        <v>-</v>
      </c>
      <c r="BX57" s="114" t="str">
        <f t="shared" ref="BX57:CB61" si="129">IF(BP57="-","-",IF(AND($BU57=0,$BW$35=0),ROUND(BP57*$BW$36,2),IF(AND($BU57&gt;0,$BW$35=0,(((BP57*$BW$36)-BP57)&lt;$BU57)),BP57+$BU57,IF(AND($BU57&gt;0,$BW$35=0,(((BP57*$BW$36)-BP57)&gt;=$BU57)),ROUND(BP57*$BW$36,2),IF(AND($BW$35&gt;0,$CA$35=1),ROUND((BP57+$BW$35)*$BW$36,2),IF(AND($BW$35&gt;0,$CA$35=2),ROUND(BP57*$BW$36,2)+$BW$35))))))</f>
        <v>-</v>
      </c>
      <c r="BY57" s="114">
        <f t="shared" si="129"/>
        <v>3028.62</v>
      </c>
      <c r="BZ57" s="114">
        <f t="shared" si="129"/>
        <v>3133.93</v>
      </c>
      <c r="CA57" s="114">
        <f t="shared" si="129"/>
        <v>3321.14</v>
      </c>
      <c r="CB57" s="114" t="str">
        <f t="shared" si="129"/>
        <v>-</v>
      </c>
    </row>
    <row r="58" spans="2:81">
      <c r="B58" s="75"/>
      <c r="C58" s="37"/>
      <c r="D58" s="37"/>
      <c r="E58" s="37"/>
      <c r="F58" s="37"/>
      <c r="G58" s="37"/>
      <c r="H58" s="37"/>
      <c r="AO58" s="159"/>
      <c r="AP58" s="115" t="str">
        <f t="shared" si="105"/>
        <v>8a</v>
      </c>
      <c r="AQ58" s="114">
        <f t="shared" si="106"/>
        <v>2279.56</v>
      </c>
      <c r="AR58" s="114">
        <f t="shared" si="106"/>
        <v>2426.1</v>
      </c>
      <c r="AS58" s="114">
        <f t="shared" si="106"/>
        <v>2545.5</v>
      </c>
      <c r="AT58" s="114">
        <f t="shared" si="106"/>
        <v>2648.63</v>
      </c>
      <c r="AU58" s="114">
        <f t="shared" si="106"/>
        <v>2833.17</v>
      </c>
      <c r="AV58" s="114">
        <f t="shared" si="106"/>
        <v>3006.85</v>
      </c>
      <c r="AW58" s="159"/>
      <c r="AX58" s="115" t="str">
        <f t="shared" si="113"/>
        <v>8a</v>
      </c>
      <c r="AY58" s="112">
        <f t="shared" si="107"/>
        <v>2343.39</v>
      </c>
      <c r="AZ58" s="112">
        <f t="shared" si="107"/>
        <v>2494.0300000000002</v>
      </c>
      <c r="BA58" s="112">
        <f t="shared" si="107"/>
        <v>2616.77</v>
      </c>
      <c r="BB58" s="112">
        <f t="shared" si="107"/>
        <v>2722.79</v>
      </c>
      <c r="BC58" s="112">
        <f t="shared" si="107"/>
        <v>2912.5</v>
      </c>
      <c r="BD58" s="112">
        <f t="shared" si="107"/>
        <v>3091.04</v>
      </c>
      <c r="BE58" s="159"/>
      <c r="BF58" s="115" t="str">
        <f t="shared" si="114"/>
        <v>8a</v>
      </c>
      <c r="BG58" s="227">
        <f t="shared" si="108"/>
        <v>2409</v>
      </c>
      <c r="BH58" s="227">
        <f t="shared" si="108"/>
        <v>2563.86</v>
      </c>
      <c r="BI58" s="227">
        <f t="shared" si="108"/>
        <v>2690.04</v>
      </c>
      <c r="BJ58" s="227">
        <f t="shared" si="108"/>
        <v>2799.03</v>
      </c>
      <c r="BK58" s="227">
        <f t="shared" si="108"/>
        <v>2994.05</v>
      </c>
      <c r="BL58" s="227">
        <f t="shared" si="108"/>
        <v>3177.59</v>
      </c>
      <c r="BM58" s="159"/>
      <c r="BN58" s="115" t="str">
        <f t="shared" si="115"/>
        <v>8a</v>
      </c>
      <c r="BO58" s="114">
        <f t="shared" si="109"/>
        <v>2457.1799999999998</v>
      </c>
      <c r="BP58" s="114">
        <f t="shared" si="109"/>
        <v>2615.14</v>
      </c>
      <c r="BQ58" s="114">
        <f t="shared" si="109"/>
        <v>2743.84</v>
      </c>
      <c r="BR58" s="114">
        <f t="shared" si="109"/>
        <v>2855.01</v>
      </c>
      <c r="BS58" s="114">
        <f t="shared" si="109"/>
        <v>3053.93</v>
      </c>
      <c r="BT58" s="114">
        <f t="shared" si="109"/>
        <v>3241.14</v>
      </c>
      <c r="BU58" s="380">
        <f t="shared" si="126"/>
        <v>80</v>
      </c>
      <c r="BV58" s="115" t="str">
        <f t="shared" si="116"/>
        <v>8a</v>
      </c>
      <c r="BW58" s="114">
        <f t="shared" si="117"/>
        <v>2537.1799999999998</v>
      </c>
      <c r="BX58" s="114">
        <f t="shared" si="129"/>
        <v>2695.14</v>
      </c>
      <c r="BY58" s="114">
        <f t="shared" si="129"/>
        <v>2823.84</v>
      </c>
      <c r="BZ58" s="114">
        <f t="shared" si="129"/>
        <v>2935.01</v>
      </c>
      <c r="CA58" s="114">
        <f t="shared" si="129"/>
        <v>3133.93</v>
      </c>
      <c r="CB58" s="114">
        <f t="shared" si="129"/>
        <v>3321.14</v>
      </c>
    </row>
    <row r="59" spans="2:81">
      <c r="B59" s="75"/>
      <c r="C59" s="37"/>
      <c r="D59" s="37"/>
      <c r="E59" s="37"/>
      <c r="F59" s="37"/>
      <c r="G59" s="37"/>
      <c r="H59" s="37"/>
      <c r="AO59" s="159"/>
      <c r="AP59" s="115" t="str">
        <f t="shared" si="105"/>
        <v>7a</v>
      </c>
      <c r="AQ59" s="114">
        <f t="shared" si="106"/>
        <v>2111.3000000000002</v>
      </c>
      <c r="AR59" s="114">
        <f t="shared" si="106"/>
        <v>2279.56</v>
      </c>
      <c r="AS59" s="114">
        <f t="shared" si="106"/>
        <v>2426.1</v>
      </c>
      <c r="AT59" s="114">
        <f t="shared" si="106"/>
        <v>2648.63</v>
      </c>
      <c r="AU59" s="114">
        <f t="shared" si="106"/>
        <v>2762.61</v>
      </c>
      <c r="AV59" s="114">
        <f t="shared" si="106"/>
        <v>2876.58</v>
      </c>
      <c r="AW59" s="159"/>
      <c r="AX59" s="115" t="str">
        <f t="shared" si="113"/>
        <v>7a</v>
      </c>
      <c r="AY59" s="112">
        <f t="shared" si="107"/>
        <v>2170.42</v>
      </c>
      <c r="AZ59" s="112">
        <f t="shared" si="107"/>
        <v>2343.39</v>
      </c>
      <c r="BA59" s="112">
        <f t="shared" si="107"/>
        <v>2494.0300000000002</v>
      </c>
      <c r="BB59" s="112">
        <f t="shared" si="107"/>
        <v>2722.79</v>
      </c>
      <c r="BC59" s="112">
        <f t="shared" si="107"/>
        <v>2839.96</v>
      </c>
      <c r="BD59" s="112">
        <f t="shared" si="107"/>
        <v>2957.12</v>
      </c>
      <c r="BE59" s="159"/>
      <c r="BF59" s="115" t="str">
        <f t="shared" si="114"/>
        <v>7a</v>
      </c>
      <c r="BG59" s="227">
        <f t="shared" si="108"/>
        <v>2231.19</v>
      </c>
      <c r="BH59" s="227">
        <f t="shared" si="108"/>
        <v>2409</v>
      </c>
      <c r="BI59" s="227">
        <f t="shared" si="108"/>
        <v>2563.86</v>
      </c>
      <c r="BJ59" s="227">
        <f t="shared" si="108"/>
        <v>2799.03</v>
      </c>
      <c r="BK59" s="227">
        <f t="shared" si="108"/>
        <v>2919.48</v>
      </c>
      <c r="BL59" s="227">
        <f t="shared" si="108"/>
        <v>3039.92</v>
      </c>
      <c r="BM59" s="159"/>
      <c r="BN59" s="115" t="str">
        <f t="shared" si="115"/>
        <v>7a</v>
      </c>
      <c r="BO59" s="114">
        <f t="shared" si="109"/>
        <v>2275.81</v>
      </c>
      <c r="BP59" s="114">
        <f t="shared" si="109"/>
        <v>2457.1799999999998</v>
      </c>
      <c r="BQ59" s="114">
        <f t="shared" si="109"/>
        <v>2615.14</v>
      </c>
      <c r="BR59" s="114">
        <f t="shared" si="109"/>
        <v>2855.01</v>
      </c>
      <c r="BS59" s="114">
        <f t="shared" si="109"/>
        <v>2977.87</v>
      </c>
      <c r="BT59" s="114">
        <f t="shared" si="109"/>
        <v>3100.72</v>
      </c>
      <c r="BU59" s="380">
        <f t="shared" si="126"/>
        <v>80</v>
      </c>
      <c r="BV59" s="115" t="str">
        <f t="shared" si="116"/>
        <v>7a</v>
      </c>
      <c r="BW59" s="114">
        <f t="shared" si="117"/>
        <v>2355.81</v>
      </c>
      <c r="BX59" s="114">
        <f t="shared" si="129"/>
        <v>2537.1799999999998</v>
      </c>
      <c r="BY59" s="114">
        <f t="shared" si="129"/>
        <v>2695.14</v>
      </c>
      <c r="BZ59" s="114">
        <f t="shared" si="129"/>
        <v>2935.01</v>
      </c>
      <c r="CA59" s="114">
        <f t="shared" si="129"/>
        <v>3057.87</v>
      </c>
      <c r="CB59" s="114">
        <f t="shared" si="129"/>
        <v>3180.72</v>
      </c>
    </row>
    <row r="60" spans="2:81">
      <c r="B60" s="75"/>
      <c r="C60" s="37"/>
      <c r="D60" s="37"/>
      <c r="E60" s="37"/>
      <c r="F60" s="37"/>
      <c r="G60" s="37"/>
      <c r="H60" s="37"/>
      <c r="AO60" s="159"/>
      <c r="AP60" s="115" t="str">
        <f t="shared" si="105"/>
        <v>4a</v>
      </c>
      <c r="AQ60" s="114">
        <f t="shared" si="106"/>
        <v>1888.78</v>
      </c>
      <c r="AR60" s="114">
        <f t="shared" si="106"/>
        <v>2035.33</v>
      </c>
      <c r="AS60" s="114">
        <f t="shared" si="106"/>
        <v>2171.0100000000002</v>
      </c>
      <c r="AT60" s="114">
        <f t="shared" si="106"/>
        <v>2453.2399999999998</v>
      </c>
      <c r="AU60" s="114">
        <f t="shared" si="106"/>
        <v>2523.8000000000002</v>
      </c>
      <c r="AV60" s="114">
        <f t="shared" si="106"/>
        <v>2659.48</v>
      </c>
      <c r="AW60" s="159"/>
      <c r="AX60" s="115" t="str">
        <f t="shared" si="113"/>
        <v>4a</v>
      </c>
      <c r="AY60" s="112">
        <f t="shared" si="107"/>
        <v>1941.67</v>
      </c>
      <c r="AZ60" s="112">
        <f t="shared" si="107"/>
        <v>2092.3200000000002</v>
      </c>
      <c r="BA60" s="112">
        <f t="shared" si="107"/>
        <v>2231.8000000000002</v>
      </c>
      <c r="BB60" s="112">
        <f t="shared" si="107"/>
        <v>2521.9299999999998</v>
      </c>
      <c r="BC60" s="112">
        <f t="shared" si="107"/>
        <v>2594.4699999999998</v>
      </c>
      <c r="BD60" s="112">
        <f t="shared" si="107"/>
        <v>2733.95</v>
      </c>
      <c r="BE60" s="159"/>
      <c r="BF60" s="115" t="str">
        <f t="shared" si="114"/>
        <v>4a</v>
      </c>
      <c r="BG60" s="227">
        <f t="shared" si="108"/>
        <v>1996.04</v>
      </c>
      <c r="BH60" s="227">
        <f t="shared" si="108"/>
        <v>2150.9</v>
      </c>
      <c r="BI60" s="227">
        <f t="shared" si="108"/>
        <v>2294.29</v>
      </c>
      <c r="BJ60" s="227">
        <f t="shared" si="108"/>
        <v>2592.54</v>
      </c>
      <c r="BK60" s="227">
        <f t="shared" si="108"/>
        <v>2667.12</v>
      </c>
      <c r="BL60" s="227">
        <f t="shared" si="108"/>
        <v>2810.5</v>
      </c>
      <c r="BM60" s="159"/>
      <c r="BN60" s="115" t="str">
        <f t="shared" si="115"/>
        <v>4a</v>
      </c>
      <c r="BO60" s="114">
        <f t="shared" si="109"/>
        <v>2035.96</v>
      </c>
      <c r="BP60" s="114">
        <f t="shared" si="109"/>
        <v>2193.92</v>
      </c>
      <c r="BQ60" s="114">
        <f t="shared" si="109"/>
        <v>2340.1799999999998</v>
      </c>
      <c r="BR60" s="114">
        <f t="shared" si="109"/>
        <v>2644.39</v>
      </c>
      <c r="BS60" s="114">
        <f t="shared" si="109"/>
        <v>2720.46</v>
      </c>
      <c r="BT60" s="114">
        <f t="shared" si="109"/>
        <v>2866.71</v>
      </c>
      <c r="BU60" s="380">
        <f t="shared" si="126"/>
        <v>80</v>
      </c>
      <c r="BV60" s="115" t="str">
        <f t="shared" si="116"/>
        <v>4a</v>
      </c>
      <c r="BW60" s="114">
        <f t="shared" si="117"/>
        <v>2115.96</v>
      </c>
      <c r="BX60" s="114">
        <f t="shared" si="129"/>
        <v>2273.92</v>
      </c>
      <c r="BY60" s="114">
        <f t="shared" si="129"/>
        <v>2420.1799999999998</v>
      </c>
      <c r="BZ60" s="114">
        <f t="shared" si="129"/>
        <v>2724.39</v>
      </c>
      <c r="CA60" s="114">
        <f t="shared" si="129"/>
        <v>2800.46</v>
      </c>
      <c r="CB60" s="114">
        <f t="shared" si="129"/>
        <v>2946.71</v>
      </c>
    </row>
    <row r="61" spans="2:81">
      <c r="B61" s="75"/>
      <c r="C61" s="37"/>
      <c r="D61" s="37"/>
      <c r="E61" s="37"/>
      <c r="F61" s="37"/>
      <c r="G61" s="37"/>
      <c r="H61" s="37"/>
      <c r="AO61" s="159"/>
      <c r="AP61" s="115" t="str">
        <f t="shared" si="105"/>
        <v>3a</v>
      </c>
      <c r="AQ61" s="114">
        <f t="shared" si="106"/>
        <v>1807.36</v>
      </c>
      <c r="AR61" s="114">
        <f t="shared" si="106"/>
        <v>2002.75</v>
      </c>
      <c r="AS61" s="114">
        <f t="shared" si="106"/>
        <v>2057.0300000000002</v>
      </c>
      <c r="AT61" s="114">
        <f t="shared" si="106"/>
        <v>2143.87</v>
      </c>
      <c r="AU61" s="114">
        <f t="shared" si="106"/>
        <v>2214.4299999999998</v>
      </c>
      <c r="AV61" s="114">
        <f t="shared" si="106"/>
        <v>2371.8200000000002</v>
      </c>
      <c r="AW61" s="159"/>
      <c r="AX61" s="115" t="str">
        <f t="shared" si="113"/>
        <v>3a</v>
      </c>
      <c r="AY61" s="112">
        <f t="shared" si="107"/>
        <v>1857.97</v>
      </c>
      <c r="AZ61" s="112">
        <f t="shared" si="107"/>
        <v>2058.83</v>
      </c>
      <c r="BA61" s="112">
        <f t="shared" si="107"/>
        <v>2114.63</v>
      </c>
      <c r="BB61" s="112">
        <f t="shared" si="107"/>
        <v>2203.9</v>
      </c>
      <c r="BC61" s="112">
        <f t="shared" si="107"/>
        <v>2276.4299999999998</v>
      </c>
      <c r="BD61" s="112">
        <f t="shared" si="107"/>
        <v>2438.23</v>
      </c>
      <c r="BE61" s="159"/>
      <c r="BF61" s="115" t="str">
        <f t="shared" si="114"/>
        <v>3a</v>
      </c>
      <c r="BG61" s="227">
        <f t="shared" si="108"/>
        <v>1909.99</v>
      </c>
      <c r="BH61" s="227">
        <f t="shared" si="108"/>
        <v>2116.48</v>
      </c>
      <c r="BI61" s="227">
        <f t="shared" si="108"/>
        <v>2173.84</v>
      </c>
      <c r="BJ61" s="227">
        <f t="shared" si="108"/>
        <v>2265.61</v>
      </c>
      <c r="BK61" s="227">
        <f t="shared" si="108"/>
        <v>2340.17</v>
      </c>
      <c r="BL61" s="227">
        <f t="shared" si="108"/>
        <v>2506.5</v>
      </c>
      <c r="BM61" s="159"/>
      <c r="BN61" s="115" t="str">
        <f t="shared" si="115"/>
        <v>3a</v>
      </c>
      <c r="BO61" s="114">
        <f t="shared" si="109"/>
        <v>1948.19</v>
      </c>
      <c r="BP61" s="114">
        <f t="shared" si="109"/>
        <v>2158.81</v>
      </c>
      <c r="BQ61" s="114">
        <f t="shared" si="109"/>
        <v>2217.3200000000002</v>
      </c>
      <c r="BR61" s="114">
        <f t="shared" si="109"/>
        <v>2310.92</v>
      </c>
      <c r="BS61" s="114">
        <f t="shared" si="109"/>
        <v>2386.9699999999998</v>
      </c>
      <c r="BT61" s="114">
        <f t="shared" si="109"/>
        <v>2556.63</v>
      </c>
      <c r="BU61" s="380">
        <f t="shared" si="126"/>
        <v>80</v>
      </c>
      <c r="BV61" s="115" t="str">
        <f t="shared" si="116"/>
        <v>3a</v>
      </c>
      <c r="BW61" s="114">
        <f t="shared" si="117"/>
        <v>2028.19</v>
      </c>
      <c r="BX61" s="114">
        <f t="shared" si="129"/>
        <v>2238.81</v>
      </c>
      <c r="BY61" s="114">
        <f t="shared" si="129"/>
        <v>2297.3200000000002</v>
      </c>
      <c r="BZ61" s="114">
        <f t="shared" si="129"/>
        <v>2390.92</v>
      </c>
      <c r="CA61" s="114">
        <f t="shared" si="129"/>
        <v>2466.9699999999998</v>
      </c>
      <c r="CB61" s="114">
        <f t="shared" si="129"/>
        <v>2636.63</v>
      </c>
    </row>
    <row r="62" spans="2:81">
      <c r="B62" s="75"/>
      <c r="C62" s="37"/>
      <c r="D62" s="37"/>
      <c r="E62" s="37"/>
      <c r="F62" s="37"/>
      <c r="G62" s="37"/>
      <c r="H62" s="37"/>
    </row>
    <row r="63" spans="2:81">
      <c r="B63" s="75"/>
      <c r="C63" s="37"/>
      <c r="D63" s="37"/>
      <c r="E63" s="37"/>
      <c r="F63" s="37"/>
      <c r="G63" s="37"/>
      <c r="H63" s="37"/>
    </row>
    <row r="64" spans="2:81">
      <c r="B64" s="75"/>
      <c r="C64" s="37"/>
      <c r="D64" s="37"/>
      <c r="E64" s="37"/>
      <c r="F64" s="37"/>
      <c r="G64" s="37"/>
      <c r="H64" s="37"/>
    </row>
    <row r="67" spans="1:8">
      <c r="A67" s="155" t="s">
        <v>83</v>
      </c>
      <c r="B67" s="152">
        <f>Para!C50</f>
        <v>1</v>
      </c>
      <c r="C67" s="148" t="str">
        <f>Para!G55</f>
        <v>EG Kr 9d - 3a</v>
      </c>
      <c r="D67" s="147"/>
      <c r="E67" s="147"/>
      <c r="F67" s="147"/>
      <c r="G67" s="147"/>
      <c r="H67" s="147"/>
    </row>
    <row r="68" spans="1:8">
      <c r="B68" s="75" t="str">
        <f t="shared" ref="B68:H68" si="130">B45</f>
        <v>EG</v>
      </c>
      <c r="C68" s="75" t="str">
        <f t="shared" si="130"/>
        <v>Stufe 1</v>
      </c>
      <c r="D68" s="75" t="str">
        <f t="shared" si="130"/>
        <v>Stufe 2</v>
      </c>
      <c r="E68" s="75" t="str">
        <f t="shared" si="130"/>
        <v>Stufe 3</v>
      </c>
      <c r="F68" s="75" t="str">
        <f t="shared" si="130"/>
        <v>Stufe 4</v>
      </c>
      <c r="G68" s="75" t="str">
        <f t="shared" si="130"/>
        <v>Stufe 5</v>
      </c>
      <c r="H68" s="75" t="str">
        <f t="shared" si="130"/>
        <v>Stufe 6</v>
      </c>
    </row>
    <row r="69" spans="1:8">
      <c r="B69" s="75" t="str">
        <f t="shared" ref="B69:B80" si="131">B46</f>
        <v>12a</v>
      </c>
      <c r="C69" s="37" t="str">
        <f>IF(K2="-","-",IF(K2="","",ROUND(K2*Para!$C$49,0)))</f>
        <v>-</v>
      </c>
      <c r="D69" s="37" t="str">
        <f>IF(L2="-","-",IF(L2="","",ROUND(L2*Para!$C$49,0)))</f>
        <v>-</v>
      </c>
      <c r="E69" s="37">
        <f>IF(M2="-","-",IF(M2="","",ROUND(M2*Para!$C$49,0)))</f>
        <v>3048</v>
      </c>
      <c r="F69" s="37">
        <f>IF(N2="-","-",IF(N2="","",ROUND(N2*Para!$C$49,0)))</f>
        <v>3381</v>
      </c>
      <c r="G69" s="37">
        <f>IF(O2="-","-",IF(O2="","",ROUND(O2*Para!$C$49,0)))</f>
        <v>3811</v>
      </c>
      <c r="H69" s="408">
        <f>IF(P2="-","-",IF(P2="","",ROUND(P2*Para!$C$49,0)))</f>
        <v>4001</v>
      </c>
    </row>
    <row r="70" spans="1:8">
      <c r="B70" s="75" t="str">
        <f t="shared" si="131"/>
        <v>11b</v>
      </c>
      <c r="C70" s="37" t="str">
        <f>IF(K3="-","-",IF(K3="","",ROUND(K3*Para!$C$49,0)))</f>
        <v>-</v>
      </c>
      <c r="D70" s="37" t="str">
        <f>IF(L3="-","-",IF(L3="","",ROUND(L3*Para!$C$49,0)))</f>
        <v>-</v>
      </c>
      <c r="E70" s="37" t="str">
        <f>IF(M3="-","-",IF(M3="","",ROUND(M3*Para!$C$49,0)))</f>
        <v>-</v>
      </c>
      <c r="F70" s="37">
        <f>IF(N3="-","-",IF(N3="","",ROUND(N3*Para!$C$49,0)))</f>
        <v>3048</v>
      </c>
      <c r="G70" s="37">
        <f>IF(O3="-","-",IF(O3="","",ROUND(O3*Para!$C$49,0)))</f>
        <v>3464</v>
      </c>
      <c r="H70" s="408">
        <f>IF(P3="-","-",IF(P3="","",ROUND(P3*Para!$C$49,0)))</f>
        <v>3654</v>
      </c>
    </row>
    <row r="71" spans="1:8">
      <c r="B71" s="75" t="str">
        <f t="shared" si="131"/>
        <v>11a</v>
      </c>
      <c r="C71" s="37" t="str">
        <f>IF(K4="-","-",IF(K4="","",ROUND(K4*Para!$C$49,0)))</f>
        <v>-</v>
      </c>
      <c r="D71" s="37" t="str">
        <f>IF(L4="-","-",IF(L4="","",ROUND(L4*Para!$C$49,0)))</f>
        <v>-</v>
      </c>
      <c r="E71" s="37">
        <f>IF(M4="-","-",IF(M4="","",ROUND(M4*Para!$C$49,0)))</f>
        <v>2761</v>
      </c>
      <c r="F71" s="37">
        <f>IF(N4="-","-",IF(N4="","",ROUND(N4*Para!$C$49,0)))</f>
        <v>3048</v>
      </c>
      <c r="G71" s="37">
        <f>IF(O4="-","-",IF(O4="","",ROUND(O4*Para!$C$49,0)))</f>
        <v>3464</v>
      </c>
      <c r="H71" s="37" t="str">
        <f>IF(P4="-","-",IF(P4="","",ROUND(P4*Para!$C$49,0)))</f>
        <v>-</v>
      </c>
    </row>
    <row r="72" spans="1:8">
      <c r="B72" s="75" t="str">
        <f t="shared" si="131"/>
        <v>10a</v>
      </c>
      <c r="C72" s="37" t="str">
        <f>IF(K5="-","-",IF(K5="","",ROUND(K5*Para!$C$49,0)))</f>
        <v>-</v>
      </c>
      <c r="D72" s="37" t="str">
        <f>IF(L5="-","-",IF(L5="","",ROUND(L5*Para!$C$49,0)))</f>
        <v>-</v>
      </c>
      <c r="E72" s="37">
        <f>IF(M5="-","-",IF(M5="","",ROUND(M5*Para!$C$49,0)))</f>
        <v>2669</v>
      </c>
      <c r="F72" s="37">
        <f>IF(N5="-","-",IF(N5="","",ROUND(N5*Para!$C$49,0)))</f>
        <v>2858</v>
      </c>
      <c r="G72" s="37">
        <f>IF(O5="-","-",IF(O5="","",ROUND(O5*Para!$C$49,0)))</f>
        <v>3219</v>
      </c>
      <c r="H72" s="37" t="str">
        <f>IF(P5="-","-",IF(P5="","",ROUND(P5*Para!$C$49,0)))</f>
        <v>-</v>
      </c>
    </row>
    <row r="73" spans="1:8">
      <c r="B73" s="75" t="str">
        <f t="shared" si="131"/>
        <v>9d</v>
      </c>
      <c r="C73" s="37" t="str">
        <f>IF(K6="-","-",IF(K6="","",ROUND(K6*Para!$C$49,0)))</f>
        <v>-</v>
      </c>
      <c r="D73" s="37" t="str">
        <f>IF(L6="-","-",IF(L6="","",ROUND(L6*Para!$C$49,0)))</f>
        <v>-</v>
      </c>
      <c r="E73" s="37">
        <f>IF(M6="-","-",IF(M6="","",ROUND(M6*Para!$C$49,0)))</f>
        <v>2599</v>
      </c>
      <c r="F73" s="37">
        <f>IF(N6="-","-",IF(N6="","",ROUND(N6*Para!$C$49,0)))</f>
        <v>2840</v>
      </c>
      <c r="G73" s="37">
        <f>IF(O6="-","-",IF(O6="","",ROUND(O6*Para!$C$49,0)))</f>
        <v>3029</v>
      </c>
      <c r="H73" s="37" t="str">
        <f>IF(P6="-","-",IF(P6="","",ROUND(P6*Para!$C$49,0)))</f>
        <v>-</v>
      </c>
    </row>
    <row r="74" spans="1:8">
      <c r="B74" s="75" t="str">
        <f t="shared" si="131"/>
        <v>9c</v>
      </c>
      <c r="C74" s="37" t="str">
        <f t="shared" ref="C74:H74" si="132">K7</f>
        <v>-</v>
      </c>
      <c r="D74" s="37" t="str">
        <f t="shared" si="132"/>
        <v>-</v>
      </c>
      <c r="E74" s="37">
        <f t="shared" si="132"/>
        <v>2730</v>
      </c>
      <c r="F74" s="37">
        <f t="shared" si="132"/>
        <v>2925</v>
      </c>
      <c r="G74" s="37">
        <f t="shared" si="132"/>
        <v>3110</v>
      </c>
      <c r="H74" s="37" t="str">
        <f t="shared" si="132"/>
        <v>-</v>
      </c>
    </row>
    <row r="75" spans="1:8">
      <c r="B75" s="75" t="str">
        <f t="shared" si="131"/>
        <v>9b</v>
      </c>
      <c r="C75" s="37" t="str">
        <f t="shared" ref="C75:C80" si="133">K8</f>
        <v>-</v>
      </c>
      <c r="D75" s="37" t="str">
        <f t="shared" ref="D75:D80" si="134">L8</f>
        <v>-</v>
      </c>
      <c r="E75" s="37">
        <f t="shared" ref="E75:E80" si="135">M8</f>
        <v>2480</v>
      </c>
      <c r="F75" s="37">
        <f t="shared" ref="F75:F80" si="136">N8</f>
        <v>2810</v>
      </c>
      <c r="G75" s="37">
        <f t="shared" ref="G75:G80" si="137">O8</f>
        <v>2925</v>
      </c>
      <c r="H75" s="37" t="str">
        <f t="shared" ref="H75:H80" si="138">P8</f>
        <v>-</v>
      </c>
    </row>
    <row r="76" spans="1:8">
      <c r="B76" s="75" t="str">
        <f t="shared" si="131"/>
        <v>9a</v>
      </c>
      <c r="C76" s="37" t="str">
        <f t="shared" si="133"/>
        <v>-</v>
      </c>
      <c r="D76" s="37" t="str">
        <f t="shared" si="134"/>
        <v>-</v>
      </c>
      <c r="E76" s="37">
        <f t="shared" si="135"/>
        <v>2480</v>
      </c>
      <c r="F76" s="37">
        <f t="shared" si="136"/>
        <v>2570</v>
      </c>
      <c r="G76" s="37">
        <f t="shared" si="137"/>
        <v>2730</v>
      </c>
      <c r="H76" s="37" t="str">
        <f t="shared" si="138"/>
        <v>-</v>
      </c>
    </row>
    <row r="77" spans="1:8">
      <c r="B77" s="75" t="str">
        <f t="shared" si="131"/>
        <v>8a</v>
      </c>
      <c r="C77" s="37">
        <f t="shared" si="133"/>
        <v>2060</v>
      </c>
      <c r="D77" s="37">
        <f t="shared" si="134"/>
        <v>2195</v>
      </c>
      <c r="E77" s="37">
        <f t="shared" si="135"/>
        <v>2305</v>
      </c>
      <c r="F77" s="37">
        <f t="shared" si="136"/>
        <v>2400</v>
      </c>
      <c r="G77" s="37">
        <f t="shared" si="137"/>
        <v>2570</v>
      </c>
      <c r="H77" s="37">
        <f t="shared" si="138"/>
        <v>2730</v>
      </c>
    </row>
    <row r="78" spans="1:8">
      <c r="B78" s="75" t="str">
        <f t="shared" si="131"/>
        <v>7a</v>
      </c>
      <c r="C78" s="37">
        <f t="shared" si="133"/>
        <v>1905</v>
      </c>
      <c r="D78" s="37">
        <f t="shared" si="134"/>
        <v>2060</v>
      </c>
      <c r="E78" s="37">
        <f t="shared" si="135"/>
        <v>2195</v>
      </c>
      <c r="F78" s="37">
        <f t="shared" si="136"/>
        <v>2400</v>
      </c>
      <c r="G78" s="37">
        <f t="shared" si="137"/>
        <v>2505</v>
      </c>
      <c r="H78" s="37">
        <f t="shared" si="138"/>
        <v>2610</v>
      </c>
    </row>
    <row r="79" spans="1:8">
      <c r="B79" s="75" t="str">
        <f t="shared" si="131"/>
        <v>4a</v>
      </c>
      <c r="C79" s="37">
        <f t="shared" si="133"/>
        <v>1700</v>
      </c>
      <c r="D79" s="37">
        <f t="shared" si="134"/>
        <v>1835</v>
      </c>
      <c r="E79" s="37">
        <f t="shared" si="135"/>
        <v>1960</v>
      </c>
      <c r="F79" s="37">
        <f t="shared" si="136"/>
        <v>2220</v>
      </c>
      <c r="G79" s="37">
        <f t="shared" si="137"/>
        <v>2285</v>
      </c>
      <c r="H79" s="37">
        <f t="shared" si="138"/>
        <v>2410</v>
      </c>
    </row>
    <row r="80" spans="1:8">
      <c r="B80" s="75" t="str">
        <f t="shared" si="131"/>
        <v>3a</v>
      </c>
      <c r="C80" s="37">
        <f t="shared" si="133"/>
        <v>1625</v>
      </c>
      <c r="D80" s="37">
        <f t="shared" si="134"/>
        <v>1805</v>
      </c>
      <c r="E80" s="37">
        <f t="shared" si="135"/>
        <v>1855</v>
      </c>
      <c r="F80" s="37">
        <f t="shared" si="136"/>
        <v>1935</v>
      </c>
      <c r="G80" s="37">
        <f t="shared" si="137"/>
        <v>2000</v>
      </c>
      <c r="H80" s="37">
        <f t="shared" si="138"/>
        <v>2145</v>
      </c>
    </row>
    <row r="81" spans="2:8">
      <c r="B81" s="179" t="str">
        <f>""</f>
        <v/>
      </c>
      <c r="C81" s="179" t="str">
        <f>""</f>
        <v/>
      </c>
      <c r="D81" s="179" t="str">
        <f>""</f>
        <v/>
      </c>
      <c r="E81" s="179" t="str">
        <f>""</f>
        <v/>
      </c>
      <c r="F81" s="179" t="str">
        <f>""</f>
        <v/>
      </c>
      <c r="G81" s="179" t="str">
        <f>""</f>
        <v/>
      </c>
      <c r="H81" s="179" t="str">
        <f>""</f>
        <v/>
      </c>
    </row>
    <row r="82" spans="2:8">
      <c r="B82" s="179" t="str">
        <f>""</f>
        <v/>
      </c>
      <c r="C82" s="179" t="str">
        <f>""</f>
        <v/>
      </c>
      <c r="D82" s="179" t="str">
        <f>""</f>
        <v/>
      </c>
      <c r="E82" s="179" t="str">
        <f>""</f>
        <v/>
      </c>
      <c r="F82" s="179" t="str">
        <f>""</f>
        <v/>
      </c>
      <c r="G82" s="179" t="str">
        <f>""</f>
        <v/>
      </c>
      <c r="H82" s="179" t="str">
        <f>""</f>
        <v/>
      </c>
    </row>
    <row r="83" spans="2:8">
      <c r="B83" s="179" t="str">
        <f>""</f>
        <v/>
      </c>
      <c r="C83" s="179" t="str">
        <f>""</f>
        <v/>
      </c>
      <c r="D83" s="179" t="str">
        <f>""</f>
        <v/>
      </c>
      <c r="E83" s="179" t="str">
        <f>""</f>
        <v/>
      </c>
      <c r="F83" s="179" t="str">
        <f>""</f>
        <v/>
      </c>
      <c r="G83" s="179" t="str">
        <f>""</f>
        <v/>
      </c>
      <c r="H83" s="179" t="str">
        <f>""</f>
        <v/>
      </c>
    </row>
    <row r="84" spans="2:8">
      <c r="B84" s="179" t="str">
        <f>""</f>
        <v/>
      </c>
      <c r="C84" s="179" t="str">
        <f>""</f>
        <v/>
      </c>
      <c r="D84" s="179" t="str">
        <f>""</f>
        <v/>
      </c>
      <c r="E84" s="179" t="str">
        <f>""</f>
        <v/>
      </c>
      <c r="F84" s="179" t="str">
        <f>""</f>
        <v/>
      </c>
      <c r="G84" s="179" t="str">
        <f>""</f>
        <v/>
      </c>
      <c r="H84" s="179" t="str">
        <f>""</f>
        <v/>
      </c>
    </row>
    <row r="85" spans="2:8">
      <c r="B85" s="179" t="str">
        <f>""</f>
        <v/>
      </c>
      <c r="C85" s="179" t="str">
        <f>""</f>
        <v/>
      </c>
      <c r="D85" s="179" t="str">
        <f>""</f>
        <v/>
      </c>
      <c r="E85" s="179" t="str">
        <f>""</f>
        <v/>
      </c>
      <c r="F85" s="179" t="str">
        <f>""</f>
        <v/>
      </c>
      <c r="G85" s="179" t="str">
        <f>""</f>
        <v/>
      </c>
      <c r="H85" s="179" t="str">
        <f>""</f>
        <v/>
      </c>
    </row>
    <row r="86" spans="2:8">
      <c r="B86" s="179" t="str">
        <f>""</f>
        <v/>
      </c>
      <c r="C86" s="179" t="str">
        <f>""</f>
        <v/>
      </c>
      <c r="D86" s="179" t="str">
        <f>""</f>
        <v/>
      </c>
      <c r="E86" s="179" t="str">
        <f>""</f>
        <v/>
      </c>
      <c r="F86" s="179" t="str">
        <f>""</f>
        <v/>
      </c>
      <c r="G86" s="179" t="str">
        <f>""</f>
        <v/>
      </c>
      <c r="H86" s="179" t="str">
        <f>""</f>
        <v/>
      </c>
    </row>
    <row r="87" spans="2:8">
      <c r="B87" s="179" t="str">
        <f>""</f>
        <v/>
      </c>
      <c r="C87" s="179" t="str">
        <f>""</f>
        <v/>
      </c>
      <c r="D87" s="179" t="str">
        <f>""</f>
        <v/>
      </c>
      <c r="E87" s="179" t="str">
        <f>""</f>
        <v/>
      </c>
      <c r="F87" s="179" t="str">
        <f>""</f>
        <v/>
      </c>
      <c r="G87" s="179" t="str">
        <f>""</f>
        <v/>
      </c>
      <c r="H87" s="179" t="str">
        <f>""</f>
        <v/>
      </c>
    </row>
    <row r="88" spans="2:8">
      <c r="B88" s="179" t="str">
        <f>""</f>
        <v/>
      </c>
      <c r="C88" s="179" t="str">
        <f>""</f>
        <v/>
      </c>
      <c r="D88" s="179" t="str">
        <f>""</f>
        <v/>
      </c>
      <c r="E88" s="179" t="str">
        <f>""</f>
        <v/>
      </c>
      <c r="F88" s="179" t="str">
        <f>""</f>
        <v/>
      </c>
      <c r="G88" s="179" t="str">
        <f>""</f>
        <v/>
      </c>
      <c r="H88" s="179" t="str">
        <f>""</f>
        <v/>
      </c>
    </row>
    <row r="109" spans="98:98">
      <c r="CT109" s="156"/>
    </row>
    <row r="115" spans="98:98">
      <c r="CT115" s="156"/>
    </row>
    <row r="116" spans="98:98">
      <c r="CT116" s="156"/>
    </row>
    <row r="121" spans="98:98">
      <c r="CT121" s="156"/>
    </row>
    <row r="122" spans="98:98">
      <c r="CT122" s="156"/>
    </row>
    <row r="123" spans="98:98">
      <c r="CT123" s="156"/>
    </row>
    <row r="127" spans="98:98">
      <c r="CT127" s="156"/>
    </row>
    <row r="128" spans="98:98">
      <c r="CT128" s="156"/>
    </row>
    <row r="129" spans="98:98">
      <c r="CT129" s="156"/>
    </row>
    <row r="130" spans="98:98">
      <c r="CT130" s="156"/>
    </row>
    <row r="133" spans="98:98">
      <c r="CT133" s="156"/>
    </row>
    <row r="134" spans="98:98">
      <c r="CT134" s="156"/>
    </row>
    <row r="135" spans="98:98">
      <c r="CT135" s="156"/>
    </row>
    <row r="136" spans="98:98">
      <c r="CT136" s="156"/>
    </row>
    <row r="137" spans="98:98">
      <c r="CT137" s="156"/>
    </row>
    <row r="139" spans="98:98">
      <c r="CT139" s="156"/>
    </row>
    <row r="140" spans="98:98">
      <c r="CT140" s="156"/>
    </row>
    <row r="141" spans="98:98">
      <c r="CT141" s="156"/>
    </row>
    <row r="142" spans="98:98">
      <c r="CT142" s="156"/>
    </row>
    <row r="143" spans="98:98">
      <c r="CT143" s="156"/>
    </row>
    <row r="144" spans="98:98">
      <c r="CT144" s="156"/>
    </row>
  </sheetData>
  <dataValidations count="1">
    <dataValidation type="list" allowBlank="1" showInputMessage="1" showErrorMessage="1" sqref="BW34">
      <formula1>$BU$95:$BU$270</formula1>
    </dataValidation>
  </dataValidations>
  <printOptions horizontalCentered="1" verticalCentered="1"/>
  <pageMargins left="0.78740157480314965" right="0.78740157480314965" top="0.98425196850393704" bottom="0.98425196850393704" header="0.51181102362204722" footer="0.51181102362204722"/>
  <pageSetup paperSize="9" scale="11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5" r:id="rId4" name="Drop Down 5">
              <controlPr defaultSize="0" autoLine="0" autoPict="0">
                <anchor moveWithCells="1">
                  <from>
                    <xdr:col>49</xdr:col>
                    <xdr:colOff>438150</xdr:colOff>
                    <xdr:row>33</xdr:row>
                    <xdr:rowOff>123825</xdr:rowOff>
                  </from>
                  <to>
                    <xdr:col>50</xdr:col>
                    <xdr:colOff>314325</xdr:colOff>
                    <xdr:row>35</xdr:row>
                    <xdr:rowOff>38100</xdr:rowOff>
                  </to>
                </anchor>
              </controlPr>
            </control>
          </mc:Choice>
        </mc:AlternateContent>
        <mc:AlternateContent xmlns:mc="http://schemas.openxmlformats.org/markup-compatibility/2006">
          <mc:Choice Requires="x14">
            <control shapeId="25606" r:id="rId5" name="Drop Down 6">
              <controlPr defaultSize="0" autoLine="0" autoPict="0">
                <anchor moveWithCells="1">
                  <from>
                    <xdr:col>57</xdr:col>
                    <xdr:colOff>428625</xdr:colOff>
                    <xdr:row>33</xdr:row>
                    <xdr:rowOff>114300</xdr:rowOff>
                  </from>
                  <to>
                    <xdr:col>58</xdr:col>
                    <xdr:colOff>304800</xdr:colOff>
                    <xdr:row>35</xdr:row>
                    <xdr:rowOff>28575</xdr:rowOff>
                  </to>
                </anchor>
              </controlPr>
            </control>
          </mc:Choice>
        </mc:AlternateContent>
        <mc:AlternateContent xmlns:mc="http://schemas.openxmlformats.org/markup-compatibility/2006">
          <mc:Choice Requires="x14">
            <control shapeId="25607" r:id="rId6" name="Drop Down 7">
              <controlPr defaultSize="0" autoLine="0" autoPict="0">
                <anchor moveWithCells="1">
                  <from>
                    <xdr:col>65</xdr:col>
                    <xdr:colOff>419100</xdr:colOff>
                    <xdr:row>33</xdr:row>
                    <xdr:rowOff>114300</xdr:rowOff>
                  </from>
                  <to>
                    <xdr:col>66</xdr:col>
                    <xdr:colOff>295275</xdr:colOff>
                    <xdr:row>35</xdr:row>
                    <xdr:rowOff>28575</xdr:rowOff>
                  </to>
                </anchor>
              </controlPr>
            </control>
          </mc:Choice>
        </mc:AlternateContent>
        <mc:AlternateContent xmlns:mc="http://schemas.openxmlformats.org/markup-compatibility/2006">
          <mc:Choice Requires="x14">
            <control shapeId="25608" r:id="rId7" name="Drop Down 8">
              <controlPr defaultSize="0" autoLine="0" autoPict="0">
                <anchor moveWithCells="1">
                  <from>
                    <xdr:col>73</xdr:col>
                    <xdr:colOff>438150</xdr:colOff>
                    <xdr:row>33</xdr:row>
                    <xdr:rowOff>114300</xdr:rowOff>
                  </from>
                  <to>
                    <xdr:col>74</xdr:col>
                    <xdr:colOff>314325</xdr:colOff>
                    <xdr:row>35</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9" tint="-0.249977111117893"/>
    <pageSetUpPr autoPageBreaks="0"/>
  </sheetPr>
  <dimension ref="A1:AC94"/>
  <sheetViews>
    <sheetView showZeros="0" showOutlineSymbols="0" zoomScaleNormal="50" zoomScaleSheetLayoutView="50" workbookViewId="0">
      <selection activeCell="Q1" sqref="Q1"/>
    </sheetView>
  </sheetViews>
  <sheetFormatPr baseColWidth="10" defaultColWidth="10.7109375" defaultRowHeight="11.25" customHeight="1"/>
  <cols>
    <col min="1" max="1" width="10.7109375" style="287" customWidth="1"/>
    <col min="2" max="3" width="6.42578125" style="287" customWidth="1"/>
    <col min="4" max="9" width="10.7109375" style="287" customWidth="1"/>
    <col min="10" max="10" width="17.85546875" style="287" customWidth="1"/>
    <col min="11" max="12" width="6.42578125" style="287" customWidth="1"/>
    <col min="13" max="16384" width="10.7109375" style="287"/>
  </cols>
  <sheetData>
    <row r="1" spans="1:26" ht="11.25" customHeight="1">
      <c r="A1" s="287" t="str">
        <f>Umse!$B$11</f>
        <v>1.2.</v>
      </c>
    </row>
    <row r="2" spans="1:26" ht="15" customHeight="1">
      <c r="B2" s="663"/>
      <c r="C2" s="664"/>
      <c r="D2" s="664"/>
      <c r="E2" s="664"/>
      <c r="F2" s="664"/>
      <c r="G2" s="664"/>
      <c r="H2" s="664"/>
      <c r="I2" s="664"/>
      <c r="J2" s="664"/>
      <c r="K2" s="664"/>
      <c r="L2" s="664"/>
      <c r="M2" s="664"/>
      <c r="N2" s="664"/>
      <c r="O2" s="665"/>
      <c r="P2" s="665"/>
      <c r="Q2" s="288"/>
      <c r="R2" s="289"/>
    </row>
    <row r="3" spans="1:26" ht="3.75" customHeight="1"/>
    <row r="4" spans="1:26" ht="13.5" customHeight="1">
      <c r="D4" s="290"/>
      <c r="E4" s="291"/>
      <c r="H4" s="291"/>
      <c r="K4" s="666"/>
      <c r="L4" s="666"/>
      <c r="M4" s="666"/>
      <c r="N4" s="666"/>
      <c r="O4" s="666"/>
      <c r="P4" s="666"/>
    </row>
    <row r="5" spans="1:26" ht="13.5" customHeight="1">
      <c r="B5" s="292"/>
      <c r="C5" s="292"/>
      <c r="D5" s="293"/>
      <c r="E5" s="292"/>
      <c r="F5" s="667"/>
      <c r="G5" s="667"/>
      <c r="H5" s="293"/>
      <c r="I5" s="295"/>
      <c r="J5" s="296"/>
      <c r="K5" s="666"/>
      <c r="L5" s="666"/>
      <c r="M5" s="666"/>
      <c r="N5" s="666"/>
      <c r="O5" s="666"/>
      <c r="P5" s="666"/>
    </row>
    <row r="6" spans="1:26" ht="13.5" customHeight="1">
      <c r="I6" s="297"/>
      <c r="J6" s="298"/>
      <c r="K6" s="666"/>
      <c r="L6" s="666"/>
      <c r="M6" s="666"/>
      <c r="N6" s="666"/>
      <c r="O6" s="666"/>
      <c r="P6" s="666"/>
    </row>
    <row r="7" spans="1:26" s="299" customFormat="1" ht="3.75" customHeight="1">
      <c r="B7" s="300"/>
      <c r="C7" s="300"/>
      <c r="D7" s="301"/>
      <c r="E7" s="301"/>
      <c r="F7" s="301"/>
      <c r="G7" s="301"/>
      <c r="H7" s="301"/>
      <c r="I7" s="301"/>
      <c r="K7" s="302"/>
      <c r="L7" s="302"/>
      <c r="M7" s="303"/>
      <c r="N7" s="303"/>
      <c r="O7" s="303"/>
      <c r="P7" s="303"/>
      <c r="Q7" s="303"/>
      <c r="R7" s="303"/>
      <c r="U7" s="304"/>
      <c r="V7" s="304"/>
      <c r="W7" s="304"/>
      <c r="X7" s="304"/>
      <c r="Y7" s="304"/>
      <c r="Z7" s="304"/>
    </row>
    <row r="8" spans="1:26" s="299" customFormat="1" ht="3.75" customHeight="1">
      <c r="B8" s="301"/>
      <c r="C8" s="301"/>
      <c r="D8" s="301"/>
      <c r="E8" s="301"/>
      <c r="F8" s="301"/>
      <c r="G8" s="301"/>
      <c r="H8" s="301"/>
      <c r="I8" s="301"/>
      <c r="J8" s="305"/>
      <c r="K8" s="303"/>
      <c r="L8" s="303"/>
      <c r="M8" s="303"/>
      <c r="N8" s="303"/>
      <c r="O8" s="303"/>
      <c r="P8" s="303"/>
      <c r="Q8" s="303"/>
      <c r="R8" s="303"/>
      <c r="U8" s="304"/>
      <c r="V8" s="304"/>
      <c r="W8" s="304"/>
      <c r="X8" s="304"/>
      <c r="Y8" s="304"/>
      <c r="Z8" s="304"/>
    </row>
    <row r="9" spans="1:26" s="299" customFormat="1" ht="3.75" customHeight="1">
      <c r="B9" s="301"/>
      <c r="C9" s="301"/>
      <c r="D9" s="301"/>
      <c r="E9" s="301"/>
      <c r="F9" s="301"/>
      <c r="G9" s="301"/>
      <c r="H9" s="301"/>
      <c r="I9" s="301"/>
      <c r="J9" s="305"/>
      <c r="K9" s="303"/>
      <c r="L9" s="303"/>
      <c r="M9" s="303"/>
      <c r="N9" s="303"/>
      <c r="O9" s="303"/>
      <c r="P9" s="303"/>
      <c r="Q9" s="303"/>
      <c r="R9" s="303"/>
      <c r="U9" s="304"/>
      <c r="V9" s="304"/>
      <c r="W9" s="304"/>
      <c r="X9" s="304"/>
      <c r="Y9" s="304"/>
      <c r="Z9" s="304"/>
    </row>
    <row r="10" spans="1:26" ht="12.75" customHeight="1">
      <c r="B10" s="694" t="str">
        <f>K10</f>
        <v/>
      </c>
      <c r="C10" s="694"/>
      <c r="D10" s="694"/>
      <c r="E10" s="667" t="str">
        <f>IF(OR(Kalk!$B$5=5,Kalk!$B$5=7,Kalk!$B$5=9,Kalk!$B$5=10),'L Ist'!D1,"")</f>
        <v/>
      </c>
      <c r="F10" s="667"/>
      <c r="G10" s="667"/>
      <c r="H10" s="693" t="str">
        <f>IF(OR(Umse!$C$24=0,Umse!$B$11=0),"",IF(OR(Kalk!$B$5=5,Kalk!$B$5=7,Kalk!$B$5=9,Kalk!$B$5=10),Umse!B62,""))</f>
        <v/>
      </c>
      <c r="I10" s="693"/>
      <c r="J10" s="294"/>
      <c r="K10" s="694" t="str">
        <f>IF(OR(Umse!$C$24=0,Umse!$B$11=0),"",IF(OR(Kalk!$B$5=5,Kalk!$B$5=7,Kalk!$B$5=9,Kalk!$B$5=10),'L Ist'!A2,""))</f>
        <v/>
      </c>
      <c r="L10" s="694"/>
      <c r="M10" s="694"/>
      <c r="N10" s="667" t="str">
        <f>IF(OR(Umse!$C$24=0,Umse!$B$11=0),"",IF(OR(Kalk!$B$5=5,Kalk!$B$5=7,Kalk!$B$5=9,Kalk!$B$5=10),'L Ist'!M1,""))</f>
        <v/>
      </c>
      <c r="O10" s="667"/>
      <c r="P10" s="667"/>
      <c r="Q10" s="695" t="str">
        <f>IF(OR(Umse!$C$24=0,Umse!$B$11=0),"",IF(OR(Kalk!$B$5=5,Kalk!$B$5=7,Kalk!$B$5=9,Kalk!$B$5=10),Umse!B36,""))</f>
        <v/>
      </c>
      <c r="R10" s="695"/>
    </row>
    <row r="11" spans="1:26" ht="22.5" customHeight="1">
      <c r="B11" s="302" t="str">
        <f>K11</f>
        <v/>
      </c>
      <c r="C11" s="306"/>
      <c r="D11" s="306" t="str">
        <f t="shared" ref="D11:I11" si="0">M11</f>
        <v/>
      </c>
      <c r="E11" s="306" t="str">
        <f t="shared" si="0"/>
        <v/>
      </c>
      <c r="F11" s="306" t="str">
        <f t="shared" si="0"/>
        <v/>
      </c>
      <c r="G11" s="306" t="str">
        <f t="shared" si="0"/>
        <v/>
      </c>
      <c r="H11" s="306" t="str">
        <f t="shared" si="0"/>
        <v/>
      </c>
      <c r="I11" s="306" t="str">
        <f t="shared" si="0"/>
        <v/>
      </c>
      <c r="J11" s="307" t="str">
        <f>IF(OR(Kalk!$B$4=5,Kalk!$B$4=9,Kalk!$B$5=10),'L Ist'!J2,"")</f>
        <v/>
      </c>
      <c r="K11" s="302" t="str">
        <f>IF(OR(Umse!$C$24=0,Umse!$B$11=0),"",IF(OR(Kalk!$B$5=5,Kalk!$B$5=7,Kalk!$B$5=9,Kalk!$B$5=10),'L Ist'!K2,""))</f>
        <v/>
      </c>
      <c r="L11" s="306"/>
      <c r="M11" s="306" t="str">
        <f>IF(OR(Umse!$C$24=0,Umse!$B$11=0),"",IF(OR(Kalk!$B$5=5,Kalk!$B$5=7,Kalk!$B$5=9,Kalk!$B$5=10),'L Ist'!M2,""))</f>
        <v/>
      </c>
      <c r="N11" s="306" t="str">
        <f>IF(OR(Umse!$C$24=0,Umse!$B$11=0),"",IF(OR(Kalk!$B$5=5,Kalk!$B$5=7,Kalk!$B$5=9,Kalk!$B$5=10),'L Ist'!N2,""))</f>
        <v/>
      </c>
      <c r="O11" s="306" t="str">
        <f>IF(OR(Umse!$C$24=0,Umse!$B$11=0),"",IF(OR(Kalk!$B$5=5,Kalk!$B$5=7,Kalk!$B$5=9,Kalk!$B$5=10),'L Ist'!O2,""))</f>
        <v/>
      </c>
      <c r="P11" s="306" t="str">
        <f>IF(OR(Umse!$C$24=0,Umse!$B$11=0),"",IF(OR(Kalk!$B$5=5,Kalk!$B$5=7,Kalk!$B$5=9,Kalk!$B$5=10),'L Ist'!P2,""))</f>
        <v/>
      </c>
      <c r="Q11" s="306" t="str">
        <f>IF(OR(Umse!$C$24=0,Umse!$B$11=0),"",IF(OR(Kalk!$B$5=5,Kalk!$B$5=7,Kalk!$B$5=9,Kalk!$B$5=10),'L Ist'!Q2,""))</f>
        <v/>
      </c>
      <c r="R11" s="306" t="str">
        <f>IF(OR(Umse!$C$24=0,Umse!$B$11=0),"",IF(OR(Kalk!$B$5=5,Kalk!$B$5=7,Kalk!$B$5=9,Kalk!$B$5=10),'L Ist'!R2,""))</f>
        <v/>
      </c>
    </row>
    <row r="12" spans="1:26" ht="11.25" customHeight="1">
      <c r="B12" s="306" t="str">
        <f>K12</f>
        <v/>
      </c>
      <c r="C12" s="306" t="str">
        <f>L12</f>
        <v/>
      </c>
      <c r="D12" s="308">
        <f>IF(OR(Kalk!$B$5=5,Kalk!$B$5=7,Kalk!$B$5=9,Kalk!$B$5=10),'L Ist'!D3,0)</f>
        <v>0</v>
      </c>
      <c r="E12" s="308">
        <f>IF(OR(Kalk!$B$5=5,Kalk!$B$5=7,Kalk!$B$5=9,Kalk!$B$5=10),'L Ist'!E3,0)</f>
        <v>0</v>
      </c>
      <c r="F12" s="308">
        <f>IF(OR(Kalk!$B$5=5,Kalk!$B$5=7,Kalk!$B$5=9,Kalk!$B$5=10),'L Ist'!F3,0)</f>
        <v>0</v>
      </c>
      <c r="G12" s="308">
        <f>IF(OR(Kalk!$B$5=5,Kalk!$B$5=7,Kalk!$B$5=9,Kalk!$B$5=10),'L Ist'!G3,0)</f>
        <v>0</v>
      </c>
      <c r="H12" s="308">
        <f>IF(OR(Kalk!$B$5=5,Kalk!$B$5=7,Kalk!$B$5=9,Kalk!$B$5=10),'L Ist'!H3,0)</f>
        <v>0</v>
      </c>
      <c r="I12" s="308">
        <f>IF(OR(Kalk!$B$5=5,Kalk!$B$5=7,Kalk!$B$5=9,Kalk!$B$5=10),'L Ist'!I3,0)</f>
        <v>0</v>
      </c>
      <c r="J12" s="307" t="str">
        <f>IF(OR(Kalk!$B$4=5,Kalk!$B$4=9,Kalk!$B$5=10),'L Ist'!J3,"")</f>
        <v/>
      </c>
      <c r="K12" s="306" t="str">
        <f>IF(OR(Umse!$C$24=0,Umse!$B$11=0),"",IF(OR(Kalk!$B$5=5,Kalk!$B$5=7,Kalk!$B$5=9,Kalk!$B$5=10),'L Ist'!K3,""))</f>
        <v/>
      </c>
      <c r="L12" s="306" t="str">
        <f>IF(OR(Umse!$C$24=0,Umse!$B$11=0),"",IF(OR(Kalk!$B$5=5,Kalk!$B$5=7,Kalk!$B$5=9,Kalk!$B$5=10),'L Ist'!L3,""))</f>
        <v/>
      </c>
      <c r="M12" s="308">
        <f>IF(OR(Kalk!$B$5=5,Kalk!$B$5=7,Kalk!$B$5=9,Kalk!$B$5=10),'L Ist'!M3,0)</f>
        <v>0</v>
      </c>
      <c r="N12" s="308">
        <f>IF(OR(Kalk!$B$5=5,Kalk!$B$5=7,Kalk!$B$5=9,Kalk!$B$5=10),'L Ist'!N3,0)</f>
        <v>0</v>
      </c>
      <c r="O12" s="308">
        <f>IF(OR(Kalk!$B$5=5,Kalk!$B$5=7,Kalk!$B$5=9,Kalk!$B$5=10),'L Ist'!O3,0)</f>
        <v>0</v>
      </c>
      <c r="P12" s="308">
        <f>IF(OR(Kalk!$B$5=5,Kalk!$B$5=7,Kalk!$B$5=9,Kalk!$B$5=10),'L Ist'!P3,0)</f>
        <v>0</v>
      </c>
      <c r="Q12" s="308">
        <f>IF(OR(Kalk!$B$5=5,Kalk!$B$5=7,Kalk!$B$5=9,Kalk!$B$5=10),'L Ist'!Q3,0)</f>
        <v>0</v>
      </c>
      <c r="R12" s="308">
        <f>IF(OR(Kalk!$B$5=5,Kalk!$B$5=7,Kalk!$B$5=9,Kalk!$B$5=10),'L Ist'!R3,0)</f>
        <v>0</v>
      </c>
    </row>
    <row r="13" spans="1:26" ht="11.25" customHeight="1">
      <c r="B13" s="306" t="str">
        <f t="shared" ref="B13:C30" si="1">K13</f>
        <v/>
      </c>
      <c r="C13" s="306" t="str">
        <f t="shared" si="1"/>
        <v/>
      </c>
      <c r="D13" s="308">
        <f>IF(OR(Kalk!$B$5=5,Kalk!$B$5=7,Kalk!$B$5=9,Kalk!$B$5=10),'L Ist'!D4,0)</f>
        <v>0</v>
      </c>
      <c r="E13" s="308">
        <f>IF(OR(Kalk!$B$5=5,Kalk!$B$5=7,Kalk!$B$5=9,Kalk!$B$5=10),'L Ist'!E4,0)</f>
        <v>0</v>
      </c>
      <c r="F13" s="308">
        <f>IF(OR(Kalk!$B$5=5,Kalk!$B$5=7,Kalk!$B$5=9,Kalk!$B$5=10),'L Ist'!F4,0)</f>
        <v>0</v>
      </c>
      <c r="G13" s="308">
        <f>IF(OR(Kalk!$B$5=5,Kalk!$B$5=7,Kalk!$B$5=9,Kalk!$B$5=10),'L Ist'!G4,0)</f>
        <v>0</v>
      </c>
      <c r="H13" s="308">
        <f>IF(OR(Kalk!$B$5=5,Kalk!$B$5=7,Kalk!$B$5=9,Kalk!$B$5=10),'L Ist'!H4,0)</f>
        <v>0</v>
      </c>
      <c r="I13" s="308">
        <f>IF(OR(Kalk!$B$5=5,Kalk!$B$5=7,Kalk!$B$5=9,Kalk!$B$5=10),'L Ist'!I4,0)</f>
        <v>0</v>
      </c>
      <c r="J13" s="307" t="str">
        <f>IF(OR(Kalk!$B$4=5,Kalk!$B$4=9,Kalk!$B$5=10),'L Ist'!J4,"")</f>
        <v/>
      </c>
      <c r="K13" s="306" t="str">
        <f>IF(OR(Umse!$C$24=0,Umse!$B$11=0),"",IF(OR(Kalk!$B$5=5,Kalk!$B$5=7,Kalk!$B$5=9,Kalk!$B$5=10),'L Ist'!K4,""))</f>
        <v/>
      </c>
      <c r="L13" s="306" t="str">
        <f>IF(OR(Umse!$C$24=0,Umse!$B$11=0),"",IF(OR(Kalk!$B$5=5,Kalk!$B$5=7,Kalk!$B$5=9,Kalk!$B$5=10),'L Ist'!L4,""))</f>
        <v/>
      </c>
      <c r="M13" s="308">
        <f>IF(OR(Kalk!$B$5=5,Kalk!$B$5=7,Kalk!$B$5=9,Kalk!$B$5=10),'L Ist'!M4,0)</f>
        <v>0</v>
      </c>
      <c r="N13" s="308">
        <f>IF(OR(Kalk!$B$5=5,Kalk!$B$5=7,Kalk!$B$5=9,Kalk!$B$5=10),'L Ist'!N4,0)</f>
        <v>0</v>
      </c>
      <c r="O13" s="308">
        <f>IF(OR(Kalk!$B$5=5,Kalk!$B$5=7,Kalk!$B$5=9,Kalk!$B$5=10),'L Ist'!O4,0)</f>
        <v>0</v>
      </c>
      <c r="P13" s="308">
        <f>IF(OR(Kalk!$B$5=5,Kalk!$B$5=7,Kalk!$B$5=9,Kalk!$B$5=10),'L Ist'!P4,0)</f>
        <v>0</v>
      </c>
      <c r="Q13" s="308">
        <f>IF(OR(Kalk!$B$5=5,Kalk!$B$5=7,Kalk!$B$5=9,Kalk!$B$5=10),'L Ist'!Q4,0)</f>
        <v>0</v>
      </c>
      <c r="R13" s="308">
        <f>IF(OR(Kalk!$B$5=5,Kalk!$B$5=7,Kalk!$B$5=9,Kalk!$B$5=10),'L Ist'!R4,0)</f>
        <v>0</v>
      </c>
    </row>
    <row r="14" spans="1:26" ht="11.25" customHeight="1">
      <c r="B14" s="306" t="str">
        <f t="shared" si="1"/>
        <v/>
      </c>
      <c r="C14" s="306" t="str">
        <f t="shared" si="1"/>
        <v/>
      </c>
      <c r="D14" s="308">
        <f>IF(OR(Kalk!$B$5=5,Kalk!$B$5=7,Kalk!$B$5=9,Kalk!$B$5=10),'L Ist'!D5,0)</f>
        <v>0</v>
      </c>
      <c r="E14" s="308">
        <f>IF(OR(Kalk!$B$5=5,Kalk!$B$5=7,Kalk!$B$5=9,Kalk!$B$5=10),'L Ist'!E5,0)</f>
        <v>0</v>
      </c>
      <c r="F14" s="308">
        <f>IF(OR(Kalk!$B$5=5,Kalk!$B$5=7,Kalk!$B$5=9,Kalk!$B$5=10),'L Ist'!F5,0)</f>
        <v>0</v>
      </c>
      <c r="G14" s="308">
        <f>IF(OR(Kalk!$B$5=5,Kalk!$B$5=7,Kalk!$B$5=9,Kalk!$B$5=10),'L Ist'!G5,0)</f>
        <v>0</v>
      </c>
      <c r="H14" s="308">
        <f>IF(OR(Kalk!$B$5=5,Kalk!$B$5=7,Kalk!$B$5=9,Kalk!$B$5=10),'L Ist'!H5,0)</f>
        <v>0</v>
      </c>
      <c r="I14" s="308">
        <f>IF(OR(Kalk!$B$5=5,Kalk!$B$5=7,Kalk!$B$5=9,Kalk!$B$5=10),'L Ist'!I5,0)</f>
        <v>0</v>
      </c>
      <c r="J14" s="307" t="str">
        <f>IF(OR(Kalk!$B$4=5,Kalk!$B$4=9,Kalk!$B$5=10),'L Ist'!J5,"")</f>
        <v/>
      </c>
      <c r="K14" s="306" t="str">
        <f>IF(OR(Umse!$C$24=0,Umse!$B$11=0),"",IF(OR(Kalk!$B$5=5,Kalk!$B$5=7,Kalk!$B$5=9,Kalk!$B$5=10),'L Ist'!K5,""))</f>
        <v/>
      </c>
      <c r="L14" s="306" t="str">
        <f>IF(OR(Umse!$C$24=0,Umse!$B$11=0),"",IF(OR(Kalk!$B$5=5,Kalk!$B$5=7,Kalk!$B$5=9,Kalk!$B$5=10),'L Ist'!L5,""))</f>
        <v/>
      </c>
      <c r="M14" s="308">
        <f>IF(OR(Kalk!$B$5=5,Kalk!$B$5=7,Kalk!$B$5=9,Kalk!$B$5=10),'L Ist'!M5,0)</f>
        <v>0</v>
      </c>
      <c r="N14" s="308">
        <f>IF(OR(Kalk!$B$5=5,Kalk!$B$5=7,Kalk!$B$5=9,Kalk!$B$5=10),'L Ist'!N5,0)</f>
        <v>0</v>
      </c>
      <c r="O14" s="308">
        <f>IF(OR(Kalk!$B$5=5,Kalk!$B$5=7,Kalk!$B$5=9,Kalk!$B$5=10),'L Ist'!O5,0)</f>
        <v>0</v>
      </c>
      <c r="P14" s="308">
        <f>IF(OR(Kalk!$B$5=5,Kalk!$B$5=7,Kalk!$B$5=9,Kalk!$B$5=10),'L Ist'!P5,0)</f>
        <v>0</v>
      </c>
      <c r="Q14" s="308">
        <f>IF(OR(Kalk!$B$5=5,Kalk!$B$5=7,Kalk!$B$5=9,Kalk!$B$5=10),'L Ist'!Q5,0)</f>
        <v>0</v>
      </c>
      <c r="R14" s="308">
        <f>IF(OR(Kalk!$B$5=5,Kalk!$B$5=7,Kalk!$B$5=9,Kalk!$B$5=10),'L Ist'!R5,0)</f>
        <v>0</v>
      </c>
    </row>
    <row r="15" spans="1:26" ht="11.25" customHeight="1">
      <c r="B15" s="306" t="str">
        <f t="shared" si="1"/>
        <v/>
      </c>
      <c r="C15" s="306" t="str">
        <f t="shared" si="1"/>
        <v/>
      </c>
      <c r="D15" s="308">
        <f>IF(OR(Kalk!$B$5=5,Kalk!$B$5=7,Kalk!$B$5=9,Kalk!$B$5=10),'L Ist'!D6,0)</f>
        <v>0</v>
      </c>
      <c r="E15" s="308">
        <f>IF(OR(Kalk!$B$5=5,Kalk!$B$5=7,Kalk!$B$5=9,Kalk!$B$5=10),'L Ist'!E6,0)</f>
        <v>0</v>
      </c>
      <c r="F15" s="308">
        <f>IF(OR(Kalk!$B$5=5,Kalk!$B$5=7,Kalk!$B$5=9,Kalk!$B$5=10),'L Ist'!F6,0)</f>
        <v>0</v>
      </c>
      <c r="G15" s="308">
        <f>IF(OR(Kalk!$B$5=5,Kalk!$B$5=7,Kalk!$B$5=9,Kalk!$B$5=10),'L Ist'!G6,0)</f>
        <v>0</v>
      </c>
      <c r="H15" s="308">
        <f>IF(OR(Kalk!$B$5=5,Kalk!$B$5=7,Kalk!$B$5=9,Kalk!$B$5=10),'L Ist'!H6,0)</f>
        <v>0</v>
      </c>
      <c r="I15" s="308">
        <f>IF(OR(Kalk!$B$5=5,Kalk!$B$5=7,Kalk!$B$5=9,Kalk!$B$5=10),'L Ist'!I6,0)</f>
        <v>0</v>
      </c>
      <c r="J15" s="307" t="str">
        <f>IF(OR(Kalk!$B$4=5,Kalk!$B$4=9,Kalk!$B$5=10),'L Ist'!J6,"")</f>
        <v/>
      </c>
      <c r="K15" s="306" t="str">
        <f>IF(OR(Umse!$C$24=0,Umse!$B$11=0),"",IF(OR(Kalk!$B$5=5,Kalk!$B$5=7,Kalk!$B$5=9,Kalk!$B$5=10),'L Ist'!K6,""))</f>
        <v/>
      </c>
      <c r="L15" s="306" t="str">
        <f>IF(OR(Umse!$C$24=0,Umse!$B$11=0),"",IF(OR(Kalk!$B$5=5,Kalk!$B$5=7,Kalk!$B$5=9,Kalk!$B$5=10),'L Ist'!L6,""))</f>
        <v/>
      </c>
      <c r="M15" s="308">
        <f>IF(OR(Kalk!$B$5=5,Kalk!$B$5=7,Kalk!$B$5=9,Kalk!$B$5=10),'L Ist'!M6,0)</f>
        <v>0</v>
      </c>
      <c r="N15" s="308">
        <f>IF(OR(Kalk!$B$5=5,Kalk!$B$5=7,Kalk!$B$5=9,Kalk!$B$5=10),'L Ist'!N6,0)</f>
        <v>0</v>
      </c>
      <c r="O15" s="308">
        <f>IF(OR(Kalk!$B$5=5,Kalk!$B$5=7,Kalk!$B$5=9,Kalk!$B$5=10),'L Ist'!O6,0)</f>
        <v>0</v>
      </c>
      <c r="P15" s="308">
        <f>IF(OR(Kalk!$B$5=5,Kalk!$B$5=7,Kalk!$B$5=9,Kalk!$B$5=10),'L Ist'!P6,0)</f>
        <v>0</v>
      </c>
      <c r="Q15" s="308">
        <f>IF(OR(Kalk!$B$5=5,Kalk!$B$5=7,Kalk!$B$5=9,Kalk!$B$5=10),'L Ist'!Q6,0)</f>
        <v>0</v>
      </c>
      <c r="R15" s="308">
        <f>IF(OR(Kalk!$B$5=5,Kalk!$B$5=7,Kalk!$B$5=9,Kalk!$B$5=10),'L Ist'!R6,0)</f>
        <v>0</v>
      </c>
    </row>
    <row r="16" spans="1:26" ht="11.25" customHeight="1">
      <c r="B16" s="306" t="str">
        <f t="shared" si="1"/>
        <v/>
      </c>
      <c r="C16" s="306" t="str">
        <f t="shared" si="1"/>
        <v/>
      </c>
      <c r="D16" s="308">
        <f>IF(OR(Kalk!$B$5=5,Kalk!$B$5=7,Kalk!$B$5=9,Kalk!$B$5=10),'L Ist'!D7,0)</f>
        <v>0</v>
      </c>
      <c r="E16" s="308">
        <f>IF(OR(Kalk!$B$5=5,Kalk!$B$5=7,Kalk!$B$5=9,Kalk!$B$5=10),'L Ist'!E7,0)</f>
        <v>0</v>
      </c>
      <c r="F16" s="308">
        <f>IF(OR(Kalk!$B$5=5,Kalk!$B$5=7,Kalk!$B$5=9,Kalk!$B$5=10),'L Ist'!F7,0)</f>
        <v>0</v>
      </c>
      <c r="G16" s="308">
        <f>IF(OR(Kalk!$B$5=5,Kalk!$B$5=7,Kalk!$B$5=9,Kalk!$B$5=10),'L Ist'!G7,0)</f>
        <v>0</v>
      </c>
      <c r="H16" s="308">
        <f>IF(OR(Kalk!$B$5=5,Kalk!$B$5=7,Kalk!$B$5=9,Kalk!$B$5=10),'L Ist'!H7,0)</f>
        <v>0</v>
      </c>
      <c r="I16" s="308">
        <f>IF(OR(Kalk!$B$5=5,Kalk!$B$5=7,Kalk!$B$5=9,Kalk!$B$5=10),'L Ist'!I7,0)</f>
        <v>0</v>
      </c>
      <c r="J16" s="307" t="str">
        <f>IF(OR(Kalk!$B$4=5,Kalk!$B$4=9,Kalk!$B$5=10),'L Ist'!J7,"")</f>
        <v/>
      </c>
      <c r="K16" s="306" t="str">
        <f>IF(OR(Umse!$C$24=0,Umse!$B$11=0),"",IF(OR(Kalk!$B$5=5,Kalk!$B$5=7,Kalk!$B$5=9,Kalk!$B$5=10),'L Ist'!K7,""))</f>
        <v/>
      </c>
      <c r="L16" s="306" t="str">
        <f>IF(OR(Umse!$C$24=0,Umse!$B$11=0),"",IF(OR(Kalk!$B$5=5,Kalk!$B$5=7,Kalk!$B$5=9,Kalk!$B$5=10),'L Ist'!L7,""))</f>
        <v/>
      </c>
      <c r="M16" s="308">
        <f>IF(OR(Kalk!$B$5=5,Kalk!$B$5=7,Kalk!$B$5=9,Kalk!$B$5=10),'L Ist'!M7,0)</f>
        <v>0</v>
      </c>
      <c r="N16" s="308">
        <f>IF(OR(Kalk!$B$5=5,Kalk!$B$5=7,Kalk!$B$5=9,Kalk!$B$5=10),'L Ist'!N7,0)</f>
        <v>0</v>
      </c>
      <c r="O16" s="308">
        <f>IF(OR(Kalk!$B$5=5,Kalk!$B$5=7,Kalk!$B$5=9,Kalk!$B$5=10),'L Ist'!O7,0)</f>
        <v>0</v>
      </c>
      <c r="P16" s="308">
        <f>IF(OR(Kalk!$B$5=5,Kalk!$B$5=7,Kalk!$B$5=9,Kalk!$B$5=10),'L Ist'!P7,0)</f>
        <v>0</v>
      </c>
      <c r="Q16" s="308">
        <f>IF(OR(Kalk!$B$5=5,Kalk!$B$5=7,Kalk!$B$5=9,Kalk!$B$5=10),'L Ist'!Q7,0)</f>
        <v>0</v>
      </c>
      <c r="R16" s="308">
        <f>IF(OR(Kalk!$B$5=5,Kalk!$B$5=7,Kalk!$B$5=9,Kalk!$B$5=10),'L Ist'!R7,0)</f>
        <v>0</v>
      </c>
    </row>
    <row r="17" spans="2:29" ht="11.25" customHeight="1">
      <c r="B17" s="306" t="str">
        <f t="shared" si="1"/>
        <v/>
      </c>
      <c r="C17" s="306" t="str">
        <f t="shared" si="1"/>
        <v/>
      </c>
      <c r="D17" s="308">
        <f>IF(OR(Kalk!$B$5=5,Kalk!$B$5=7,Kalk!$B$5=9,Kalk!$B$5=10),'L Ist'!D8,0)</f>
        <v>0</v>
      </c>
      <c r="E17" s="308">
        <f>IF(OR(Kalk!$B$5=5,Kalk!$B$5=7,Kalk!$B$5=9,Kalk!$B$5=10),'L Ist'!E8,0)</f>
        <v>0</v>
      </c>
      <c r="F17" s="308">
        <f>IF(OR(Kalk!$B$5=5,Kalk!$B$5=7,Kalk!$B$5=9,Kalk!$B$5=10),'L Ist'!F8,0)</f>
        <v>0</v>
      </c>
      <c r="G17" s="308">
        <f>IF(OR(Kalk!$B$5=5,Kalk!$B$5=7,Kalk!$B$5=9,Kalk!$B$5=10),'L Ist'!G8,0)</f>
        <v>0</v>
      </c>
      <c r="H17" s="308">
        <f>IF(OR(Kalk!$B$5=5,Kalk!$B$5=7,Kalk!$B$5=9,Kalk!$B$5=10),'L Ist'!H8,0)</f>
        <v>0</v>
      </c>
      <c r="I17" s="308">
        <f>IF(OR(Kalk!$B$5=5,Kalk!$B$5=7,Kalk!$B$5=9,Kalk!$B$5=10),'L Ist'!I8,0)</f>
        <v>0</v>
      </c>
      <c r="J17" s="307" t="str">
        <f>IF(OR(Kalk!$B$4=5,Kalk!$B$4=9,Kalk!$B$5=10),'L Ist'!J8,"")</f>
        <v/>
      </c>
      <c r="K17" s="306" t="str">
        <f>IF(OR(Umse!$C$24=0,Umse!$B$11=0),"",IF(OR(Kalk!$B$5=5,Kalk!$B$5=7,Kalk!$B$5=9,Kalk!$B$5=10),'L Ist'!K8,""))</f>
        <v/>
      </c>
      <c r="L17" s="306" t="str">
        <f>IF(OR(Umse!$C$24=0,Umse!$B$11=0),"",IF(OR(Kalk!$B$5=5,Kalk!$B$5=7,Kalk!$B$5=9,Kalk!$B$5=10),'L Ist'!L8,""))</f>
        <v/>
      </c>
      <c r="M17" s="308">
        <f>IF(OR(Kalk!$B$5=5,Kalk!$B$5=7,Kalk!$B$5=9,Kalk!$B$5=10),'L Ist'!M8,0)</f>
        <v>0</v>
      </c>
      <c r="N17" s="308">
        <f>IF(OR(Kalk!$B$5=5,Kalk!$B$5=7,Kalk!$B$5=9,Kalk!$B$5=10),'L Ist'!N8,0)</f>
        <v>0</v>
      </c>
      <c r="O17" s="308">
        <f>IF(OR(Kalk!$B$5=5,Kalk!$B$5=7,Kalk!$B$5=9,Kalk!$B$5=10),'L Ist'!O8,0)</f>
        <v>0</v>
      </c>
      <c r="P17" s="308">
        <f>IF(OR(Kalk!$B$5=5,Kalk!$B$5=7,Kalk!$B$5=9,Kalk!$B$5=10),'L Ist'!P8,0)</f>
        <v>0</v>
      </c>
      <c r="Q17" s="308">
        <f>IF(OR(Kalk!$B$5=5,Kalk!$B$5=7,Kalk!$B$5=9,Kalk!$B$5=10),'L Ist'!Q8,0)</f>
        <v>0</v>
      </c>
      <c r="R17" s="308">
        <f>IF(OR(Kalk!$B$5=5,Kalk!$B$5=7,Kalk!$B$5=9,Kalk!$B$5=10),'L Ist'!R8,0)</f>
        <v>0</v>
      </c>
    </row>
    <row r="18" spans="2:29" ht="11.25" customHeight="1">
      <c r="B18" s="306" t="str">
        <f t="shared" si="1"/>
        <v/>
      </c>
      <c r="C18" s="306" t="str">
        <f t="shared" si="1"/>
        <v/>
      </c>
      <c r="D18" s="308">
        <f>IF(OR(Kalk!$B$5=5,Kalk!$B$5=7,Kalk!$B$5=9,Kalk!$B$5=10),'L Ist'!D9,0)</f>
        <v>0</v>
      </c>
      <c r="E18" s="308">
        <f>IF(OR(Kalk!$B$5=5,Kalk!$B$5=7,Kalk!$B$5=9,Kalk!$B$5=10),'L Ist'!E9,0)</f>
        <v>0</v>
      </c>
      <c r="F18" s="308">
        <f>IF(OR(Kalk!$B$5=5,Kalk!$B$5=7,Kalk!$B$5=9,Kalk!$B$5=10),'L Ist'!F9,0)</f>
        <v>0</v>
      </c>
      <c r="G18" s="308">
        <f>IF(OR(Kalk!$B$5=5,Kalk!$B$5=7,Kalk!$B$5=9,Kalk!$B$5=10),'L Ist'!G9,0)</f>
        <v>0</v>
      </c>
      <c r="H18" s="308">
        <f>IF(OR(Kalk!$B$5=5,Kalk!$B$5=7,Kalk!$B$5=9,Kalk!$B$5=10),'L Ist'!H9,0)</f>
        <v>0</v>
      </c>
      <c r="I18" s="308">
        <f>IF(OR(Kalk!$B$5=5,Kalk!$B$5=7,Kalk!$B$5=9,Kalk!$B$5=10),'L Ist'!I9,0)</f>
        <v>0</v>
      </c>
      <c r="J18" s="307" t="str">
        <f>IF(OR(Kalk!$B$4=5,Kalk!$B$4=9,Kalk!$B$5=10),'L Ist'!J9,"")</f>
        <v/>
      </c>
      <c r="K18" s="306" t="str">
        <f>IF(OR(Umse!$C$24=0,Umse!$B$11=0),"",IF(OR(Kalk!$B$5=5,Kalk!$B$5=7,Kalk!$B$5=9,Kalk!$B$5=10),'L Ist'!K9,""))</f>
        <v/>
      </c>
      <c r="L18" s="306" t="str">
        <f>IF(OR(Umse!$C$24=0,Umse!$B$11=0),"",IF(OR(Kalk!$B$5=5,Kalk!$B$5=7,Kalk!$B$5=9,Kalk!$B$5=10),'L Ist'!L9,""))</f>
        <v/>
      </c>
      <c r="M18" s="308">
        <f>IF(OR(Kalk!$B$5=5,Kalk!$B$5=7,Kalk!$B$5=9,Kalk!$B$5=10),'L Ist'!M9,0)</f>
        <v>0</v>
      </c>
      <c r="N18" s="308">
        <f>IF(OR(Kalk!$B$5=5,Kalk!$B$5=7,Kalk!$B$5=9,Kalk!$B$5=10),'L Ist'!N9,0)</f>
        <v>0</v>
      </c>
      <c r="O18" s="308">
        <f>IF(OR(Kalk!$B$5=5,Kalk!$B$5=7,Kalk!$B$5=9,Kalk!$B$5=10),'L Ist'!O9,0)</f>
        <v>0</v>
      </c>
      <c r="P18" s="308">
        <f>IF(OR(Kalk!$B$5=5,Kalk!$B$5=7,Kalk!$B$5=9,Kalk!$B$5=10),'L Ist'!P9,0)</f>
        <v>0</v>
      </c>
      <c r="Q18" s="308">
        <f>IF(OR(Kalk!$B$5=5,Kalk!$B$5=7,Kalk!$B$5=9,Kalk!$B$5=10),'L Ist'!Q9,0)</f>
        <v>0</v>
      </c>
      <c r="R18" s="308">
        <f>IF(OR(Kalk!$B$5=5,Kalk!$B$5=7,Kalk!$B$5=9,Kalk!$B$5=10),'L Ist'!R9,0)</f>
        <v>0</v>
      </c>
    </row>
    <row r="19" spans="2:29" ht="11.25" customHeight="1">
      <c r="B19" s="306" t="str">
        <f t="shared" si="1"/>
        <v/>
      </c>
      <c r="C19" s="306" t="str">
        <f t="shared" si="1"/>
        <v/>
      </c>
      <c r="D19" s="308">
        <f>IF(OR(Kalk!$B$5=5,Kalk!$B$5=7,Kalk!$B$5=9,Kalk!$B$5=10),'L Ist'!D10,0)</f>
        <v>0</v>
      </c>
      <c r="E19" s="308">
        <f>IF(OR(Kalk!$B$5=5,Kalk!$B$5=7,Kalk!$B$5=9,Kalk!$B$5=10),'L Ist'!E10,0)</f>
        <v>0</v>
      </c>
      <c r="F19" s="308">
        <f>IF(OR(Kalk!$B$5=5,Kalk!$B$5=7,Kalk!$B$5=9,Kalk!$B$5=10),'L Ist'!F10,0)</f>
        <v>0</v>
      </c>
      <c r="G19" s="308">
        <f>IF(OR(Kalk!$B$5=5,Kalk!$B$5=7,Kalk!$B$5=9,Kalk!$B$5=10),'L Ist'!G10,0)</f>
        <v>0</v>
      </c>
      <c r="H19" s="308">
        <f>IF(OR(Kalk!$B$5=5,Kalk!$B$5=7,Kalk!$B$5=9,Kalk!$B$5=10),'L Ist'!H10,0)</f>
        <v>0</v>
      </c>
      <c r="I19" s="308">
        <f>IF(OR(Kalk!$B$5=5,Kalk!$B$5=7,Kalk!$B$5=9,Kalk!$B$5=10),'L Ist'!I10,0)</f>
        <v>0</v>
      </c>
      <c r="J19" s="307" t="str">
        <f>IF(OR(Kalk!$B$4=5,Kalk!$B$4=9,Kalk!$B$5=10),'L Ist'!J10,"")</f>
        <v/>
      </c>
      <c r="K19" s="306" t="str">
        <f>IF(OR(Umse!$C$24=0,Umse!$B$11=0),"",IF(OR(Kalk!$B$5=5,Kalk!$B$5=7,Kalk!$B$5=9,Kalk!$B$5=10),'L Ist'!K10,""))</f>
        <v/>
      </c>
      <c r="L19" s="306" t="str">
        <f>IF(OR(Umse!$C$24=0,Umse!$B$11=0),"",IF(OR(Kalk!$B$5=5,Kalk!$B$5=7,Kalk!$B$5=9,Kalk!$B$5=10),'L Ist'!L10,""))</f>
        <v/>
      </c>
      <c r="M19" s="308">
        <f>IF(OR(Kalk!$B$5=5,Kalk!$B$5=7,Kalk!$B$5=9,Kalk!$B$5=10),'L Ist'!M10,0)</f>
        <v>0</v>
      </c>
      <c r="N19" s="308">
        <f>IF(OR(Kalk!$B$5=5,Kalk!$B$5=7,Kalk!$B$5=9,Kalk!$B$5=10),'L Ist'!N10,0)</f>
        <v>0</v>
      </c>
      <c r="O19" s="308">
        <f>IF(OR(Kalk!$B$5=5,Kalk!$B$5=7,Kalk!$B$5=9,Kalk!$B$5=10),'L Ist'!O10,0)</f>
        <v>0</v>
      </c>
      <c r="P19" s="308">
        <f>IF(OR(Kalk!$B$5=5,Kalk!$B$5=7,Kalk!$B$5=9,Kalk!$B$5=10),'L Ist'!P10,0)</f>
        <v>0</v>
      </c>
      <c r="Q19" s="308">
        <f>IF(OR(Kalk!$B$5=5,Kalk!$B$5=7,Kalk!$B$5=9,Kalk!$B$5=10),'L Ist'!Q10,0)</f>
        <v>0</v>
      </c>
      <c r="R19" s="308">
        <f>IF(OR(Kalk!$B$5=5,Kalk!$B$5=7,Kalk!$B$5=9,Kalk!$B$5=10),'L Ist'!R10,0)</f>
        <v>0</v>
      </c>
    </row>
    <row r="20" spans="2:29" ht="11.25" customHeight="1">
      <c r="B20" s="306" t="str">
        <f t="shared" si="1"/>
        <v/>
      </c>
      <c r="C20" s="306" t="str">
        <f t="shared" si="1"/>
        <v/>
      </c>
      <c r="D20" s="308">
        <f>IF(OR(Kalk!$B$5=5,Kalk!$B$5=7,Kalk!$B$5=9,Kalk!$B$5=10),'L Ist'!D11,0)</f>
        <v>0</v>
      </c>
      <c r="E20" s="308">
        <f>IF(OR(Kalk!$B$5=5,Kalk!$B$5=7,Kalk!$B$5=9,Kalk!$B$5=10),'L Ist'!E11,0)</f>
        <v>0</v>
      </c>
      <c r="F20" s="308">
        <f>IF(OR(Kalk!$B$5=5,Kalk!$B$5=7,Kalk!$B$5=9,Kalk!$B$5=10),'L Ist'!F11,0)</f>
        <v>0</v>
      </c>
      <c r="G20" s="308">
        <f>IF(OR(Kalk!$B$5=5,Kalk!$B$5=7,Kalk!$B$5=9,Kalk!$B$5=10),'L Ist'!G11,0)</f>
        <v>0</v>
      </c>
      <c r="H20" s="308">
        <f>IF(OR(Kalk!$B$5=5,Kalk!$B$5=7,Kalk!$B$5=9,Kalk!$B$5=10),'L Ist'!H11,0)</f>
        <v>0</v>
      </c>
      <c r="I20" s="308">
        <f>IF(OR(Kalk!$B$5=5,Kalk!$B$5=7,Kalk!$B$5=9,Kalk!$B$5=10),'L Ist'!I11,0)</f>
        <v>0</v>
      </c>
      <c r="J20" s="307" t="str">
        <f>IF(OR(Kalk!$B$4=5,Kalk!$B$4=9,Kalk!$B$5=10),'L Ist'!J11,"")</f>
        <v/>
      </c>
      <c r="K20" s="306" t="str">
        <f>IF(OR(Umse!$C$24=0,Umse!$B$11=0),"",IF(OR(Kalk!$B$5=5,Kalk!$B$5=7,Kalk!$B$5=9,Kalk!$B$5=10),'L Ist'!K11,""))</f>
        <v/>
      </c>
      <c r="L20" s="306" t="str">
        <f>IF(OR(Umse!$C$24=0,Umse!$B$11=0),"",IF(OR(Kalk!$B$5=5,Kalk!$B$5=7,Kalk!$B$5=9,Kalk!$B$5=10),'L Ist'!L11,""))</f>
        <v/>
      </c>
      <c r="M20" s="308">
        <f>IF(OR(Kalk!$B$5=5,Kalk!$B$5=7,Kalk!$B$5=9,Kalk!$B$5=10),'L Ist'!M11,0)</f>
        <v>0</v>
      </c>
      <c r="N20" s="308">
        <f>IF(OR(Kalk!$B$5=5,Kalk!$B$5=7,Kalk!$B$5=9,Kalk!$B$5=10),'L Ist'!N11,0)</f>
        <v>0</v>
      </c>
      <c r="O20" s="308">
        <f>IF(OR(Kalk!$B$5=5,Kalk!$B$5=7,Kalk!$B$5=9,Kalk!$B$5=10),'L Ist'!O11,0)</f>
        <v>0</v>
      </c>
      <c r="P20" s="308">
        <f>IF(OR(Kalk!$B$5=5,Kalk!$B$5=7,Kalk!$B$5=9,Kalk!$B$5=10),'L Ist'!P11,0)</f>
        <v>0</v>
      </c>
      <c r="Q20" s="308">
        <f>IF(OR(Kalk!$B$5=5,Kalk!$B$5=7,Kalk!$B$5=9,Kalk!$B$5=10),'L Ist'!Q11,0)</f>
        <v>0</v>
      </c>
      <c r="R20" s="308">
        <f>IF(OR(Kalk!$B$5=5,Kalk!$B$5=7,Kalk!$B$5=9,Kalk!$B$5=10),'L Ist'!R11,0)</f>
        <v>0</v>
      </c>
    </row>
    <row r="21" spans="2:29" ht="11.25" customHeight="1">
      <c r="B21" s="306" t="str">
        <f t="shared" si="1"/>
        <v/>
      </c>
      <c r="C21" s="306" t="str">
        <f t="shared" si="1"/>
        <v/>
      </c>
      <c r="D21" s="308">
        <f>IF(OR(Kalk!$B$5=5,Kalk!$B$5=7,Kalk!$B$5=9,Kalk!$B$5=10),'L Ist'!D12,0)</f>
        <v>0</v>
      </c>
      <c r="E21" s="308">
        <f>IF(OR(Kalk!$B$5=5,Kalk!$B$5=7,Kalk!$B$5=9,Kalk!$B$5=10),'L Ist'!E12,0)</f>
        <v>0</v>
      </c>
      <c r="F21" s="308">
        <f>IF(OR(Kalk!$B$5=5,Kalk!$B$5=7,Kalk!$B$5=9,Kalk!$B$5=10),'L Ist'!F12,0)</f>
        <v>0</v>
      </c>
      <c r="G21" s="308">
        <f>IF(OR(Kalk!$B$5=5,Kalk!$B$5=7,Kalk!$B$5=9,Kalk!$B$5=10),'L Ist'!G12,0)</f>
        <v>0</v>
      </c>
      <c r="H21" s="308">
        <f>IF(OR(Kalk!$B$5=5,Kalk!$B$5=7,Kalk!$B$5=9,Kalk!$B$5=10),'L Ist'!H12,0)</f>
        <v>0</v>
      </c>
      <c r="I21" s="308">
        <f>IF(OR(Kalk!$B$5=5,Kalk!$B$5=7,Kalk!$B$5=9,Kalk!$B$5=10),'L Ist'!I12,0)</f>
        <v>0</v>
      </c>
      <c r="J21" s="307" t="str">
        <f>IF(OR(Kalk!$B$4=5,Kalk!$B$4=9,Kalk!$B$5=10),'L Ist'!J12,"")</f>
        <v/>
      </c>
      <c r="K21" s="306" t="str">
        <f>IF(OR(Umse!$C$24=0,Umse!$B$11=0),"",IF(OR(Kalk!$B$5=5,Kalk!$B$5=7,Kalk!$B$5=9,Kalk!$B$5=10),'L Ist'!K12,""))</f>
        <v/>
      </c>
      <c r="L21" s="306" t="str">
        <f>IF(OR(Umse!$C$24=0,Umse!$B$11=0),"",IF(OR(Kalk!$B$5=5,Kalk!$B$5=7,Kalk!$B$5=9,Kalk!$B$5=10),'L Ist'!L12,""))</f>
        <v/>
      </c>
      <c r="M21" s="308">
        <f>IF(OR(Kalk!$B$5=5,Kalk!$B$5=7,Kalk!$B$5=9,Kalk!$B$5=10),'L Ist'!M12,0)</f>
        <v>0</v>
      </c>
      <c r="N21" s="308">
        <f>IF(OR(Kalk!$B$5=5,Kalk!$B$5=7,Kalk!$B$5=9,Kalk!$B$5=10),'L Ist'!N12,0)</f>
        <v>0</v>
      </c>
      <c r="O21" s="308">
        <f>IF(OR(Kalk!$B$5=5,Kalk!$B$5=7,Kalk!$B$5=9,Kalk!$B$5=10),'L Ist'!O12,0)</f>
        <v>0</v>
      </c>
      <c r="P21" s="308">
        <f>IF(OR(Kalk!$B$5=5,Kalk!$B$5=7,Kalk!$B$5=9,Kalk!$B$5=10),'L Ist'!P12,0)</f>
        <v>0</v>
      </c>
      <c r="Q21" s="308">
        <f>IF(OR(Kalk!$B$5=5,Kalk!$B$5=7,Kalk!$B$5=9,Kalk!$B$5=10),'L Ist'!Q12,0)</f>
        <v>0</v>
      </c>
      <c r="R21" s="308">
        <f>IF(OR(Kalk!$B$5=5,Kalk!$B$5=7,Kalk!$B$5=9,Kalk!$B$5=10),'L Ist'!R12,0)</f>
        <v>0</v>
      </c>
    </row>
    <row r="22" spans="2:29" ht="11.25" customHeight="1">
      <c r="B22" s="306" t="str">
        <f t="shared" si="1"/>
        <v/>
      </c>
      <c r="C22" s="306" t="str">
        <f t="shared" si="1"/>
        <v/>
      </c>
      <c r="D22" s="308">
        <f>IF(OR(Kalk!$B$5=5,Kalk!$B$5=7,Kalk!$B$5=9,Kalk!$B$5=10),'L Ist'!D13,0)</f>
        <v>0</v>
      </c>
      <c r="E22" s="308">
        <f>IF(OR(Kalk!$B$5=5,Kalk!$B$5=7,Kalk!$B$5=9,Kalk!$B$5=10),'L Ist'!E13,0)</f>
        <v>0</v>
      </c>
      <c r="F22" s="308">
        <f>IF(OR(Kalk!$B$5=5,Kalk!$B$5=7,Kalk!$B$5=9,Kalk!$B$5=10),'L Ist'!F13,0)</f>
        <v>0</v>
      </c>
      <c r="G22" s="308">
        <f>IF(OR(Kalk!$B$5=5,Kalk!$B$5=7,Kalk!$B$5=9,Kalk!$B$5=10),'L Ist'!G13,0)</f>
        <v>0</v>
      </c>
      <c r="H22" s="308">
        <f>IF(OR(Kalk!$B$5=5,Kalk!$B$5=7,Kalk!$B$5=9,Kalk!$B$5=10),'L Ist'!H13,0)</f>
        <v>0</v>
      </c>
      <c r="I22" s="308">
        <f>IF(OR(Kalk!$B$5=5,Kalk!$B$5=7,Kalk!$B$5=9,Kalk!$B$5=10),'L Ist'!I13,0)</f>
        <v>0</v>
      </c>
      <c r="J22" s="307" t="str">
        <f>IF(OR(Kalk!$B$4=5,Kalk!$B$4=9,Kalk!$B$5=10),'L Ist'!J13,"")</f>
        <v/>
      </c>
      <c r="K22" s="306" t="str">
        <f>IF(OR(Umse!$C$24=0,Umse!$B$11=0),"",IF(OR(Kalk!$B$5=5,Kalk!$B$5=7,Kalk!$B$5=9,Kalk!$B$5=10),'L Ist'!K13,""))</f>
        <v/>
      </c>
      <c r="L22" s="306" t="str">
        <f>IF(OR(Umse!$C$24=0,Umse!$B$11=0),"",IF(OR(Kalk!$B$5=5,Kalk!$B$5=7,Kalk!$B$5=9,Kalk!$B$5=10),'L Ist'!L13,""))</f>
        <v/>
      </c>
      <c r="M22" s="308">
        <f>IF(OR(Kalk!$B$5=5,Kalk!$B$5=7,Kalk!$B$5=9,Kalk!$B$5=10),'L Ist'!M13,0)</f>
        <v>0</v>
      </c>
      <c r="N22" s="308">
        <f>IF(OR(Kalk!$B$5=5,Kalk!$B$5=7,Kalk!$B$5=9,Kalk!$B$5=10),'L Ist'!N13,0)</f>
        <v>0</v>
      </c>
      <c r="O22" s="308">
        <f>IF(OR(Kalk!$B$5=5,Kalk!$B$5=7,Kalk!$B$5=9,Kalk!$B$5=10),'L Ist'!O13,0)</f>
        <v>0</v>
      </c>
      <c r="P22" s="308">
        <f>IF(OR(Kalk!$B$5=5,Kalk!$B$5=7,Kalk!$B$5=9,Kalk!$B$5=10),'L Ist'!P13,0)</f>
        <v>0</v>
      </c>
      <c r="Q22" s="308">
        <f>IF(OR(Kalk!$B$5=5,Kalk!$B$5=7,Kalk!$B$5=9,Kalk!$B$5=10),'L Ist'!Q13,0)</f>
        <v>0</v>
      </c>
      <c r="R22" s="308">
        <f>IF(OR(Kalk!$B$5=5,Kalk!$B$5=7,Kalk!$B$5=9,Kalk!$B$5=10),'L Ist'!R13,0)</f>
        <v>0</v>
      </c>
    </row>
    <row r="23" spans="2:29" ht="11.25" customHeight="1">
      <c r="B23" s="306" t="str">
        <f t="shared" si="1"/>
        <v/>
      </c>
      <c r="C23" s="306" t="str">
        <f t="shared" si="1"/>
        <v/>
      </c>
      <c r="D23" s="308">
        <f>IF(OR(Kalk!$B$5=5,Kalk!$B$5=7,Kalk!$B$5=9,Kalk!$B$5=10),'L Ist'!D14,0)</f>
        <v>0</v>
      </c>
      <c r="E23" s="308">
        <f>IF(OR(Kalk!$B$5=5,Kalk!$B$5=7,Kalk!$B$5=9,Kalk!$B$5=10),'L Ist'!E14,0)</f>
        <v>0</v>
      </c>
      <c r="F23" s="308">
        <f>IF(OR(Kalk!$B$5=5,Kalk!$B$5=7,Kalk!$B$5=9,Kalk!$B$5=10),'L Ist'!F14,0)</f>
        <v>0</v>
      </c>
      <c r="G23" s="308">
        <f>IF(OR(Kalk!$B$5=5,Kalk!$B$5=7,Kalk!$B$5=9,Kalk!$B$5=10),'L Ist'!G14,0)</f>
        <v>0</v>
      </c>
      <c r="H23" s="308">
        <f>IF(OR(Kalk!$B$5=5,Kalk!$B$5=7,Kalk!$B$5=9,Kalk!$B$5=10),'L Ist'!H14,0)</f>
        <v>0</v>
      </c>
      <c r="I23" s="308">
        <f>IF(OR(Kalk!$B$5=5,Kalk!$B$5=7,Kalk!$B$5=9,Kalk!$B$5=10),'L Ist'!I14,0)</f>
        <v>0</v>
      </c>
      <c r="J23" s="307" t="str">
        <f>IF(OR(Kalk!$B$4=5,Kalk!$B$4=9,Kalk!$B$5=10),'L Ist'!J14,"")</f>
        <v/>
      </c>
      <c r="K23" s="306" t="str">
        <f>IF(OR(Umse!$C$24=0,Umse!$B$11=0),"",IF(OR(Kalk!$B$5=5,Kalk!$B$5=7,Kalk!$B$5=9,Kalk!$B$5=10),'L Ist'!K14,""))</f>
        <v/>
      </c>
      <c r="L23" s="306" t="str">
        <f>IF(OR(Umse!$C$24=0,Umse!$B$11=0),"",IF(OR(Kalk!$B$5=5,Kalk!$B$5=7,Kalk!$B$5=9,Kalk!$B$5=10),'L Ist'!L14,""))</f>
        <v/>
      </c>
      <c r="M23" s="308">
        <f>IF(OR(Kalk!$B$5=5,Kalk!$B$5=7,Kalk!$B$5=9,Kalk!$B$5=10),'L Ist'!M14,0)</f>
        <v>0</v>
      </c>
      <c r="N23" s="308">
        <f>IF(OR(Kalk!$B$5=5,Kalk!$B$5=7,Kalk!$B$5=9,Kalk!$B$5=10),'L Ist'!N14,0)</f>
        <v>0</v>
      </c>
      <c r="O23" s="308">
        <f>IF(OR(Kalk!$B$5=5,Kalk!$B$5=7,Kalk!$B$5=9,Kalk!$B$5=10),'L Ist'!O14,0)</f>
        <v>0</v>
      </c>
      <c r="P23" s="308">
        <f>IF(OR(Kalk!$B$5=5,Kalk!$B$5=7,Kalk!$B$5=9,Kalk!$B$5=10),'L Ist'!P14,0)</f>
        <v>0</v>
      </c>
      <c r="Q23" s="308">
        <f>IF(OR(Kalk!$B$5=5,Kalk!$B$5=7,Kalk!$B$5=9,Kalk!$B$5=10),'L Ist'!Q14,0)</f>
        <v>0</v>
      </c>
      <c r="R23" s="308">
        <f>IF(OR(Kalk!$B$5=5,Kalk!$B$5=7,Kalk!$B$5=9,Kalk!$B$5=10),'L Ist'!R14,0)</f>
        <v>0</v>
      </c>
    </row>
    <row r="24" spans="2:29" ht="11.25" customHeight="1">
      <c r="B24" s="306" t="str">
        <f t="shared" si="1"/>
        <v/>
      </c>
      <c r="C24" s="306" t="str">
        <f t="shared" si="1"/>
        <v/>
      </c>
      <c r="D24" s="308">
        <f>IF(OR(Kalk!$B$5=5,Kalk!$B$5=7,Kalk!$B$5=9,Kalk!$B$5=10),'L Ist'!D15,0)</f>
        <v>0</v>
      </c>
      <c r="E24" s="308">
        <f>IF(OR(Kalk!$B$5=5,Kalk!$B$5=7,Kalk!$B$5=9,Kalk!$B$5=10),'L Ist'!E15,0)</f>
        <v>0</v>
      </c>
      <c r="F24" s="308">
        <f>IF(OR(Kalk!$B$5=5,Kalk!$B$5=7,Kalk!$B$5=9,Kalk!$B$5=10),'L Ist'!F15,0)</f>
        <v>0</v>
      </c>
      <c r="G24" s="308">
        <f>IF(OR(Kalk!$B$5=5,Kalk!$B$5=7,Kalk!$B$5=9,Kalk!$B$5=10),'L Ist'!G15,0)</f>
        <v>0</v>
      </c>
      <c r="H24" s="308">
        <f>IF(OR(Kalk!$B$5=5,Kalk!$B$5=7,Kalk!$B$5=9,Kalk!$B$5=10),'L Ist'!H15,0)</f>
        <v>0</v>
      </c>
      <c r="I24" s="308">
        <f>IF(OR(Kalk!$B$5=5,Kalk!$B$5=7,Kalk!$B$5=9,Kalk!$B$5=10),'L Ist'!I15,0)</f>
        <v>0</v>
      </c>
      <c r="J24" s="307" t="str">
        <f>IF(OR(Kalk!$B$4=5,Kalk!$B$4=9,Kalk!$B$5=10),'L Ist'!J15,"")</f>
        <v/>
      </c>
      <c r="K24" s="306" t="str">
        <f>IF(OR(Umse!$C$24=0,Umse!$B$11=0),"",IF(OR(Kalk!$B$5=5,Kalk!$B$5=7,Kalk!$B$5=9,Kalk!$B$5=10),'L Ist'!K15,""))</f>
        <v/>
      </c>
      <c r="L24" s="306" t="str">
        <f>IF(OR(Umse!$C$24=0,Umse!$B$11=0),"",IF(OR(Kalk!$B$5=5,Kalk!$B$5=7,Kalk!$B$5=9,Kalk!$B$5=10),'L Ist'!L15,""))</f>
        <v/>
      </c>
      <c r="M24" s="308">
        <f>IF(OR(Kalk!$B$5=5,Kalk!$B$5=7,Kalk!$B$5=9,Kalk!$B$5=10),'L Ist'!M15,0)</f>
        <v>0</v>
      </c>
      <c r="N24" s="308">
        <f>IF(OR(Kalk!$B$5=5,Kalk!$B$5=7,Kalk!$B$5=9,Kalk!$B$5=10),'L Ist'!N15,0)</f>
        <v>0</v>
      </c>
      <c r="O24" s="308">
        <f>IF(OR(Kalk!$B$5=5,Kalk!$B$5=7,Kalk!$B$5=9,Kalk!$B$5=10),'L Ist'!O15,0)</f>
        <v>0</v>
      </c>
      <c r="P24" s="308">
        <f>IF(OR(Kalk!$B$5=5,Kalk!$B$5=7,Kalk!$B$5=9,Kalk!$B$5=10),'L Ist'!P15,0)</f>
        <v>0</v>
      </c>
      <c r="Q24" s="308">
        <f>IF(OR(Kalk!$B$5=5,Kalk!$B$5=7,Kalk!$B$5=9,Kalk!$B$5=10),'L Ist'!Q15,0)</f>
        <v>0</v>
      </c>
      <c r="R24" s="308">
        <f>IF(OR(Kalk!$B$5=5,Kalk!$B$5=7,Kalk!$B$5=9,Kalk!$B$5=10),'L Ist'!R15,0)</f>
        <v>0</v>
      </c>
    </row>
    <row r="25" spans="2:29" ht="11.25" customHeight="1">
      <c r="B25" s="306" t="str">
        <f t="shared" si="1"/>
        <v/>
      </c>
      <c r="C25" s="306" t="str">
        <f t="shared" si="1"/>
        <v/>
      </c>
      <c r="D25" s="308">
        <f>IF(OR(Kalk!$B$5=5,Kalk!$B$5=7,Kalk!$B$5=9,Kalk!$B$5=10),'L Ist'!D16,0)</f>
        <v>0</v>
      </c>
      <c r="E25" s="308">
        <f>IF(OR(Kalk!$B$5=5,Kalk!$B$5=7,Kalk!$B$5=9,Kalk!$B$5=10),'L Ist'!E16,0)</f>
        <v>0</v>
      </c>
      <c r="F25" s="308">
        <f>IF(OR(Kalk!$B$5=5,Kalk!$B$5=7,Kalk!$B$5=9,Kalk!$B$5=10),'L Ist'!F16,0)</f>
        <v>0</v>
      </c>
      <c r="G25" s="308">
        <f>IF(OR(Kalk!$B$5=5,Kalk!$B$5=7,Kalk!$B$5=9,Kalk!$B$5=10),'L Ist'!G16,0)</f>
        <v>0</v>
      </c>
      <c r="H25" s="308">
        <f>IF(OR(Kalk!$B$5=5,Kalk!$B$5=7,Kalk!$B$5=9,Kalk!$B$5=10),'L Ist'!H16,0)</f>
        <v>0</v>
      </c>
      <c r="I25" s="308">
        <f>IF(OR(Kalk!$B$5=5,Kalk!$B$5=7,Kalk!$B$5=9,Kalk!$B$5=10),'L Ist'!I16,0)</f>
        <v>0</v>
      </c>
      <c r="J25" s="307" t="str">
        <f>IF(OR(Kalk!$B$4=5,Kalk!$B$4=9,Kalk!$B$5=10),'L Ist'!J16,"")</f>
        <v/>
      </c>
      <c r="K25" s="306" t="str">
        <f>IF(OR(Umse!$C$24=0,Umse!$B$11=0),"",IF(OR(Kalk!$B$5=5,Kalk!$B$5=7,Kalk!$B$5=9,Kalk!$B$5=10),'L Ist'!K16,""))</f>
        <v/>
      </c>
      <c r="L25" s="306" t="str">
        <f>IF(OR(Umse!$C$24=0,Umse!$B$11=0),"",IF(OR(Kalk!$B$5=5,Kalk!$B$5=7,Kalk!$B$5=9,Kalk!$B$5=10),'L Ist'!L16,""))</f>
        <v/>
      </c>
      <c r="M25" s="308">
        <f>IF(OR(Kalk!$B$5=5,Kalk!$B$5=7,Kalk!$B$5=9,Kalk!$B$5=10),'L Ist'!M16,0)</f>
        <v>0</v>
      </c>
      <c r="N25" s="308">
        <f>IF(OR(Kalk!$B$5=5,Kalk!$B$5=7,Kalk!$B$5=9,Kalk!$B$5=10),'L Ist'!N16,0)</f>
        <v>0</v>
      </c>
      <c r="O25" s="308">
        <f>IF(OR(Kalk!$B$5=5,Kalk!$B$5=7,Kalk!$B$5=9,Kalk!$B$5=10),'L Ist'!O16,0)</f>
        <v>0</v>
      </c>
      <c r="P25" s="308">
        <f>IF(OR(Kalk!$B$5=5,Kalk!$B$5=7,Kalk!$B$5=9,Kalk!$B$5=10),'L Ist'!P16,0)</f>
        <v>0</v>
      </c>
      <c r="Q25" s="308">
        <f>IF(OR(Kalk!$B$5=5,Kalk!$B$5=7,Kalk!$B$5=9,Kalk!$B$5=10),'L Ist'!Q16,0)</f>
        <v>0</v>
      </c>
      <c r="R25" s="308">
        <f>IF(OR(Kalk!$B$5=5,Kalk!$B$5=7,Kalk!$B$5=9,Kalk!$B$5=10),'L Ist'!R16,0)</f>
        <v>0</v>
      </c>
    </row>
    <row r="26" spans="2:29" ht="11.25" customHeight="1">
      <c r="B26" s="306" t="str">
        <f t="shared" si="1"/>
        <v/>
      </c>
      <c r="C26" s="306" t="str">
        <f t="shared" si="1"/>
        <v/>
      </c>
      <c r="D26" s="308">
        <f>IF(OR(Kalk!$B$5=5,Kalk!$B$5=7,Kalk!$B$5=9,Kalk!$B$5=10),'L Ist'!D17,0)</f>
        <v>0</v>
      </c>
      <c r="E26" s="308">
        <f>IF(OR(Kalk!$B$5=5,Kalk!$B$5=7,Kalk!$B$5=9,Kalk!$B$5=10),'L Ist'!E17,0)</f>
        <v>0</v>
      </c>
      <c r="F26" s="308">
        <f>IF(OR(Kalk!$B$5=5,Kalk!$B$5=7,Kalk!$B$5=9,Kalk!$B$5=10),'L Ist'!F17,0)</f>
        <v>0</v>
      </c>
      <c r="G26" s="308">
        <f>IF(OR(Kalk!$B$5=5,Kalk!$B$5=7,Kalk!$B$5=9,Kalk!$B$5=10),'L Ist'!G17,0)</f>
        <v>0</v>
      </c>
      <c r="H26" s="308">
        <f>IF(OR(Kalk!$B$5=5,Kalk!$B$5=7,Kalk!$B$5=9,Kalk!$B$5=10),'L Ist'!H17,0)</f>
        <v>0</v>
      </c>
      <c r="I26" s="308">
        <f>IF(OR(Kalk!$B$5=5,Kalk!$B$5=7,Kalk!$B$5=9,Kalk!$B$5=10),'L Ist'!I17,0)</f>
        <v>0</v>
      </c>
      <c r="J26" s="307" t="str">
        <f>IF(OR(Kalk!$B$4=5,Kalk!$B$4=9,Kalk!$B$5=10),'L Ist'!J17,"")</f>
        <v/>
      </c>
      <c r="K26" s="306" t="str">
        <f>IF(OR(Umse!$C$24=0,Umse!$B$11=0),"",IF(OR(Kalk!$B$5=5,Kalk!$B$5=7,Kalk!$B$5=9,Kalk!$B$5=10),'L Ist'!K17,""))</f>
        <v/>
      </c>
      <c r="L26" s="306" t="str">
        <f>IF(OR(Umse!$C$24=0,Umse!$B$11=0),"",IF(OR(Kalk!$B$5=5,Kalk!$B$5=7,Kalk!$B$5=9,Kalk!$B$5=10),'L Ist'!L17,""))</f>
        <v/>
      </c>
      <c r="M26" s="308">
        <f>IF(OR(Kalk!$B$5=5,Kalk!$B$5=7,Kalk!$B$5=9,Kalk!$B$5=10),'L Ist'!M17,0)</f>
        <v>0</v>
      </c>
      <c r="N26" s="308">
        <f>IF(OR(Kalk!$B$5=5,Kalk!$B$5=7,Kalk!$B$5=9,Kalk!$B$5=10),'L Ist'!N17,0)</f>
        <v>0</v>
      </c>
      <c r="O26" s="308">
        <f>IF(OR(Kalk!$B$5=5,Kalk!$B$5=7,Kalk!$B$5=9,Kalk!$B$5=10),'L Ist'!O17,0)</f>
        <v>0</v>
      </c>
      <c r="P26" s="308">
        <f>IF(OR(Kalk!$B$5=5,Kalk!$B$5=7,Kalk!$B$5=9,Kalk!$B$5=10),'L Ist'!P17,0)</f>
        <v>0</v>
      </c>
      <c r="Q26" s="308">
        <f>IF(OR(Kalk!$B$5=5,Kalk!$B$5=7,Kalk!$B$5=9,Kalk!$B$5=10),'L Ist'!Q17,0)</f>
        <v>0</v>
      </c>
      <c r="R26" s="308">
        <f>IF(OR(Kalk!$B$5=5,Kalk!$B$5=7,Kalk!$B$5=9,Kalk!$B$5=10),'L Ist'!R17,0)</f>
        <v>0</v>
      </c>
    </row>
    <row r="27" spans="2:29" ht="11.25" customHeight="1">
      <c r="B27" s="306" t="str">
        <f t="shared" si="1"/>
        <v/>
      </c>
      <c r="C27" s="306" t="str">
        <f t="shared" si="1"/>
        <v/>
      </c>
      <c r="D27" s="308">
        <f>IF(OR(Kalk!$B$5=5,Kalk!$B$5=7,Kalk!$B$5=9,Kalk!$B$5=10),'L Ist'!D18,0)</f>
        <v>0</v>
      </c>
      <c r="E27" s="308">
        <f>IF(OR(Kalk!$B$5=5,Kalk!$B$5=7,Kalk!$B$5=9,Kalk!$B$5=10),'L Ist'!E18,0)</f>
        <v>0</v>
      </c>
      <c r="F27" s="308">
        <f>IF(OR(Kalk!$B$5=5,Kalk!$B$5=7,Kalk!$B$5=9,Kalk!$B$5=10),'L Ist'!F18,0)</f>
        <v>0</v>
      </c>
      <c r="G27" s="308">
        <f>IF(OR(Kalk!$B$5=5,Kalk!$B$5=7,Kalk!$B$5=9,Kalk!$B$5=10),'L Ist'!G18,0)</f>
        <v>0</v>
      </c>
      <c r="H27" s="308">
        <f>IF(OR(Kalk!$B$5=5,Kalk!$B$5=7,Kalk!$B$5=9,Kalk!$B$5=10),'L Ist'!H18,0)</f>
        <v>0</v>
      </c>
      <c r="I27" s="308">
        <f>IF(OR(Kalk!$B$5=5,Kalk!$B$5=7,Kalk!$B$5=9,Kalk!$B$5=10),'L Ist'!I18,0)</f>
        <v>0</v>
      </c>
      <c r="J27" s="307" t="str">
        <f>IF(OR(Kalk!$B$4=5,Kalk!$B$4=9,Kalk!$B$5=10),'L Ist'!J18,"")</f>
        <v/>
      </c>
      <c r="K27" s="306" t="str">
        <f>IF(OR(Umse!$C$24=0,Umse!$B$11=0),"",IF(OR(Kalk!$B$5=5,Kalk!$B$5=7,Kalk!$B$5=9,Kalk!$B$5=10),'L Ist'!K18,""))</f>
        <v/>
      </c>
      <c r="L27" s="306" t="str">
        <f>IF(OR(Umse!$C$24=0,Umse!$B$11=0),"",IF(OR(Kalk!$B$5=5,Kalk!$B$5=7,Kalk!$B$5=9,Kalk!$B$5=10),'L Ist'!L18,""))</f>
        <v/>
      </c>
      <c r="M27" s="308">
        <f>IF(OR(Kalk!$B$5=5,Kalk!$B$5=7,Kalk!$B$5=9,Kalk!$B$5=10),'L Ist'!M18,0)</f>
        <v>0</v>
      </c>
      <c r="N27" s="308">
        <f>IF(OR(Kalk!$B$5=5,Kalk!$B$5=7,Kalk!$B$5=9,Kalk!$B$5=10),'L Ist'!N18,0)</f>
        <v>0</v>
      </c>
      <c r="O27" s="308">
        <f>IF(OR(Kalk!$B$5=5,Kalk!$B$5=7,Kalk!$B$5=9,Kalk!$B$5=10),'L Ist'!O18,0)</f>
        <v>0</v>
      </c>
      <c r="P27" s="308">
        <f>IF(OR(Kalk!$B$5=5,Kalk!$B$5=7,Kalk!$B$5=9,Kalk!$B$5=10),'L Ist'!P18,0)</f>
        <v>0</v>
      </c>
      <c r="Q27" s="308">
        <f>IF(OR(Kalk!$B$5=5,Kalk!$B$5=7,Kalk!$B$5=9,Kalk!$B$5=10),'L Ist'!Q18,0)</f>
        <v>0</v>
      </c>
      <c r="R27" s="308">
        <f>IF(OR(Kalk!$B$5=5,Kalk!$B$5=7,Kalk!$B$5=9,Kalk!$B$5=10),'L Ist'!R18,0)</f>
        <v>0</v>
      </c>
    </row>
    <row r="28" spans="2:29" ht="11.25" customHeight="1">
      <c r="B28" s="306" t="str">
        <f t="shared" si="1"/>
        <v/>
      </c>
      <c r="C28" s="306" t="str">
        <f t="shared" si="1"/>
        <v/>
      </c>
      <c r="D28" s="308">
        <f>IF(OR(Kalk!$B$5=5,Kalk!$B$5=7,Kalk!$B$5=9,Kalk!$B$5=10),'L Ist'!D19,0)</f>
        <v>0</v>
      </c>
      <c r="E28" s="308">
        <f>IF(OR(Kalk!$B$5=5,Kalk!$B$5=7,Kalk!$B$5=9,Kalk!$B$5=10),'L Ist'!E19,0)</f>
        <v>0</v>
      </c>
      <c r="F28" s="308">
        <f>IF(OR(Kalk!$B$5=5,Kalk!$B$5=7,Kalk!$B$5=9,Kalk!$B$5=10),'L Ist'!F19,0)</f>
        <v>0</v>
      </c>
      <c r="G28" s="308">
        <f>IF(OR(Kalk!$B$5=5,Kalk!$B$5=7,Kalk!$B$5=9,Kalk!$B$5=10),'L Ist'!G19,0)</f>
        <v>0</v>
      </c>
      <c r="H28" s="308">
        <f>IF(OR(Kalk!$B$5=5,Kalk!$B$5=7,Kalk!$B$5=9,Kalk!$B$5=10),'L Ist'!H19,0)</f>
        <v>0</v>
      </c>
      <c r="I28" s="308">
        <f>IF(OR(Kalk!$B$5=5,Kalk!$B$5=7,Kalk!$B$5=9,Kalk!$B$5=10),'L Ist'!I19,0)</f>
        <v>0</v>
      </c>
      <c r="J28" s="307" t="str">
        <f>IF(OR(Kalk!$B$4=5,Kalk!$B$4=9,Kalk!$B$5=10),'L Ist'!J19,"")</f>
        <v/>
      </c>
      <c r="K28" s="306" t="str">
        <f>IF(OR(Umse!$C$24=0,Umse!$B$11=0),"",IF(OR(Kalk!$B$5=5,Kalk!$B$5=7,Kalk!$B$5=9,Kalk!$B$5=10),'L Ist'!K19,""))</f>
        <v/>
      </c>
      <c r="L28" s="306" t="str">
        <f>IF(OR(Umse!$C$24=0,Umse!$B$11=0),"",IF(OR(Kalk!$B$5=5,Kalk!$B$5=7,Kalk!$B$5=9,Kalk!$B$5=10),'L Ist'!L19,""))</f>
        <v/>
      </c>
      <c r="M28" s="308">
        <f>IF(OR(Kalk!$B$5=5,Kalk!$B$5=7,Kalk!$B$5=9,Kalk!$B$5=10),'L Ist'!M19,0)</f>
        <v>0</v>
      </c>
      <c r="N28" s="308">
        <f>IF(OR(Kalk!$B$5=5,Kalk!$B$5=7,Kalk!$B$5=9,Kalk!$B$5=10),'L Ist'!N19,0)</f>
        <v>0</v>
      </c>
      <c r="O28" s="308">
        <f>IF(OR(Kalk!$B$5=5,Kalk!$B$5=7,Kalk!$B$5=9,Kalk!$B$5=10),'L Ist'!O19,0)</f>
        <v>0</v>
      </c>
      <c r="P28" s="308">
        <f>IF(OR(Kalk!$B$5=5,Kalk!$B$5=7,Kalk!$B$5=9,Kalk!$B$5=10),'L Ist'!P19,0)</f>
        <v>0</v>
      </c>
      <c r="Q28" s="308">
        <f>IF(OR(Kalk!$B$5=5,Kalk!$B$5=7,Kalk!$B$5=9,Kalk!$B$5=10),'L Ist'!Q19,0)</f>
        <v>0</v>
      </c>
      <c r="R28" s="308">
        <f>IF(OR(Kalk!$B$5=5,Kalk!$B$5=7,Kalk!$B$5=9,Kalk!$B$5=10),'L Ist'!R19,0)</f>
        <v>0</v>
      </c>
    </row>
    <row r="29" spans="2:29" ht="11.25" customHeight="1">
      <c r="B29" s="306" t="str">
        <f t="shared" si="1"/>
        <v/>
      </c>
      <c r="C29" s="306" t="str">
        <f t="shared" si="1"/>
        <v/>
      </c>
      <c r="D29" s="308">
        <f>IF(OR(Kalk!$B$5=5,Kalk!$B$5=7,Kalk!$B$5=9,Kalk!$B$5=10),'L Ist'!D20,0)</f>
        <v>0</v>
      </c>
      <c r="E29" s="308">
        <f>IF(OR(Kalk!$B$5=5,Kalk!$B$5=7,Kalk!$B$5=9,Kalk!$B$5=10),'L Ist'!E20,0)</f>
        <v>0</v>
      </c>
      <c r="F29" s="308">
        <f>IF(OR(Kalk!$B$5=5,Kalk!$B$5=7,Kalk!$B$5=9,Kalk!$B$5=10),'L Ist'!F20,0)</f>
        <v>0</v>
      </c>
      <c r="G29" s="308">
        <f>IF(OR(Kalk!$B$5=5,Kalk!$B$5=7,Kalk!$B$5=9,Kalk!$B$5=10),'L Ist'!G20,0)</f>
        <v>0</v>
      </c>
      <c r="H29" s="308">
        <f>IF(OR(Kalk!$B$5=5,Kalk!$B$5=7,Kalk!$B$5=9,Kalk!$B$5=10),'L Ist'!H20,0)</f>
        <v>0</v>
      </c>
      <c r="I29" s="308">
        <f>IF(OR(Kalk!$B$5=5,Kalk!$B$5=7,Kalk!$B$5=9,Kalk!$B$5=10),'L Ist'!I20,0)</f>
        <v>0</v>
      </c>
      <c r="J29" s="307" t="str">
        <f>IF(OR(Kalk!$B$4=5,Kalk!$B$4=9,Kalk!$B$5=10),'L Ist'!J20,"")</f>
        <v/>
      </c>
      <c r="K29" s="306" t="str">
        <f>IF(OR(Umse!$C$24=0,Umse!$B$11=0),"",IF(OR(Kalk!$B$5=5,Kalk!$B$5=7,Kalk!$B$5=9,Kalk!$B$5=10),'L Ist'!K20,""))</f>
        <v/>
      </c>
      <c r="L29" s="306" t="str">
        <f>IF(OR(Umse!$C$24=0,Umse!$B$11=0),"",IF(OR(Kalk!$B$5=5,Kalk!$B$5=7,Kalk!$B$5=9,Kalk!$B$5=10),'L Ist'!L20,""))</f>
        <v/>
      </c>
      <c r="M29" s="308">
        <f>IF(OR(Kalk!$B$5=5,Kalk!$B$5=7,Kalk!$B$5=9,Kalk!$B$5=10),'L Ist'!M20,0)</f>
        <v>0</v>
      </c>
      <c r="N29" s="308">
        <f>IF(OR(Kalk!$B$5=5,Kalk!$B$5=7,Kalk!$B$5=9,Kalk!$B$5=10),'L Ist'!N20,0)</f>
        <v>0</v>
      </c>
      <c r="O29" s="308">
        <f>IF(OR(Kalk!$B$5=5,Kalk!$B$5=7,Kalk!$B$5=9,Kalk!$B$5=10),'L Ist'!O20,0)</f>
        <v>0</v>
      </c>
      <c r="P29" s="308">
        <f>IF(OR(Kalk!$B$5=5,Kalk!$B$5=7,Kalk!$B$5=9,Kalk!$B$5=10),'L Ist'!P20,0)</f>
        <v>0</v>
      </c>
      <c r="Q29" s="308">
        <f>IF(OR(Kalk!$B$5=5,Kalk!$B$5=7,Kalk!$B$5=9,Kalk!$B$5=10),'L Ist'!Q20,0)</f>
        <v>0</v>
      </c>
      <c r="R29" s="308">
        <f>IF(OR(Kalk!$B$5=5,Kalk!$B$5=7,Kalk!$B$5=9,Kalk!$B$5=10),'L Ist'!R20,0)</f>
        <v>0</v>
      </c>
    </row>
    <row r="30" spans="2:29" ht="11.25" customHeight="1">
      <c r="B30" s="306" t="str">
        <f t="shared" si="1"/>
        <v/>
      </c>
      <c r="C30" s="306" t="str">
        <f t="shared" si="1"/>
        <v/>
      </c>
      <c r="D30" s="308">
        <f>IF(OR(Kalk!$B$5=5,Kalk!$B$5=7,Kalk!$B$5=9,Kalk!$B$5=10),'L Ist'!D21,0)</f>
        <v>0</v>
      </c>
      <c r="E30" s="308">
        <f>IF(OR(Kalk!$B$5=5,Kalk!$B$5=7,Kalk!$B$5=9,Kalk!$B$5=10),'L Ist'!E21,0)</f>
        <v>0</v>
      </c>
      <c r="F30" s="308">
        <f>IF(OR(Kalk!$B$5=5,Kalk!$B$5=7,Kalk!$B$5=9,Kalk!$B$5=10),'L Ist'!F21,0)</f>
        <v>0</v>
      </c>
      <c r="G30" s="308">
        <f>IF(OR(Kalk!$B$5=5,Kalk!$B$5=7,Kalk!$B$5=9,Kalk!$B$5=10),'L Ist'!G21,0)</f>
        <v>0</v>
      </c>
      <c r="H30" s="308">
        <f>IF(OR(Kalk!$B$5=5,Kalk!$B$5=7,Kalk!$B$5=9,Kalk!$B$5=10),'L Ist'!H21,0)</f>
        <v>0</v>
      </c>
      <c r="I30" s="308">
        <f>IF(OR(Kalk!$B$5=5,Kalk!$B$5=7,Kalk!$B$5=9,Kalk!$B$5=10),'L Ist'!I21,0)</f>
        <v>0</v>
      </c>
      <c r="J30" s="307" t="str">
        <f>IF(OR(Kalk!$B$4=5,Kalk!$B$4=9,Kalk!$B$5=10),'L Ist'!J21,"")</f>
        <v/>
      </c>
      <c r="K30" s="306" t="str">
        <f>IF(OR(Umse!$C$24=0,Umse!$B$11=0),"",IF(OR(Kalk!$B$5=5,Kalk!$B$5=7,Kalk!$B$5=9,Kalk!$B$5=10),'L Ist'!K21,""))</f>
        <v/>
      </c>
      <c r="L30" s="306" t="str">
        <f>IF(OR(Umse!$C$24=0,Umse!$B$11=0),"",IF(OR(Kalk!$B$5=5,Kalk!$B$5=7,Kalk!$B$5=9,Kalk!$B$5=10),'L Ist'!L21,""))</f>
        <v/>
      </c>
      <c r="M30" s="308">
        <f>IF(OR(Kalk!$B$5=5,Kalk!$B$5=7,Kalk!$B$5=9,Kalk!$B$5=10),'L Ist'!M21,0)</f>
        <v>0</v>
      </c>
      <c r="N30" s="308">
        <f>IF(OR(Kalk!$B$5=5,Kalk!$B$5=7,Kalk!$B$5=9,Kalk!$B$5=10),'L Ist'!N21,0)</f>
        <v>0</v>
      </c>
      <c r="O30" s="308">
        <f>IF(OR(Kalk!$B$5=5,Kalk!$B$5=7,Kalk!$B$5=9,Kalk!$B$5=10),'L Ist'!O21,0)</f>
        <v>0</v>
      </c>
      <c r="P30" s="308">
        <f>IF(OR(Kalk!$B$5=5,Kalk!$B$5=7,Kalk!$B$5=9,Kalk!$B$5=10),'L Ist'!P21,0)</f>
        <v>0</v>
      </c>
      <c r="Q30" s="308">
        <f>IF(OR(Kalk!$B$5=5,Kalk!$B$5=7,Kalk!$B$5=9,Kalk!$B$5=10),'L Ist'!Q21,0)</f>
        <v>0</v>
      </c>
      <c r="R30" s="308">
        <f>IF(OR(Kalk!$B$5=5,Kalk!$B$5=7,Kalk!$B$5=9,Kalk!$B$5=10),'L Ist'!R21,0)</f>
        <v>0</v>
      </c>
      <c r="S30" s="299"/>
      <c r="W30" s="309"/>
      <c r="X30" s="299"/>
      <c r="Y30" s="299"/>
      <c r="Z30" s="299"/>
      <c r="AA30" s="299"/>
      <c r="AB30" s="299"/>
      <c r="AC30" s="299"/>
    </row>
    <row r="31" spans="2:29" ht="11.25" customHeight="1">
      <c r="B31" s="306"/>
      <c r="C31" s="306"/>
      <c r="D31" s="308"/>
      <c r="E31" s="308"/>
      <c r="F31" s="308"/>
      <c r="G31" s="308"/>
      <c r="H31" s="308"/>
      <c r="I31" s="308"/>
      <c r="J31" s="307"/>
      <c r="K31" s="306"/>
      <c r="L31" s="306"/>
      <c r="M31" s="308"/>
      <c r="N31" s="308"/>
      <c r="O31" s="308"/>
      <c r="P31" s="308"/>
      <c r="Q31" s="308"/>
      <c r="R31" s="308"/>
      <c r="S31" s="299"/>
      <c r="W31" s="309"/>
      <c r="X31" s="299"/>
      <c r="Y31" s="299"/>
      <c r="Z31" s="299"/>
      <c r="AA31" s="299"/>
      <c r="AB31" s="299"/>
      <c r="AC31" s="299"/>
    </row>
    <row r="32" spans="2:29" ht="11.25" customHeight="1">
      <c r="B32" s="306"/>
      <c r="C32" s="306"/>
      <c r="D32" s="308"/>
      <c r="E32" s="308"/>
      <c r="F32" s="308"/>
      <c r="G32" s="308"/>
      <c r="H32" s="308"/>
      <c r="I32" s="308"/>
      <c r="J32" s="307"/>
      <c r="K32" s="306"/>
      <c r="L32" s="306"/>
      <c r="M32" s="308"/>
      <c r="N32" s="308"/>
      <c r="O32" s="308"/>
      <c r="P32" s="308"/>
      <c r="Q32" s="308"/>
      <c r="R32" s="308"/>
      <c r="S32" s="299"/>
      <c r="W32" s="309"/>
      <c r="X32" s="299"/>
      <c r="Y32" s="299"/>
      <c r="Z32" s="299"/>
      <c r="AA32" s="299"/>
      <c r="AB32" s="299"/>
      <c r="AC32" s="299"/>
    </row>
    <row r="33" spans="2:29" ht="11.25" customHeight="1">
      <c r="B33" s="306"/>
      <c r="C33" s="306"/>
      <c r="D33" s="308"/>
      <c r="E33" s="308"/>
      <c r="F33" s="308"/>
      <c r="G33" s="308"/>
      <c r="H33" s="308"/>
      <c r="I33" s="308"/>
      <c r="J33" s="307"/>
      <c r="K33" s="306"/>
      <c r="L33" s="306"/>
      <c r="M33" s="308"/>
      <c r="N33" s="308"/>
      <c r="O33" s="308"/>
      <c r="P33" s="308"/>
      <c r="Q33" s="308"/>
      <c r="R33" s="308"/>
      <c r="S33" s="299"/>
      <c r="U33" s="299"/>
      <c r="V33" s="299"/>
      <c r="W33" s="309"/>
      <c r="X33" s="299"/>
      <c r="Y33" s="299"/>
      <c r="Z33" s="299"/>
      <c r="AA33" s="299"/>
      <c r="AB33" s="299"/>
      <c r="AC33" s="299"/>
    </row>
    <row r="34" spans="2:29" ht="3.75" customHeight="1">
      <c r="S34" s="299"/>
      <c r="T34" s="299"/>
      <c r="U34" s="299"/>
      <c r="V34" s="299"/>
      <c r="W34" s="309"/>
      <c r="X34" s="299"/>
      <c r="Y34" s="299"/>
      <c r="Z34" s="299"/>
      <c r="AA34" s="299"/>
      <c r="AB34" s="299"/>
      <c r="AC34" s="299"/>
    </row>
    <row r="35" spans="2:29" ht="12.75" customHeight="1">
      <c r="B35" s="694" t="str">
        <f>K10</f>
        <v/>
      </c>
      <c r="C35" s="694"/>
      <c r="D35" s="694"/>
      <c r="E35" s="667" t="str">
        <f>IF(OR(Umse!$C$24=0,Umse!$B$11=0),"",IF(OR(Kalk!$B$5=5,Kalk!$B$5=7,Kalk!$B$5=9,Kalk!$B$5=10),'L Ist'!D23,""))</f>
        <v/>
      </c>
      <c r="F35" s="667"/>
      <c r="G35" s="667"/>
      <c r="H35" s="693" t="str">
        <f>H10</f>
        <v/>
      </c>
      <c r="I35" s="693"/>
      <c r="J35" s="307"/>
      <c r="K35" s="310"/>
      <c r="L35" s="311"/>
      <c r="M35" s="312"/>
      <c r="N35" s="312"/>
      <c r="O35" s="312"/>
      <c r="P35" s="312"/>
      <c r="Q35" s="312"/>
      <c r="R35" s="313"/>
      <c r="S35" s="299"/>
      <c r="T35" s="299"/>
      <c r="U35" s="299"/>
      <c r="V35" s="299"/>
      <c r="W35" s="309"/>
      <c r="X35" s="299"/>
      <c r="Y35" s="299"/>
      <c r="Z35" s="299"/>
      <c r="AA35" s="299"/>
      <c r="AB35" s="299"/>
      <c r="AC35" s="299"/>
    </row>
    <row r="36" spans="2:29" ht="12.75" customHeight="1">
      <c r="B36" s="671" t="str">
        <f>IF(OR(Umse!$C$24=0,Umse!$B$11=0),"",IF(OR(Kalk!$B$5=5,Kalk!$B$5=7,Kalk!$B$5=9,Kalk!$B$5=10),'L Ist'!B24,""))</f>
        <v/>
      </c>
      <c r="C36" s="692"/>
      <c r="D36" s="671" t="str">
        <f>IF(OR(Umse!$C$24=0,Umse!$B$11=0),"",IF(OR(Kalk!$B$5=5,Kalk!$B$5=7,Kalk!$B$5=9,Kalk!$B$5=10),'L Ist'!D24,""))</f>
        <v/>
      </c>
      <c r="E36" s="671" t="str">
        <f>IF(OR(Umse!$C$24=0,Umse!$B$11=0),"",IF(OR(Kalk!$B$5=5,Kalk!$B$5=7,Kalk!$B$5=9,Kalk!$B$5=10),'L Ist'!E24,""))</f>
        <v/>
      </c>
      <c r="F36" s="671" t="str">
        <f>IF(OR(Umse!$C$24=0,Umse!$B$11=0),"",IF(OR(Kalk!$B$5=5,Kalk!$B$5=7,Kalk!$B$5=9,Kalk!$B$5=10),'L Ist'!F24,""))</f>
        <v/>
      </c>
      <c r="G36" s="671" t="str">
        <f>IF(OR(Umse!$C$24=0,Umse!$B$11=0),"",IF(OR(Kalk!$B$5=5,Kalk!$B$5=7,Kalk!$B$5=9,Kalk!$B$5=10),'L Ist'!G24,""))</f>
        <v/>
      </c>
      <c r="H36" s="671" t="str">
        <f>IF(OR(Umse!$C$24=0,Umse!$B$11=0),"",IF(OR(Kalk!$B$5=5,Kalk!$B$5=7,Kalk!$B$5=9,Kalk!$B$5=10),'L Ist'!H24,""))</f>
        <v/>
      </c>
      <c r="I36" s="671" t="str">
        <f>IF(OR(Umse!$C$24=0,Umse!$B$11=0),"",IF(OR(Kalk!$B$5=5,Kalk!$B$5=7,Kalk!$B$5=9,Kalk!$B$5=10),'L Ist'!I24,""))</f>
        <v/>
      </c>
      <c r="J36" s="307"/>
      <c r="K36" s="668"/>
      <c r="L36" s="668"/>
      <c r="M36" s="668"/>
      <c r="N36" s="668"/>
      <c r="O36" s="668"/>
      <c r="P36" s="668"/>
      <c r="Q36" s="668"/>
      <c r="R36" s="668"/>
      <c r="S36" s="299"/>
      <c r="T36" s="299"/>
      <c r="U36" s="299"/>
      <c r="V36" s="299"/>
      <c r="W36" s="309"/>
      <c r="X36" s="299"/>
      <c r="Y36" s="299"/>
      <c r="Z36" s="299"/>
      <c r="AA36" s="299"/>
      <c r="AB36" s="299"/>
      <c r="AC36" s="299"/>
    </row>
    <row r="37" spans="2:29" ht="12.75" customHeight="1">
      <c r="B37" s="672"/>
      <c r="C37" s="692"/>
      <c r="D37" s="672"/>
      <c r="E37" s="672"/>
      <c r="F37" s="672"/>
      <c r="G37" s="672"/>
      <c r="H37" s="672"/>
      <c r="I37" s="672"/>
      <c r="J37" s="307"/>
      <c r="K37" s="668"/>
      <c r="L37" s="668"/>
      <c r="M37" s="668"/>
      <c r="N37" s="668"/>
      <c r="O37" s="668"/>
      <c r="P37" s="668"/>
      <c r="Q37" s="668"/>
      <c r="R37" s="668"/>
      <c r="S37" s="299"/>
      <c r="T37" s="299"/>
      <c r="U37" s="299"/>
      <c r="V37" s="299"/>
      <c r="W37" s="309"/>
      <c r="X37" s="299"/>
      <c r="Y37" s="299"/>
      <c r="Z37" s="299"/>
      <c r="AA37" s="299"/>
      <c r="AB37" s="299"/>
      <c r="AC37" s="299"/>
    </row>
    <row r="38" spans="2:29" ht="12.75" customHeight="1">
      <c r="B38" s="672"/>
      <c r="C38" s="692"/>
      <c r="D38" s="672"/>
      <c r="E38" s="672"/>
      <c r="F38" s="672"/>
      <c r="G38" s="672"/>
      <c r="H38" s="672"/>
      <c r="I38" s="672"/>
      <c r="J38" s="307"/>
      <c r="K38" s="668"/>
      <c r="L38" s="668"/>
      <c r="M38" s="668"/>
      <c r="N38" s="668"/>
      <c r="O38" s="668"/>
      <c r="P38" s="668"/>
      <c r="Q38" s="668"/>
      <c r="R38" s="668"/>
      <c r="S38" s="299"/>
      <c r="T38" s="299"/>
      <c r="U38" s="299"/>
      <c r="V38" s="299"/>
      <c r="W38" s="309"/>
      <c r="X38" s="299"/>
      <c r="Y38" s="299"/>
      <c r="Z38" s="299"/>
      <c r="AA38" s="299"/>
      <c r="AB38" s="299"/>
      <c r="AC38" s="299"/>
    </row>
    <row r="39" spans="2:29" ht="12.75" customHeight="1">
      <c r="B39" s="672"/>
      <c r="C39" s="692"/>
      <c r="D39" s="672"/>
      <c r="E39" s="672"/>
      <c r="F39" s="672"/>
      <c r="G39" s="672"/>
      <c r="H39" s="672"/>
      <c r="I39" s="672"/>
      <c r="J39" s="307"/>
      <c r="K39" s="668"/>
      <c r="L39" s="668"/>
      <c r="M39" s="668"/>
      <c r="N39" s="668"/>
      <c r="O39" s="668"/>
      <c r="P39" s="668"/>
      <c r="Q39" s="668"/>
      <c r="R39" s="668"/>
      <c r="S39" s="299"/>
      <c r="T39" s="299"/>
      <c r="U39" s="299"/>
      <c r="V39" s="299"/>
      <c r="W39" s="299"/>
      <c r="X39" s="299"/>
      <c r="Y39" s="299"/>
      <c r="Z39" s="299"/>
      <c r="AA39" s="299"/>
      <c r="AB39" s="299"/>
      <c r="AC39" s="299"/>
    </row>
    <row r="40" spans="2:29" ht="12.75" customHeight="1">
      <c r="B40" s="672"/>
      <c r="C40" s="692"/>
      <c r="D40" s="672"/>
      <c r="E40" s="672"/>
      <c r="F40" s="672"/>
      <c r="G40" s="672"/>
      <c r="H40" s="672"/>
      <c r="I40" s="672"/>
      <c r="J40" s="307"/>
      <c r="K40" s="668"/>
      <c r="L40" s="668"/>
      <c r="M40" s="668"/>
      <c r="N40" s="668"/>
      <c r="O40" s="668"/>
      <c r="P40" s="668"/>
      <c r="Q40" s="668"/>
      <c r="R40" s="668"/>
      <c r="S40" s="299"/>
      <c r="T40" s="299"/>
      <c r="U40" s="299"/>
      <c r="V40" s="299"/>
      <c r="W40" s="299"/>
      <c r="X40" s="299"/>
      <c r="Y40" s="299"/>
      <c r="Z40" s="299"/>
      <c r="AA40" s="299"/>
      <c r="AB40" s="299"/>
      <c r="AC40" s="299"/>
    </row>
    <row r="41" spans="2:29" ht="12.75" customHeight="1">
      <c r="B41" s="672"/>
      <c r="C41" s="692"/>
      <c r="D41" s="672"/>
      <c r="E41" s="672"/>
      <c r="F41" s="672"/>
      <c r="G41" s="672"/>
      <c r="H41" s="672"/>
      <c r="I41" s="672"/>
      <c r="J41" s="307"/>
      <c r="K41" s="668"/>
      <c r="L41" s="668"/>
      <c r="M41" s="668"/>
      <c r="N41" s="668"/>
      <c r="O41" s="668"/>
      <c r="P41" s="668"/>
      <c r="Q41" s="668"/>
      <c r="R41" s="668"/>
      <c r="S41" s="299"/>
      <c r="W41" s="299"/>
      <c r="X41" s="299"/>
      <c r="Y41" s="299"/>
      <c r="Z41" s="299"/>
      <c r="AA41" s="299"/>
      <c r="AB41" s="299"/>
      <c r="AC41" s="299"/>
    </row>
    <row r="42" spans="2:29" ht="12.75" customHeight="1">
      <c r="B42" s="672"/>
      <c r="C42" s="692"/>
      <c r="D42" s="672"/>
      <c r="E42" s="672"/>
      <c r="F42" s="672"/>
      <c r="G42" s="672"/>
      <c r="H42" s="672"/>
      <c r="I42" s="672"/>
      <c r="J42" s="307"/>
      <c r="K42" s="668"/>
      <c r="L42" s="668"/>
      <c r="M42" s="668"/>
      <c r="N42" s="668"/>
      <c r="O42" s="668"/>
      <c r="P42" s="668"/>
      <c r="Q42" s="668"/>
      <c r="R42" s="668"/>
      <c r="S42" s="299"/>
      <c r="W42" s="299"/>
      <c r="X42" s="299"/>
      <c r="Y42" s="299"/>
      <c r="Z42" s="299"/>
      <c r="AA42" s="299"/>
      <c r="AB42" s="299"/>
      <c r="AC42" s="299"/>
    </row>
    <row r="43" spans="2:29" ht="12.75" customHeight="1">
      <c r="B43" s="672"/>
      <c r="C43" s="692"/>
      <c r="D43" s="672"/>
      <c r="E43" s="672"/>
      <c r="F43" s="672"/>
      <c r="G43" s="672"/>
      <c r="H43" s="672"/>
      <c r="I43" s="672"/>
      <c r="J43" s="307"/>
      <c r="K43" s="299"/>
      <c r="L43" s="299"/>
      <c r="M43" s="299"/>
      <c r="N43" s="299"/>
      <c r="O43" s="299"/>
      <c r="P43" s="299"/>
      <c r="Q43" s="299"/>
      <c r="R43" s="299"/>
      <c r="S43" s="299"/>
      <c r="W43" s="299"/>
      <c r="X43" s="299"/>
      <c r="Y43" s="299"/>
      <c r="Z43" s="299"/>
      <c r="AA43" s="299"/>
      <c r="AB43" s="299"/>
      <c r="AC43" s="299"/>
    </row>
    <row r="44" spans="2:29" ht="11.25" customHeight="1">
      <c r="B44" s="672"/>
      <c r="C44" s="692"/>
      <c r="D44" s="672"/>
      <c r="E44" s="672"/>
      <c r="F44" s="672"/>
      <c r="G44" s="672"/>
      <c r="H44" s="672"/>
      <c r="I44" s="672"/>
      <c r="J44" s="307"/>
    </row>
    <row r="45" spans="2:29" ht="12.75" customHeight="1">
      <c r="B45" s="672"/>
      <c r="C45" s="692"/>
      <c r="D45" s="672"/>
      <c r="E45" s="672"/>
      <c r="F45" s="672"/>
      <c r="G45" s="672"/>
      <c r="H45" s="672"/>
      <c r="I45" s="672"/>
      <c r="J45" s="307"/>
      <c r="K45" s="694" t="str">
        <f>K10</f>
        <v/>
      </c>
      <c r="L45" s="694"/>
      <c r="M45" s="694"/>
      <c r="N45" s="667" t="str">
        <f>IF(OR(Umse!$C$24=0,Umse!$B$11=0),"",IF(OR(Kalk!$B$5=5,Kalk!$B$5=7,Kalk!$B$5=9,Kalk!$B$5=10),'L Ist'!M33,""))</f>
        <v/>
      </c>
      <c r="O45" s="667"/>
      <c r="P45" s="667"/>
      <c r="Q45" s="693" t="str">
        <f>H10</f>
        <v/>
      </c>
      <c r="R45" s="693"/>
    </row>
    <row r="46" spans="2:29" ht="22.5" customHeight="1">
      <c r="B46" s="302" t="str">
        <f>IF(OR(Umse!$C$24=0,Umse!$B$11=0),"",IF(OR(Kalk!$B$5=5,Kalk!$B$5=7,Kalk!$B$5=9,Kalk!$B$5=10),'L Ist'!B2,""))</f>
        <v/>
      </c>
      <c r="C46" s="306"/>
      <c r="D46" s="314" t="str">
        <f>IF(OR(Umse!$C$24=0,Umse!$B$11=0),"",IF(OR(Kalk!$B$5=5,Kalk!$B$5=7,Kalk!$B$5=9,Kalk!$B$5=10),'L Ist'!D34,""))</f>
        <v/>
      </c>
      <c r="E46" s="314" t="str">
        <f>IF(OR(Umse!$C$24=0,Umse!$B$11=0),"",IF(OR(Kalk!$B$5=5,Kalk!$B$5=7,Kalk!$B$5=9,Kalk!$B$5=10),'L Ist'!E34,""))</f>
        <v/>
      </c>
      <c r="F46" s="315" t="str">
        <f>IF(OR(Umse!$C$24=0,Umse!$B$11=0),"",IF(OR(Kalk!$B$5=5,Kalk!$B$5=7,Kalk!$B$5=9,Kalk!$B$5=10),'L Ist'!F34,""))</f>
        <v/>
      </c>
      <c r="G46" s="315" t="str">
        <f>IF(OR(Umse!$C$24=0,Umse!$B$11=0),"",IF(OR(Kalk!$B$5=5,Kalk!$B$5=7,Kalk!$B$5=9,Kalk!$B$5=10),'L Ist'!G34,""))</f>
        <v/>
      </c>
      <c r="H46" s="315" t="str">
        <f>IF(OR(Umse!$C$24=0,Umse!$B$11=0),"",IF(OR(Kalk!$B$5=5,Kalk!$B$5=7,Kalk!$B$5=9,Kalk!$B$5=10),'L Ist'!H34,""))</f>
        <v/>
      </c>
      <c r="I46" s="315" t="str">
        <f>IF(OR(Umse!$C$24=0,Umse!$B$11=0),"",IF(OR(Kalk!$B$5=5,Kalk!$B$5=7,Kalk!$B$5=9,Kalk!$B$5=10),'L Ist'!I34,""))</f>
        <v/>
      </c>
      <c r="J46" s="307" t="str">
        <f>IF(OR(Kalk!$B$4=5,Kalk!$B$4=9,Kalk!$B$5=10),'L Ist'!J34,"")</f>
        <v/>
      </c>
      <c r="K46" s="302" t="str">
        <f>IF(OR(Umse!$C$24=0,Umse!$B$11=0),"",IF(OR(Kalk!$B$5=5,Kalk!$B$5=7,Kalk!$B$5=9,Kalk!$B$5=10),'L Ist'!B2,""))</f>
        <v/>
      </c>
      <c r="L46" s="306"/>
      <c r="M46" s="306" t="str">
        <f t="shared" ref="M46:R46" si="2">M11</f>
        <v/>
      </c>
      <c r="N46" s="306" t="str">
        <f t="shared" si="2"/>
        <v/>
      </c>
      <c r="O46" s="306" t="str">
        <f t="shared" si="2"/>
        <v/>
      </c>
      <c r="P46" s="306" t="str">
        <f t="shared" si="2"/>
        <v/>
      </c>
      <c r="Q46" s="306" t="str">
        <f t="shared" si="2"/>
        <v/>
      </c>
      <c r="R46" s="306" t="str">
        <f t="shared" si="2"/>
        <v/>
      </c>
      <c r="S46" s="307"/>
    </row>
    <row r="47" spans="2:29" ht="11.25" customHeight="1">
      <c r="B47" s="306" t="str">
        <f t="shared" ref="B47:C56" si="3">B12</f>
        <v/>
      </c>
      <c r="C47" s="322" t="str">
        <f t="shared" si="3"/>
        <v/>
      </c>
      <c r="D47" s="308">
        <f>IF(OR(Kalk!$B$5=5,Kalk!$B$5=7,Kalk!$B$5=9,Kalk!$B$5=10),'L Ist'!D35,0)</f>
        <v>0</v>
      </c>
      <c r="E47" s="308">
        <f>IF(OR(Kalk!$B$5=5,Kalk!$B$5=7,Kalk!$B$5=9,Kalk!$B$5=10),'L Ist'!E35,0)</f>
        <v>0</v>
      </c>
      <c r="F47" s="308">
        <f>IF(OR(Kalk!$B$5=5,Kalk!$B$5=7,Kalk!$B$5=9,Kalk!$B$5=10),'L Ist'!F35,0)</f>
        <v>0</v>
      </c>
      <c r="G47" s="308">
        <f>IF(OR(Kalk!$B$5=5,Kalk!$B$5=7,Kalk!$B$5=9,Kalk!$B$5=10),'L Ist'!G35,0)</f>
        <v>0</v>
      </c>
      <c r="H47" s="308">
        <f>IF(OR(Kalk!$B$5=5,Kalk!$B$5=7,Kalk!$B$5=9,Kalk!$B$5=10),'L Ist'!H35,0)</f>
        <v>0</v>
      </c>
      <c r="I47" s="308">
        <f>IF(OR(Kalk!$B$5=5,Kalk!$B$5=7,Kalk!$B$5=9,Kalk!$B$5=10),'L Ist'!I35,0)</f>
        <v>0</v>
      </c>
      <c r="J47" s="307" t="str">
        <f>IF(OR(Kalk!$B$4=5,Kalk!$B$4=9,Kalk!$B$5=10),'L Ist'!J35,"")</f>
        <v/>
      </c>
      <c r="K47" s="306" t="str">
        <f t="shared" ref="K47:K56" si="4">B12</f>
        <v/>
      </c>
      <c r="L47" s="322" t="str">
        <f t="shared" ref="L47:L56" si="5">C12</f>
        <v/>
      </c>
      <c r="M47" s="308">
        <f>IF(OR(Kalk!$B$5=5,Kalk!$B$5=7,Kalk!$B$5=9,Kalk!$B$5=10),'L Ist'!M35,0)</f>
        <v>0</v>
      </c>
      <c r="N47" s="308">
        <f>IF(OR(Kalk!$B$5=5,Kalk!$B$5=7,Kalk!$B$5=9,Kalk!$B$5=10),'L Ist'!N35,0)</f>
        <v>0</v>
      </c>
      <c r="O47" s="308">
        <f>IF(OR(Kalk!$B$5=5,Kalk!$B$5=7,Kalk!$B$5=9,Kalk!$B$5=10),'L Ist'!O35,0)</f>
        <v>0</v>
      </c>
      <c r="P47" s="308">
        <f>IF(OR(Kalk!$B$5=5,Kalk!$B$5=7,Kalk!$B$5=9,Kalk!$B$5=10),'L Ist'!P35,0)</f>
        <v>0</v>
      </c>
      <c r="Q47" s="308">
        <f>IF(OR(Kalk!$B$5=5,Kalk!$B$5=7,Kalk!$B$5=9,Kalk!$B$5=10),'L Ist'!Q35,0)</f>
        <v>0</v>
      </c>
      <c r="R47" s="308">
        <f>IF(OR(Kalk!$B$5=5,Kalk!$B$5=7,Kalk!$B$5=9,Kalk!$B$5=10),'L Ist'!R35,0)</f>
        <v>0</v>
      </c>
    </row>
    <row r="48" spans="2:29" ht="11.25" customHeight="1">
      <c r="B48" s="306" t="str">
        <f t="shared" si="3"/>
        <v/>
      </c>
      <c r="C48" s="322" t="str">
        <f t="shared" si="3"/>
        <v/>
      </c>
      <c r="D48" s="308">
        <f>IF(OR(Kalk!$B$5=5,Kalk!$B$5=7,Kalk!$B$5=9,Kalk!$B$5=10),'L Ist'!D36,0)</f>
        <v>0</v>
      </c>
      <c r="E48" s="308">
        <f>IF(OR(Kalk!$B$5=5,Kalk!$B$5=7,Kalk!$B$5=9,Kalk!$B$5=10),'L Ist'!E36,0)</f>
        <v>0</v>
      </c>
      <c r="F48" s="308">
        <f>IF(OR(Kalk!$B$5=5,Kalk!$B$5=7,Kalk!$B$5=9,Kalk!$B$5=10),'L Ist'!F36,0)</f>
        <v>0</v>
      </c>
      <c r="G48" s="308">
        <f>IF(OR(Kalk!$B$5=5,Kalk!$B$5=7,Kalk!$B$5=9,Kalk!$B$5=10),'L Ist'!G36,0)</f>
        <v>0</v>
      </c>
      <c r="H48" s="308">
        <f>IF(OR(Kalk!$B$5=5,Kalk!$B$5=7,Kalk!$B$5=9,Kalk!$B$5=10),'L Ist'!H36,0)</f>
        <v>0</v>
      </c>
      <c r="I48" s="308">
        <f>IF(OR(Kalk!$B$5=5,Kalk!$B$5=7,Kalk!$B$5=9,Kalk!$B$5=10),'L Ist'!I36,0)</f>
        <v>0</v>
      </c>
      <c r="J48" s="307" t="str">
        <f>IF(OR(Kalk!$B$4=5,Kalk!$B$4=9,Kalk!$B$5=10),'L Ist'!J36,"")</f>
        <v/>
      </c>
      <c r="K48" s="306" t="str">
        <f t="shared" si="4"/>
        <v/>
      </c>
      <c r="L48" s="322" t="str">
        <f t="shared" si="5"/>
        <v/>
      </c>
      <c r="M48" s="308">
        <f>IF(OR(Kalk!$B$5=5,Kalk!$B$5=7,Kalk!$B$5=9,Kalk!$B$5=10),'L Ist'!M36,0)</f>
        <v>0</v>
      </c>
      <c r="N48" s="308">
        <f>IF(OR(Kalk!$B$5=5,Kalk!$B$5=7,Kalk!$B$5=9,Kalk!$B$5=10),'L Ist'!N36,0)</f>
        <v>0</v>
      </c>
      <c r="O48" s="308">
        <f>IF(OR(Kalk!$B$5=5,Kalk!$B$5=7,Kalk!$B$5=9,Kalk!$B$5=10),'L Ist'!O36,0)</f>
        <v>0</v>
      </c>
      <c r="P48" s="308">
        <f>IF(OR(Kalk!$B$5=5,Kalk!$B$5=7,Kalk!$B$5=9,Kalk!$B$5=10),'L Ist'!P36,0)</f>
        <v>0</v>
      </c>
      <c r="Q48" s="308">
        <f>IF(OR(Kalk!$B$5=5,Kalk!$B$5=7,Kalk!$B$5=9,Kalk!$B$5=10),'L Ist'!Q36,0)</f>
        <v>0</v>
      </c>
      <c r="R48" s="308">
        <f>IF(OR(Kalk!$B$5=5,Kalk!$B$5=7,Kalk!$B$5=9,Kalk!$B$5=10),'L Ist'!R36,0)</f>
        <v>0</v>
      </c>
    </row>
    <row r="49" spans="2:18" ht="11.25" customHeight="1">
      <c r="B49" s="306" t="str">
        <f t="shared" si="3"/>
        <v/>
      </c>
      <c r="C49" s="322" t="str">
        <f t="shared" si="3"/>
        <v/>
      </c>
      <c r="D49" s="308">
        <f>IF(OR(Kalk!$B$5=5,Kalk!$B$5=7,Kalk!$B$5=9,Kalk!$B$5=10),'L Ist'!D37,0)</f>
        <v>0</v>
      </c>
      <c r="E49" s="308">
        <f>IF(OR(Kalk!$B$5=5,Kalk!$B$5=7,Kalk!$B$5=9,Kalk!$B$5=10),'L Ist'!E37,0)</f>
        <v>0</v>
      </c>
      <c r="F49" s="308">
        <f>IF(OR(Kalk!$B$5=5,Kalk!$B$5=7,Kalk!$B$5=9,Kalk!$B$5=10),'L Ist'!F37,0)</f>
        <v>0</v>
      </c>
      <c r="G49" s="308">
        <f>IF(OR(Kalk!$B$5=5,Kalk!$B$5=7,Kalk!$B$5=9,Kalk!$B$5=10),'L Ist'!G37,0)</f>
        <v>0</v>
      </c>
      <c r="H49" s="308">
        <f>IF(OR(Kalk!$B$5=5,Kalk!$B$5=7,Kalk!$B$5=9,Kalk!$B$5=10),'L Ist'!H37,0)</f>
        <v>0</v>
      </c>
      <c r="I49" s="308">
        <f>IF(OR(Kalk!$B$5=5,Kalk!$B$5=7,Kalk!$B$5=9,Kalk!$B$5=10),'L Ist'!I37,0)</f>
        <v>0</v>
      </c>
      <c r="J49" s="307" t="str">
        <f>IF(OR(Kalk!$B$4=5,Kalk!$B$4=9,Kalk!$B$5=10),'L Ist'!J37,"")</f>
        <v/>
      </c>
      <c r="K49" s="306" t="str">
        <f t="shared" si="4"/>
        <v/>
      </c>
      <c r="L49" s="322" t="str">
        <f t="shared" si="5"/>
        <v/>
      </c>
      <c r="M49" s="308">
        <f>IF(OR(Kalk!$B$5=5,Kalk!$B$5=7,Kalk!$B$5=9,Kalk!$B$5=10),'L Ist'!M37,0)</f>
        <v>0</v>
      </c>
      <c r="N49" s="308">
        <f>IF(OR(Kalk!$B$5=5,Kalk!$B$5=7,Kalk!$B$5=9,Kalk!$B$5=10),'L Ist'!N37,0)</f>
        <v>0</v>
      </c>
      <c r="O49" s="308">
        <f>IF(OR(Kalk!$B$5=5,Kalk!$B$5=7,Kalk!$B$5=9,Kalk!$B$5=10),'L Ist'!O37,0)</f>
        <v>0</v>
      </c>
      <c r="P49" s="308">
        <f>IF(OR(Kalk!$B$5=5,Kalk!$B$5=7,Kalk!$B$5=9,Kalk!$B$5=10),'L Ist'!P37,0)</f>
        <v>0</v>
      </c>
      <c r="Q49" s="308">
        <f>IF(OR(Kalk!$B$5=5,Kalk!$B$5=7,Kalk!$B$5=9,Kalk!$B$5=10),'L Ist'!Q37,0)</f>
        <v>0</v>
      </c>
      <c r="R49" s="308">
        <f>IF(OR(Kalk!$B$5=5,Kalk!$B$5=7,Kalk!$B$5=9,Kalk!$B$5=10),'L Ist'!R37,0)</f>
        <v>0</v>
      </c>
    </row>
    <row r="50" spans="2:18" ht="11.25" customHeight="1">
      <c r="B50" s="306" t="str">
        <f t="shared" si="3"/>
        <v/>
      </c>
      <c r="C50" s="322" t="str">
        <f t="shared" si="3"/>
        <v/>
      </c>
      <c r="D50" s="308">
        <f>IF(OR(Kalk!$B$5=5,Kalk!$B$5=7,Kalk!$B$5=9,Kalk!$B$5=10),'L Ist'!D38,0)</f>
        <v>0</v>
      </c>
      <c r="E50" s="308">
        <f>IF(OR(Kalk!$B$5=5,Kalk!$B$5=7,Kalk!$B$5=9,Kalk!$B$5=10),'L Ist'!E38,0)</f>
        <v>0</v>
      </c>
      <c r="F50" s="308">
        <f>IF(OR(Kalk!$B$5=5,Kalk!$B$5=7,Kalk!$B$5=9,Kalk!$B$5=10),'L Ist'!F38,0)</f>
        <v>0</v>
      </c>
      <c r="G50" s="308">
        <f>IF(OR(Kalk!$B$5=5,Kalk!$B$5=7,Kalk!$B$5=9,Kalk!$B$5=10),'L Ist'!G38,0)</f>
        <v>0</v>
      </c>
      <c r="H50" s="308">
        <f>IF(OR(Kalk!$B$5=5,Kalk!$B$5=7,Kalk!$B$5=9,Kalk!$B$5=10),'L Ist'!H38,0)</f>
        <v>0</v>
      </c>
      <c r="I50" s="308">
        <f>IF(OR(Kalk!$B$5=5,Kalk!$B$5=7,Kalk!$B$5=9,Kalk!$B$5=10),'L Ist'!I38,0)</f>
        <v>0</v>
      </c>
      <c r="J50" s="307" t="str">
        <f>IF(OR(Kalk!$B$4=5,Kalk!$B$4=9,Kalk!$B$5=10),'L Ist'!J38,"")</f>
        <v/>
      </c>
      <c r="K50" s="306" t="str">
        <f t="shared" si="4"/>
        <v/>
      </c>
      <c r="L50" s="322" t="str">
        <f t="shared" si="5"/>
        <v/>
      </c>
      <c r="M50" s="308">
        <f>IF(OR(Kalk!$B$5=5,Kalk!$B$5=7,Kalk!$B$5=9,Kalk!$B$5=10),'L Ist'!M38,0)</f>
        <v>0</v>
      </c>
      <c r="N50" s="308">
        <f>IF(OR(Kalk!$B$5=5,Kalk!$B$5=7,Kalk!$B$5=9,Kalk!$B$5=10),'L Ist'!N38,0)</f>
        <v>0</v>
      </c>
      <c r="O50" s="308">
        <f>IF(OR(Kalk!$B$5=5,Kalk!$B$5=7,Kalk!$B$5=9,Kalk!$B$5=10),'L Ist'!O38,0)</f>
        <v>0</v>
      </c>
      <c r="P50" s="308">
        <f>IF(OR(Kalk!$B$5=5,Kalk!$B$5=7,Kalk!$B$5=9,Kalk!$B$5=10),'L Ist'!P38,0)</f>
        <v>0</v>
      </c>
      <c r="Q50" s="308">
        <f>IF(OR(Kalk!$B$5=5,Kalk!$B$5=7,Kalk!$B$5=9,Kalk!$B$5=10),'L Ist'!Q38,0)</f>
        <v>0</v>
      </c>
      <c r="R50" s="308">
        <f>IF(OR(Kalk!$B$5=5,Kalk!$B$5=7,Kalk!$B$5=9,Kalk!$B$5=10),'L Ist'!R38,0)</f>
        <v>0</v>
      </c>
    </row>
    <row r="51" spans="2:18" ht="11.25" customHeight="1">
      <c r="B51" s="306" t="str">
        <f t="shared" si="3"/>
        <v/>
      </c>
      <c r="C51" s="322" t="str">
        <f t="shared" si="3"/>
        <v/>
      </c>
      <c r="D51" s="308">
        <f>IF(OR(Kalk!$B$5=5,Kalk!$B$5=7,Kalk!$B$5=9,Kalk!$B$5=10),'L Ist'!D39,0)</f>
        <v>0</v>
      </c>
      <c r="E51" s="308">
        <f>IF(OR(Kalk!$B$5=5,Kalk!$B$5=7,Kalk!$B$5=9,Kalk!$B$5=10),'L Ist'!E39,0)</f>
        <v>0</v>
      </c>
      <c r="F51" s="308">
        <f>IF(OR(Kalk!$B$5=5,Kalk!$B$5=7,Kalk!$B$5=9,Kalk!$B$5=10),'L Ist'!F39,0)</f>
        <v>0</v>
      </c>
      <c r="G51" s="308">
        <f>IF(OR(Kalk!$B$5=5,Kalk!$B$5=7,Kalk!$B$5=9,Kalk!$B$5=10),'L Ist'!G39,0)</f>
        <v>0</v>
      </c>
      <c r="H51" s="308">
        <f>IF(OR(Kalk!$B$5=5,Kalk!$B$5=7,Kalk!$B$5=9,Kalk!$B$5=10),'L Ist'!H39,0)</f>
        <v>0</v>
      </c>
      <c r="I51" s="308">
        <f>IF(OR(Kalk!$B$5=5,Kalk!$B$5=7,Kalk!$B$5=9,Kalk!$B$5=10),'L Ist'!I39,0)</f>
        <v>0</v>
      </c>
      <c r="J51" s="307" t="str">
        <f>IF(OR(Kalk!$B$4=5,Kalk!$B$4=9,Kalk!$B$5=10),'L Ist'!J39,"")</f>
        <v/>
      </c>
      <c r="K51" s="306" t="str">
        <f t="shared" si="4"/>
        <v/>
      </c>
      <c r="L51" s="322" t="str">
        <f t="shared" si="5"/>
        <v/>
      </c>
      <c r="M51" s="308">
        <f>IF(OR(Kalk!$B$5=5,Kalk!$B$5=7,Kalk!$B$5=9,Kalk!$B$5=10),'L Ist'!M39,0)</f>
        <v>0</v>
      </c>
      <c r="N51" s="308">
        <f>IF(OR(Kalk!$B$5=5,Kalk!$B$5=7,Kalk!$B$5=9,Kalk!$B$5=10),'L Ist'!N39,0)</f>
        <v>0</v>
      </c>
      <c r="O51" s="308">
        <f>IF(OR(Kalk!$B$5=5,Kalk!$B$5=7,Kalk!$B$5=9,Kalk!$B$5=10),'L Ist'!O39,0)</f>
        <v>0</v>
      </c>
      <c r="P51" s="308">
        <f>IF(OR(Kalk!$B$5=5,Kalk!$B$5=7,Kalk!$B$5=9,Kalk!$B$5=10),'L Ist'!P39,0)</f>
        <v>0</v>
      </c>
      <c r="Q51" s="308">
        <f>IF(OR(Kalk!$B$5=5,Kalk!$B$5=7,Kalk!$B$5=9,Kalk!$B$5=10),'L Ist'!Q39,0)</f>
        <v>0</v>
      </c>
      <c r="R51" s="308">
        <f>IF(OR(Kalk!$B$5=5,Kalk!$B$5=7,Kalk!$B$5=9,Kalk!$B$5=10),'L Ist'!R39,0)</f>
        <v>0</v>
      </c>
    </row>
    <row r="52" spans="2:18" ht="11.25" customHeight="1">
      <c r="B52" s="306" t="str">
        <f t="shared" si="3"/>
        <v/>
      </c>
      <c r="C52" s="322" t="str">
        <f t="shared" si="3"/>
        <v/>
      </c>
      <c r="D52" s="308">
        <f>IF(OR(Kalk!$B$5=5,Kalk!$B$5=7,Kalk!$B$5=9,Kalk!$B$5=10),'L Ist'!D40,0)</f>
        <v>0</v>
      </c>
      <c r="E52" s="308">
        <f>IF(OR(Kalk!$B$5=5,Kalk!$B$5=7,Kalk!$B$5=9,Kalk!$B$5=10),'L Ist'!E40,0)</f>
        <v>0</v>
      </c>
      <c r="F52" s="308">
        <f>IF(OR(Kalk!$B$5=5,Kalk!$B$5=7,Kalk!$B$5=9,Kalk!$B$5=10),'L Ist'!F40,0)</f>
        <v>0</v>
      </c>
      <c r="G52" s="308">
        <f>IF(OR(Kalk!$B$5=5,Kalk!$B$5=7,Kalk!$B$5=9,Kalk!$B$5=10),'L Ist'!G40,0)</f>
        <v>0</v>
      </c>
      <c r="H52" s="308">
        <f>IF(OR(Kalk!$B$5=5,Kalk!$B$5=7,Kalk!$B$5=9,Kalk!$B$5=10),'L Ist'!H40,0)</f>
        <v>0</v>
      </c>
      <c r="I52" s="308">
        <f>IF(OR(Kalk!$B$5=5,Kalk!$B$5=7,Kalk!$B$5=9,Kalk!$B$5=10),'L Ist'!I40,0)</f>
        <v>0</v>
      </c>
      <c r="J52" s="307" t="str">
        <f>IF(OR(Kalk!$B$4=5,Kalk!$B$4=9,Kalk!$B$5=10),'L Ist'!J40,"")</f>
        <v/>
      </c>
      <c r="K52" s="306" t="str">
        <f t="shared" si="4"/>
        <v/>
      </c>
      <c r="L52" s="322" t="str">
        <f t="shared" si="5"/>
        <v/>
      </c>
      <c r="M52" s="308">
        <f>IF(OR(Kalk!$B$5=5,Kalk!$B$5=7,Kalk!$B$5=9,Kalk!$B$5=10),'L Ist'!M40,0)</f>
        <v>0</v>
      </c>
      <c r="N52" s="308">
        <f>IF(OR(Kalk!$B$5=5,Kalk!$B$5=7,Kalk!$B$5=9,Kalk!$B$5=10),'L Ist'!N40,0)</f>
        <v>0</v>
      </c>
      <c r="O52" s="308">
        <f>IF(OR(Kalk!$B$5=5,Kalk!$B$5=7,Kalk!$B$5=9,Kalk!$B$5=10),'L Ist'!O40,0)</f>
        <v>0</v>
      </c>
      <c r="P52" s="308">
        <f>IF(OR(Kalk!$B$5=5,Kalk!$B$5=7,Kalk!$B$5=9,Kalk!$B$5=10),'L Ist'!P40,0)</f>
        <v>0</v>
      </c>
      <c r="Q52" s="308">
        <f>IF(OR(Kalk!$B$5=5,Kalk!$B$5=7,Kalk!$B$5=9,Kalk!$B$5=10),'L Ist'!Q40,0)</f>
        <v>0</v>
      </c>
      <c r="R52" s="308">
        <f>IF(OR(Kalk!$B$5=5,Kalk!$B$5=7,Kalk!$B$5=9,Kalk!$B$5=10),'L Ist'!R40,0)</f>
        <v>0</v>
      </c>
    </row>
    <row r="53" spans="2:18" ht="11.25" customHeight="1">
      <c r="B53" s="306" t="str">
        <f t="shared" si="3"/>
        <v/>
      </c>
      <c r="C53" s="322" t="str">
        <f t="shared" si="3"/>
        <v/>
      </c>
      <c r="D53" s="308">
        <f>IF(OR(Kalk!$B$5=5,Kalk!$B$5=7,Kalk!$B$5=9,Kalk!$B$5=10),'L Ist'!D41,0)</f>
        <v>0</v>
      </c>
      <c r="E53" s="308">
        <f>IF(OR(Kalk!$B$5=5,Kalk!$B$5=7,Kalk!$B$5=9,Kalk!$B$5=10),'L Ist'!E41,0)</f>
        <v>0</v>
      </c>
      <c r="F53" s="308">
        <f>IF(OR(Kalk!$B$5=5,Kalk!$B$5=7,Kalk!$B$5=9,Kalk!$B$5=10),'L Ist'!F41,0)</f>
        <v>0</v>
      </c>
      <c r="G53" s="308">
        <f>IF(OR(Kalk!$B$5=5,Kalk!$B$5=7,Kalk!$B$5=9,Kalk!$B$5=10),'L Ist'!G41,0)</f>
        <v>0</v>
      </c>
      <c r="H53" s="308">
        <f>IF(OR(Kalk!$B$5=5,Kalk!$B$5=7,Kalk!$B$5=9,Kalk!$B$5=10),'L Ist'!H41,0)</f>
        <v>0</v>
      </c>
      <c r="I53" s="308">
        <f>IF(OR(Kalk!$B$5=5,Kalk!$B$5=7,Kalk!$B$5=9,Kalk!$B$5=10),'L Ist'!I41,0)</f>
        <v>0</v>
      </c>
      <c r="J53" s="307" t="str">
        <f>IF(OR(Kalk!$B$4=5,Kalk!$B$4=9,Kalk!$B$5=10),'L Ist'!J41,"")</f>
        <v/>
      </c>
      <c r="K53" s="306" t="str">
        <f t="shared" si="4"/>
        <v/>
      </c>
      <c r="L53" s="322" t="str">
        <f t="shared" si="5"/>
        <v/>
      </c>
      <c r="M53" s="308">
        <f>IF(OR(Kalk!$B$5=5,Kalk!$B$5=7,Kalk!$B$5=9,Kalk!$B$5=10),'L Ist'!M41,0)</f>
        <v>0</v>
      </c>
      <c r="N53" s="308">
        <f>IF(OR(Kalk!$B$5=5,Kalk!$B$5=7,Kalk!$B$5=9,Kalk!$B$5=10),'L Ist'!N41,0)</f>
        <v>0</v>
      </c>
      <c r="O53" s="308">
        <f>IF(OR(Kalk!$B$5=5,Kalk!$B$5=7,Kalk!$B$5=9,Kalk!$B$5=10),'L Ist'!O41,0)</f>
        <v>0</v>
      </c>
      <c r="P53" s="308">
        <f>IF(OR(Kalk!$B$5=5,Kalk!$B$5=7,Kalk!$B$5=9,Kalk!$B$5=10),'L Ist'!P41,0)</f>
        <v>0</v>
      </c>
      <c r="Q53" s="308">
        <f>IF(OR(Kalk!$B$5=5,Kalk!$B$5=7,Kalk!$B$5=9,Kalk!$B$5=10),'L Ist'!Q41,0)</f>
        <v>0</v>
      </c>
      <c r="R53" s="308">
        <f>IF(OR(Kalk!$B$5=5,Kalk!$B$5=7,Kalk!$B$5=9,Kalk!$B$5=10),'L Ist'!R41,0)</f>
        <v>0</v>
      </c>
    </row>
    <row r="54" spans="2:18" ht="11.25" customHeight="1">
      <c r="B54" s="306" t="str">
        <f t="shared" si="3"/>
        <v/>
      </c>
      <c r="C54" s="322" t="str">
        <f t="shared" si="3"/>
        <v/>
      </c>
      <c r="D54" s="308">
        <f>IF(OR(Kalk!$B$5=5,Kalk!$B$5=7,Kalk!$B$5=9,Kalk!$B$5=10),'L Ist'!D42,0)</f>
        <v>0</v>
      </c>
      <c r="E54" s="308">
        <f>IF(OR(Kalk!$B$5=5,Kalk!$B$5=7,Kalk!$B$5=9,Kalk!$B$5=10),'L Ist'!E42,0)</f>
        <v>0</v>
      </c>
      <c r="F54" s="308">
        <f>IF(OR(Kalk!$B$5=5,Kalk!$B$5=7,Kalk!$B$5=9,Kalk!$B$5=10),'L Ist'!F42,0)</f>
        <v>0</v>
      </c>
      <c r="G54" s="308">
        <f>IF(OR(Kalk!$B$5=5,Kalk!$B$5=7,Kalk!$B$5=9,Kalk!$B$5=10),'L Ist'!G42,0)</f>
        <v>0</v>
      </c>
      <c r="H54" s="308">
        <f>IF(OR(Kalk!$B$5=5,Kalk!$B$5=7,Kalk!$B$5=9,Kalk!$B$5=10),'L Ist'!H42,0)</f>
        <v>0</v>
      </c>
      <c r="I54" s="308">
        <f>IF(OR(Kalk!$B$5=5,Kalk!$B$5=7,Kalk!$B$5=9,Kalk!$B$5=10),'L Ist'!I42,0)</f>
        <v>0</v>
      </c>
      <c r="J54" s="307" t="str">
        <f>IF(OR(Kalk!$B$4=5,Kalk!$B$4=9,Kalk!$B$5=10),'L Ist'!J42,"")</f>
        <v/>
      </c>
      <c r="K54" s="306" t="str">
        <f t="shared" si="4"/>
        <v/>
      </c>
      <c r="L54" s="322" t="str">
        <f t="shared" si="5"/>
        <v/>
      </c>
      <c r="M54" s="308">
        <f>IF(OR(Kalk!$B$5=5,Kalk!$B$5=7,Kalk!$B$5=9,Kalk!$B$5=10),'L Ist'!M42,0)</f>
        <v>0</v>
      </c>
      <c r="N54" s="308">
        <f>IF(OR(Kalk!$B$5=5,Kalk!$B$5=7,Kalk!$B$5=9,Kalk!$B$5=10),'L Ist'!N42,0)</f>
        <v>0</v>
      </c>
      <c r="O54" s="308">
        <f>IF(OR(Kalk!$B$5=5,Kalk!$B$5=7,Kalk!$B$5=9,Kalk!$B$5=10),'L Ist'!O42,0)</f>
        <v>0</v>
      </c>
      <c r="P54" s="308">
        <f>IF(OR(Kalk!$B$5=5,Kalk!$B$5=7,Kalk!$B$5=9,Kalk!$B$5=10),'L Ist'!P42,0)</f>
        <v>0</v>
      </c>
      <c r="Q54" s="308">
        <f>IF(OR(Kalk!$B$5=5,Kalk!$B$5=7,Kalk!$B$5=9,Kalk!$B$5=10),'L Ist'!Q42,0)</f>
        <v>0</v>
      </c>
      <c r="R54" s="308">
        <f>IF(OR(Kalk!$B$5=5,Kalk!$B$5=7,Kalk!$B$5=9,Kalk!$B$5=10),'L Ist'!R42,0)</f>
        <v>0</v>
      </c>
    </row>
    <row r="55" spans="2:18" ht="11.25" customHeight="1">
      <c r="B55" s="306" t="str">
        <f t="shared" si="3"/>
        <v/>
      </c>
      <c r="C55" s="322" t="str">
        <f t="shared" si="3"/>
        <v/>
      </c>
      <c r="D55" s="308">
        <f>IF(OR(Kalk!$B$5=5,Kalk!$B$5=7,Kalk!$B$5=9,Kalk!$B$5=10),'L Ist'!D43,0)</f>
        <v>0</v>
      </c>
      <c r="E55" s="308">
        <f>IF(OR(Kalk!$B$5=5,Kalk!$B$5=7,Kalk!$B$5=9,Kalk!$B$5=10),'L Ist'!E43,0)</f>
        <v>0</v>
      </c>
      <c r="F55" s="308">
        <f>IF(OR(Kalk!$B$5=5,Kalk!$B$5=7,Kalk!$B$5=9,Kalk!$B$5=10),'L Ist'!F43,0)</f>
        <v>0</v>
      </c>
      <c r="G55" s="308">
        <f>IF(OR(Kalk!$B$5=5,Kalk!$B$5=7,Kalk!$B$5=9,Kalk!$B$5=10),'L Ist'!G43,0)</f>
        <v>0</v>
      </c>
      <c r="H55" s="308">
        <f>IF(OR(Kalk!$B$5=5,Kalk!$B$5=7,Kalk!$B$5=9,Kalk!$B$5=10),'L Ist'!H43,0)</f>
        <v>0</v>
      </c>
      <c r="I55" s="308">
        <f>IF(OR(Kalk!$B$5=5,Kalk!$B$5=7,Kalk!$B$5=9,Kalk!$B$5=10),'L Ist'!I43,0)</f>
        <v>0</v>
      </c>
      <c r="J55" s="307" t="str">
        <f>IF(OR(Kalk!$B$4=5,Kalk!$B$4=9,Kalk!$B$5=10),'L Ist'!J43,"")</f>
        <v/>
      </c>
      <c r="K55" s="306" t="str">
        <f t="shared" si="4"/>
        <v/>
      </c>
      <c r="L55" s="322" t="str">
        <f t="shared" si="5"/>
        <v/>
      </c>
      <c r="M55" s="308">
        <f>IF(OR(Kalk!$B$5=5,Kalk!$B$5=7,Kalk!$B$5=9,Kalk!$B$5=10),'L Ist'!M43,0)</f>
        <v>0</v>
      </c>
      <c r="N55" s="308">
        <f>IF(OR(Kalk!$B$5=5,Kalk!$B$5=7,Kalk!$B$5=9,Kalk!$B$5=10),'L Ist'!N43,0)</f>
        <v>0</v>
      </c>
      <c r="O55" s="308">
        <f>IF(OR(Kalk!$B$5=5,Kalk!$B$5=7,Kalk!$B$5=9,Kalk!$B$5=10),'L Ist'!O43,0)</f>
        <v>0</v>
      </c>
      <c r="P55" s="308">
        <f>IF(OR(Kalk!$B$5=5,Kalk!$B$5=7,Kalk!$B$5=9,Kalk!$B$5=10),'L Ist'!P43,0)</f>
        <v>0</v>
      </c>
      <c r="Q55" s="308">
        <f>IF(OR(Kalk!$B$5=5,Kalk!$B$5=7,Kalk!$B$5=9,Kalk!$B$5=10),'L Ist'!Q43,0)</f>
        <v>0</v>
      </c>
      <c r="R55" s="308">
        <f>IF(OR(Kalk!$B$5=5,Kalk!$B$5=7,Kalk!$B$5=9,Kalk!$B$5=10),'L Ist'!R43,0)</f>
        <v>0</v>
      </c>
    </row>
    <row r="56" spans="2:18" ht="11.25" customHeight="1">
      <c r="B56" s="306" t="str">
        <f t="shared" si="3"/>
        <v/>
      </c>
      <c r="C56" s="322" t="str">
        <f t="shared" si="3"/>
        <v/>
      </c>
      <c r="D56" s="308">
        <f>IF(OR(Kalk!$B$5=5,Kalk!$B$5=7,Kalk!$B$5=9,Kalk!$B$5=10),'L Ist'!D44,0)</f>
        <v>0</v>
      </c>
      <c r="E56" s="308">
        <f>IF(OR(Kalk!$B$5=5,Kalk!$B$5=7,Kalk!$B$5=9,Kalk!$B$5=10),'L Ist'!E44,0)</f>
        <v>0</v>
      </c>
      <c r="F56" s="308">
        <f>IF(OR(Kalk!$B$5=5,Kalk!$B$5=7,Kalk!$B$5=9,Kalk!$B$5=10),'L Ist'!F44,0)</f>
        <v>0</v>
      </c>
      <c r="G56" s="308">
        <f>IF(OR(Kalk!$B$5=5,Kalk!$B$5=7,Kalk!$B$5=9,Kalk!$B$5=10),'L Ist'!G44,0)</f>
        <v>0</v>
      </c>
      <c r="H56" s="308">
        <f>IF(OR(Kalk!$B$5=5,Kalk!$B$5=7,Kalk!$B$5=9,Kalk!$B$5=10),'L Ist'!H44,0)</f>
        <v>0</v>
      </c>
      <c r="I56" s="308">
        <f>IF(OR(Kalk!$B$5=5,Kalk!$B$5=7,Kalk!$B$5=9,Kalk!$B$5=10),'L Ist'!I44,0)</f>
        <v>0</v>
      </c>
      <c r="J56" s="307" t="str">
        <f>IF(OR(Kalk!$B$4=5,Kalk!$B$4=9,Kalk!$B$5=10),'L Ist'!J44,"")</f>
        <v/>
      </c>
      <c r="K56" s="306" t="str">
        <f t="shared" si="4"/>
        <v/>
      </c>
      <c r="L56" s="322" t="str">
        <f t="shared" si="5"/>
        <v/>
      </c>
      <c r="M56" s="308">
        <f>IF(OR(Kalk!$B$5=5,Kalk!$B$5=7,Kalk!$B$5=9,Kalk!$B$5=10),'L Ist'!M44,0)</f>
        <v>0</v>
      </c>
      <c r="N56" s="308">
        <f>IF(OR(Kalk!$B$5=5,Kalk!$B$5=7,Kalk!$B$5=9,Kalk!$B$5=10),'L Ist'!N44,0)</f>
        <v>0</v>
      </c>
      <c r="O56" s="308">
        <f>IF(OR(Kalk!$B$5=5,Kalk!$B$5=7,Kalk!$B$5=9,Kalk!$B$5=10),'L Ist'!O44,0)</f>
        <v>0</v>
      </c>
      <c r="P56" s="308">
        <f>IF(OR(Kalk!$B$5=5,Kalk!$B$5=7,Kalk!$B$5=9,Kalk!$B$5=10),'L Ist'!P44,0)</f>
        <v>0</v>
      </c>
      <c r="Q56" s="308">
        <f>IF(OR(Kalk!$B$5=5,Kalk!$B$5=7,Kalk!$B$5=9,Kalk!$B$5=10),'L Ist'!Q44,0)</f>
        <v>0</v>
      </c>
      <c r="R56" s="308">
        <f>IF(OR(Kalk!$B$5=5,Kalk!$B$5=7,Kalk!$B$5=9,Kalk!$B$5=10),'L Ist'!R44,0)</f>
        <v>0</v>
      </c>
    </row>
    <row r="57" spans="2:18" ht="11.25" customHeight="1">
      <c r="B57" s="306" t="str">
        <f t="shared" ref="B57:C65" si="6">B22</f>
        <v/>
      </c>
      <c r="C57" s="322" t="str">
        <f t="shared" si="6"/>
        <v/>
      </c>
      <c r="D57" s="308">
        <f>IF(OR(Kalk!$B$5=5,Kalk!$B$5=7,Kalk!$B$5=9,Kalk!$B$5=10),'L Ist'!D45,0)</f>
        <v>0</v>
      </c>
      <c r="E57" s="308">
        <f>IF(OR(Kalk!$B$5=5,Kalk!$B$5=7,Kalk!$B$5=9,Kalk!$B$5=10),'L Ist'!E45,0)</f>
        <v>0</v>
      </c>
      <c r="F57" s="308">
        <f>IF(OR(Kalk!$B$5=5,Kalk!$B$5=7,Kalk!$B$5=9,Kalk!$B$5=10),'L Ist'!F45,0)</f>
        <v>0</v>
      </c>
      <c r="G57" s="308">
        <f>IF(OR(Kalk!$B$5=5,Kalk!$B$5=7,Kalk!$B$5=9,Kalk!$B$5=10),'L Ist'!G45,0)</f>
        <v>0</v>
      </c>
      <c r="H57" s="308">
        <f>IF(OR(Kalk!$B$5=5,Kalk!$B$5=7,Kalk!$B$5=9,Kalk!$B$5=10),'L Ist'!H45,0)</f>
        <v>0</v>
      </c>
      <c r="I57" s="308">
        <f>IF(OR(Kalk!$B$5=5,Kalk!$B$5=7,Kalk!$B$5=9,Kalk!$B$5=10),'L Ist'!I45,0)</f>
        <v>0</v>
      </c>
      <c r="J57" s="307" t="str">
        <f>IF(OR(Kalk!$B$4=5,Kalk!$B$4=9,Kalk!$B$5=10),'L Ist'!J45,"")</f>
        <v/>
      </c>
      <c r="K57" s="306" t="str">
        <f t="shared" ref="K57:K65" si="7">B22</f>
        <v/>
      </c>
      <c r="L57" s="322" t="str">
        <f t="shared" ref="L57:L65" si="8">C22</f>
        <v/>
      </c>
      <c r="M57" s="308">
        <f>IF(OR(Kalk!$B$5=5,Kalk!$B$5=7,Kalk!$B$5=9,Kalk!$B$5=10),'L Ist'!M45,0)</f>
        <v>0</v>
      </c>
      <c r="N57" s="308">
        <f>IF(OR(Kalk!$B$5=5,Kalk!$B$5=7,Kalk!$B$5=9,Kalk!$B$5=10),'L Ist'!N45,0)</f>
        <v>0</v>
      </c>
      <c r="O57" s="308">
        <f>IF(OR(Kalk!$B$5=5,Kalk!$B$5=7,Kalk!$B$5=9,Kalk!$B$5=10),'L Ist'!O45,0)</f>
        <v>0</v>
      </c>
      <c r="P57" s="308">
        <f>IF(OR(Kalk!$B$5=5,Kalk!$B$5=7,Kalk!$B$5=9,Kalk!$B$5=10),'L Ist'!P45,0)</f>
        <v>0</v>
      </c>
      <c r="Q57" s="308">
        <f>IF(OR(Kalk!$B$5=5,Kalk!$B$5=7,Kalk!$B$5=9,Kalk!$B$5=10),'L Ist'!Q45,0)</f>
        <v>0</v>
      </c>
      <c r="R57" s="308">
        <f>IF(OR(Kalk!$B$5=5,Kalk!$B$5=7,Kalk!$B$5=9,Kalk!$B$5=10),'L Ist'!R45,0)</f>
        <v>0</v>
      </c>
    </row>
    <row r="58" spans="2:18" ht="11.25" customHeight="1">
      <c r="B58" s="306" t="str">
        <f t="shared" si="6"/>
        <v/>
      </c>
      <c r="C58" s="322" t="str">
        <f t="shared" si="6"/>
        <v/>
      </c>
      <c r="D58" s="308">
        <f>IF(OR(Kalk!$B$5=5,Kalk!$B$5=7,Kalk!$B$5=9,Kalk!$B$5=10),'L Ist'!D46,0)</f>
        <v>0</v>
      </c>
      <c r="E58" s="308">
        <f>IF(OR(Kalk!$B$5=5,Kalk!$B$5=7,Kalk!$B$5=9,Kalk!$B$5=10),'L Ist'!E46,0)</f>
        <v>0</v>
      </c>
      <c r="F58" s="308">
        <f>IF(OR(Kalk!$B$5=5,Kalk!$B$5=7,Kalk!$B$5=9,Kalk!$B$5=10),'L Ist'!F46,0)</f>
        <v>0</v>
      </c>
      <c r="G58" s="308">
        <f>IF(OR(Kalk!$B$5=5,Kalk!$B$5=7,Kalk!$B$5=9,Kalk!$B$5=10),'L Ist'!G46,0)</f>
        <v>0</v>
      </c>
      <c r="H58" s="308">
        <f>IF(OR(Kalk!$B$5=5,Kalk!$B$5=7,Kalk!$B$5=9,Kalk!$B$5=10),'L Ist'!H46,0)</f>
        <v>0</v>
      </c>
      <c r="I58" s="308">
        <f>IF(OR(Kalk!$B$5=5,Kalk!$B$5=7,Kalk!$B$5=9,Kalk!$B$5=10),'L Ist'!I46,0)</f>
        <v>0</v>
      </c>
      <c r="J58" s="307" t="str">
        <f>IF(OR(Kalk!$B$4=5,Kalk!$B$4=9,Kalk!$B$5=10),'L Ist'!J46,"")</f>
        <v/>
      </c>
      <c r="K58" s="306" t="str">
        <f t="shared" si="7"/>
        <v/>
      </c>
      <c r="L58" s="322" t="str">
        <f t="shared" si="8"/>
        <v/>
      </c>
      <c r="M58" s="308">
        <f>IF(OR(Kalk!$B$5=5,Kalk!$B$5=7,Kalk!$B$5=9,Kalk!$B$5=10),'L Ist'!M46,0)</f>
        <v>0</v>
      </c>
      <c r="N58" s="308">
        <f>IF(OR(Kalk!$B$5=5,Kalk!$B$5=7,Kalk!$B$5=9,Kalk!$B$5=10),'L Ist'!N46,0)</f>
        <v>0</v>
      </c>
      <c r="O58" s="308">
        <f>IF(OR(Kalk!$B$5=5,Kalk!$B$5=7,Kalk!$B$5=9,Kalk!$B$5=10),'L Ist'!O46,0)</f>
        <v>0</v>
      </c>
      <c r="P58" s="308">
        <f>IF(OR(Kalk!$B$5=5,Kalk!$B$5=7,Kalk!$B$5=9,Kalk!$B$5=10),'L Ist'!P46,0)</f>
        <v>0</v>
      </c>
      <c r="Q58" s="308">
        <f>IF(OR(Kalk!$B$5=5,Kalk!$B$5=7,Kalk!$B$5=9,Kalk!$B$5=10),'L Ist'!Q46,0)</f>
        <v>0</v>
      </c>
      <c r="R58" s="308">
        <f>IF(OR(Kalk!$B$5=5,Kalk!$B$5=7,Kalk!$B$5=9,Kalk!$B$5=10),'L Ist'!R46,0)</f>
        <v>0</v>
      </c>
    </row>
    <row r="59" spans="2:18" ht="11.25" customHeight="1">
      <c r="B59" s="306" t="str">
        <f t="shared" si="6"/>
        <v/>
      </c>
      <c r="C59" s="322" t="str">
        <f t="shared" si="6"/>
        <v/>
      </c>
      <c r="D59" s="308">
        <f>IF(OR(Kalk!$B$5=5,Kalk!$B$5=7,Kalk!$B$5=9,Kalk!$B$5=10),'L Ist'!D47,0)</f>
        <v>0</v>
      </c>
      <c r="E59" s="308">
        <f>IF(OR(Kalk!$B$5=5,Kalk!$B$5=7,Kalk!$B$5=9,Kalk!$B$5=10),'L Ist'!E47,0)</f>
        <v>0</v>
      </c>
      <c r="F59" s="308">
        <f>IF(OR(Kalk!$B$5=5,Kalk!$B$5=7,Kalk!$B$5=9,Kalk!$B$5=10),'L Ist'!F47,0)</f>
        <v>0</v>
      </c>
      <c r="G59" s="308">
        <f>IF(OR(Kalk!$B$5=5,Kalk!$B$5=7,Kalk!$B$5=9,Kalk!$B$5=10),'L Ist'!G47,0)</f>
        <v>0</v>
      </c>
      <c r="H59" s="308">
        <f>IF(OR(Kalk!$B$5=5,Kalk!$B$5=7,Kalk!$B$5=9,Kalk!$B$5=10),'L Ist'!H47,0)</f>
        <v>0</v>
      </c>
      <c r="I59" s="308">
        <f>IF(OR(Kalk!$B$5=5,Kalk!$B$5=7,Kalk!$B$5=9,Kalk!$B$5=10),'L Ist'!I47,0)</f>
        <v>0</v>
      </c>
      <c r="J59" s="307" t="str">
        <f>IF(OR(Kalk!$B$4=5,Kalk!$B$4=9,Kalk!$B$5=10),'L Ist'!J47,"")</f>
        <v/>
      </c>
      <c r="K59" s="306" t="str">
        <f t="shared" si="7"/>
        <v/>
      </c>
      <c r="L59" s="322" t="str">
        <f t="shared" si="8"/>
        <v/>
      </c>
      <c r="M59" s="308">
        <f>IF(OR(Kalk!$B$5=5,Kalk!$B$5=7,Kalk!$B$5=9,Kalk!$B$5=10),'L Ist'!M47,0)</f>
        <v>0</v>
      </c>
      <c r="N59" s="308">
        <f>IF(OR(Kalk!$B$5=5,Kalk!$B$5=7,Kalk!$B$5=9,Kalk!$B$5=10),'L Ist'!N47,0)</f>
        <v>0</v>
      </c>
      <c r="O59" s="308">
        <f>IF(OR(Kalk!$B$5=5,Kalk!$B$5=7,Kalk!$B$5=9,Kalk!$B$5=10),'L Ist'!O47,0)</f>
        <v>0</v>
      </c>
      <c r="P59" s="308">
        <f>IF(OR(Kalk!$B$5=5,Kalk!$B$5=7,Kalk!$B$5=9,Kalk!$B$5=10),'L Ist'!P47,0)</f>
        <v>0</v>
      </c>
      <c r="Q59" s="308">
        <f>IF(OR(Kalk!$B$5=5,Kalk!$B$5=7,Kalk!$B$5=9,Kalk!$B$5=10),'L Ist'!Q47,0)</f>
        <v>0</v>
      </c>
      <c r="R59" s="308">
        <f>IF(OR(Kalk!$B$5=5,Kalk!$B$5=7,Kalk!$B$5=9,Kalk!$B$5=10),'L Ist'!R47,0)</f>
        <v>0</v>
      </c>
    </row>
    <row r="60" spans="2:18" ht="11.25" customHeight="1">
      <c r="B60" s="306" t="str">
        <f t="shared" si="6"/>
        <v/>
      </c>
      <c r="C60" s="322" t="str">
        <f t="shared" si="6"/>
        <v/>
      </c>
      <c r="D60" s="308">
        <f>IF(OR(Kalk!$B$5=5,Kalk!$B$5=7,Kalk!$B$5=9,Kalk!$B$5=10),'L Ist'!D48,0)</f>
        <v>0</v>
      </c>
      <c r="E60" s="308">
        <f>IF(OR(Kalk!$B$5=5,Kalk!$B$5=7,Kalk!$B$5=9,Kalk!$B$5=10),'L Ist'!E48,0)</f>
        <v>0</v>
      </c>
      <c r="F60" s="308">
        <f>IF(OR(Kalk!$B$5=5,Kalk!$B$5=7,Kalk!$B$5=9,Kalk!$B$5=10),'L Ist'!F48,0)</f>
        <v>0</v>
      </c>
      <c r="G60" s="308">
        <f>IF(OR(Kalk!$B$5=5,Kalk!$B$5=7,Kalk!$B$5=9,Kalk!$B$5=10),'L Ist'!G48,0)</f>
        <v>0</v>
      </c>
      <c r="H60" s="308">
        <f>IF(OR(Kalk!$B$5=5,Kalk!$B$5=7,Kalk!$B$5=9,Kalk!$B$5=10),'L Ist'!H48,0)</f>
        <v>0</v>
      </c>
      <c r="I60" s="308">
        <f>IF(OR(Kalk!$B$5=5,Kalk!$B$5=7,Kalk!$B$5=9,Kalk!$B$5=10),'L Ist'!I48,0)</f>
        <v>0</v>
      </c>
      <c r="J60" s="307" t="str">
        <f>IF(OR(Kalk!$B$4=5,Kalk!$B$4=9,Kalk!$B$5=10),'L Ist'!J48,"")</f>
        <v/>
      </c>
      <c r="K60" s="306" t="str">
        <f t="shared" si="7"/>
        <v/>
      </c>
      <c r="L60" s="322" t="str">
        <f t="shared" si="8"/>
        <v/>
      </c>
      <c r="M60" s="308">
        <f>IF(OR(Kalk!$B$5=5,Kalk!$B$5=7,Kalk!$B$5=9,Kalk!$B$5=10),'L Ist'!M48,0)</f>
        <v>0</v>
      </c>
      <c r="N60" s="308">
        <f>IF(OR(Kalk!$B$5=5,Kalk!$B$5=7,Kalk!$B$5=9,Kalk!$B$5=10),'L Ist'!N48,0)</f>
        <v>0</v>
      </c>
      <c r="O60" s="308">
        <f>IF(OR(Kalk!$B$5=5,Kalk!$B$5=7,Kalk!$B$5=9,Kalk!$B$5=10),'L Ist'!O48,0)</f>
        <v>0</v>
      </c>
      <c r="P60" s="308">
        <f>IF(OR(Kalk!$B$5=5,Kalk!$B$5=7,Kalk!$B$5=9,Kalk!$B$5=10),'L Ist'!P48,0)</f>
        <v>0</v>
      </c>
      <c r="Q60" s="308">
        <f>IF(OR(Kalk!$B$5=5,Kalk!$B$5=7,Kalk!$B$5=9,Kalk!$B$5=10),'L Ist'!Q48,0)</f>
        <v>0</v>
      </c>
      <c r="R60" s="308">
        <f>IF(OR(Kalk!$B$5=5,Kalk!$B$5=7,Kalk!$B$5=9,Kalk!$B$5=10),'L Ist'!R48,0)</f>
        <v>0</v>
      </c>
    </row>
    <row r="61" spans="2:18" ht="11.25" customHeight="1">
      <c r="B61" s="306" t="str">
        <f t="shared" si="6"/>
        <v/>
      </c>
      <c r="C61" s="322" t="str">
        <f t="shared" si="6"/>
        <v/>
      </c>
      <c r="D61" s="308">
        <f>IF(OR(Kalk!$B$5=5,Kalk!$B$5=7,Kalk!$B$5=9,Kalk!$B$5=10),'L Ist'!D49,0)</f>
        <v>0</v>
      </c>
      <c r="E61" s="308">
        <f>IF(OR(Kalk!$B$5=5,Kalk!$B$5=7,Kalk!$B$5=9,Kalk!$B$5=10),'L Ist'!E49,0)</f>
        <v>0</v>
      </c>
      <c r="F61" s="308">
        <f>IF(OR(Kalk!$B$5=5,Kalk!$B$5=7,Kalk!$B$5=9,Kalk!$B$5=10),'L Ist'!F49,0)</f>
        <v>0</v>
      </c>
      <c r="G61" s="308">
        <f>IF(OR(Kalk!$B$5=5,Kalk!$B$5=7,Kalk!$B$5=9,Kalk!$B$5=10),'L Ist'!G49,0)</f>
        <v>0</v>
      </c>
      <c r="H61" s="308">
        <f>IF(OR(Kalk!$B$5=5,Kalk!$B$5=7,Kalk!$B$5=9,Kalk!$B$5=10),'L Ist'!H49,0)</f>
        <v>0</v>
      </c>
      <c r="I61" s="308">
        <f>IF(OR(Kalk!$B$5=5,Kalk!$B$5=7,Kalk!$B$5=9,Kalk!$B$5=10),'L Ist'!I49,0)</f>
        <v>0</v>
      </c>
      <c r="J61" s="307" t="str">
        <f>IF(OR(Kalk!$B$4=5,Kalk!$B$4=9,Kalk!$B$5=10),'L Ist'!J49,"")</f>
        <v/>
      </c>
      <c r="K61" s="306" t="str">
        <f t="shared" si="7"/>
        <v/>
      </c>
      <c r="L61" s="322" t="str">
        <f t="shared" si="8"/>
        <v/>
      </c>
      <c r="M61" s="308">
        <f>IF(OR(Kalk!$B$5=5,Kalk!$B$5=7,Kalk!$B$5=9,Kalk!$B$5=10),'L Ist'!M49,0)</f>
        <v>0</v>
      </c>
      <c r="N61" s="308">
        <f>IF(OR(Kalk!$B$5=5,Kalk!$B$5=7,Kalk!$B$5=9,Kalk!$B$5=10),'L Ist'!N49,0)</f>
        <v>0</v>
      </c>
      <c r="O61" s="308">
        <f>IF(OR(Kalk!$B$5=5,Kalk!$B$5=7,Kalk!$B$5=9,Kalk!$B$5=10),'L Ist'!O49,0)</f>
        <v>0</v>
      </c>
      <c r="P61" s="308">
        <f>IF(OR(Kalk!$B$5=5,Kalk!$B$5=7,Kalk!$B$5=9,Kalk!$B$5=10),'L Ist'!P49,0)</f>
        <v>0</v>
      </c>
      <c r="Q61" s="308">
        <f>IF(OR(Kalk!$B$5=5,Kalk!$B$5=7,Kalk!$B$5=9,Kalk!$B$5=10),'L Ist'!Q49,0)</f>
        <v>0</v>
      </c>
      <c r="R61" s="308">
        <f>IF(OR(Kalk!$B$5=5,Kalk!$B$5=7,Kalk!$B$5=9,Kalk!$B$5=10),'L Ist'!R49,0)</f>
        <v>0</v>
      </c>
    </row>
    <row r="62" spans="2:18" ht="11.25" customHeight="1">
      <c r="B62" s="306" t="str">
        <f t="shared" si="6"/>
        <v/>
      </c>
      <c r="C62" s="322" t="str">
        <f t="shared" si="6"/>
        <v/>
      </c>
      <c r="D62" s="308">
        <f>IF(OR(Kalk!$B$5=5,Kalk!$B$5=7,Kalk!$B$5=9,Kalk!$B$5=10),'L Ist'!D50,0)</f>
        <v>0</v>
      </c>
      <c r="E62" s="308">
        <f>IF(OR(Kalk!$B$5=5,Kalk!$B$5=7,Kalk!$B$5=9,Kalk!$B$5=10),'L Ist'!E50,0)</f>
        <v>0</v>
      </c>
      <c r="F62" s="308">
        <f>IF(OR(Kalk!$B$5=5,Kalk!$B$5=7,Kalk!$B$5=9,Kalk!$B$5=10),'L Ist'!F50,0)</f>
        <v>0</v>
      </c>
      <c r="G62" s="308">
        <f>IF(OR(Kalk!$B$5=5,Kalk!$B$5=7,Kalk!$B$5=9,Kalk!$B$5=10),'L Ist'!G50,0)</f>
        <v>0</v>
      </c>
      <c r="H62" s="308">
        <f>IF(OR(Kalk!$B$5=5,Kalk!$B$5=7,Kalk!$B$5=9,Kalk!$B$5=10),'L Ist'!H50,0)</f>
        <v>0</v>
      </c>
      <c r="I62" s="308">
        <f>IF(OR(Kalk!$B$5=5,Kalk!$B$5=7,Kalk!$B$5=9,Kalk!$B$5=10),'L Ist'!I50,0)</f>
        <v>0</v>
      </c>
      <c r="J62" s="307" t="str">
        <f>IF(OR(Kalk!$B$4=5,Kalk!$B$4=9,Kalk!$B$5=10),'L Ist'!J50,"")</f>
        <v/>
      </c>
      <c r="K62" s="306" t="str">
        <f t="shared" si="7"/>
        <v/>
      </c>
      <c r="L62" s="322" t="str">
        <f t="shared" si="8"/>
        <v/>
      </c>
      <c r="M62" s="308">
        <f>IF(OR(Kalk!$B$5=5,Kalk!$B$5=7,Kalk!$B$5=9,Kalk!$B$5=10),'L Ist'!M50,0)</f>
        <v>0</v>
      </c>
      <c r="N62" s="308">
        <f>IF(OR(Kalk!$B$5=5,Kalk!$B$5=7,Kalk!$B$5=9,Kalk!$B$5=10),'L Ist'!N50,0)</f>
        <v>0</v>
      </c>
      <c r="O62" s="308">
        <f>IF(OR(Kalk!$B$5=5,Kalk!$B$5=7,Kalk!$B$5=9,Kalk!$B$5=10),'L Ist'!O50,0)</f>
        <v>0</v>
      </c>
      <c r="P62" s="308">
        <f>IF(OR(Kalk!$B$5=5,Kalk!$B$5=7,Kalk!$B$5=9,Kalk!$B$5=10),'L Ist'!P50,0)</f>
        <v>0</v>
      </c>
      <c r="Q62" s="308">
        <f>IF(OR(Kalk!$B$5=5,Kalk!$B$5=7,Kalk!$B$5=9,Kalk!$B$5=10),'L Ist'!Q50,0)</f>
        <v>0</v>
      </c>
      <c r="R62" s="308">
        <f>IF(OR(Kalk!$B$5=5,Kalk!$B$5=7,Kalk!$B$5=9,Kalk!$B$5=10),'L Ist'!R50,0)</f>
        <v>0</v>
      </c>
    </row>
    <row r="63" spans="2:18" ht="11.25" customHeight="1">
      <c r="B63" s="306" t="str">
        <f t="shared" si="6"/>
        <v/>
      </c>
      <c r="C63" s="322" t="str">
        <f t="shared" si="6"/>
        <v/>
      </c>
      <c r="D63" s="308">
        <f>IF(OR(Kalk!$B$5=5,Kalk!$B$5=7,Kalk!$B$5=9,Kalk!$B$5=10),'L Ist'!D51,0)</f>
        <v>0</v>
      </c>
      <c r="E63" s="308">
        <f>IF(OR(Kalk!$B$5=5,Kalk!$B$5=7,Kalk!$B$5=9,Kalk!$B$5=10),'L Ist'!E51,0)</f>
        <v>0</v>
      </c>
      <c r="F63" s="308">
        <f>IF(OR(Kalk!$B$5=5,Kalk!$B$5=7,Kalk!$B$5=9,Kalk!$B$5=10),'L Ist'!F51,0)</f>
        <v>0</v>
      </c>
      <c r="G63" s="308">
        <f>IF(OR(Kalk!$B$5=5,Kalk!$B$5=7,Kalk!$B$5=9,Kalk!$B$5=10),'L Ist'!G51,0)</f>
        <v>0</v>
      </c>
      <c r="H63" s="308">
        <f>IF(OR(Kalk!$B$5=5,Kalk!$B$5=7,Kalk!$B$5=9,Kalk!$B$5=10),'L Ist'!H51,0)</f>
        <v>0</v>
      </c>
      <c r="I63" s="308">
        <f>IF(OR(Kalk!$B$5=5,Kalk!$B$5=7,Kalk!$B$5=9,Kalk!$B$5=10),'L Ist'!I51,0)</f>
        <v>0</v>
      </c>
      <c r="J63" s="307" t="str">
        <f>IF(OR(Kalk!$B$4=5,Kalk!$B$4=9,Kalk!$B$5=10),'L Ist'!J51,"")</f>
        <v/>
      </c>
      <c r="K63" s="306" t="str">
        <f t="shared" si="7"/>
        <v/>
      </c>
      <c r="L63" s="322" t="str">
        <f t="shared" si="8"/>
        <v/>
      </c>
      <c r="M63" s="308">
        <f>IF(OR(Kalk!$B$5=5,Kalk!$B$5=7,Kalk!$B$5=9,Kalk!$B$5=10),'L Ist'!M51,0)</f>
        <v>0</v>
      </c>
      <c r="N63" s="308">
        <f>IF(OR(Kalk!$B$5=5,Kalk!$B$5=7,Kalk!$B$5=9,Kalk!$B$5=10),'L Ist'!N51,0)</f>
        <v>0</v>
      </c>
      <c r="O63" s="308">
        <f>IF(OR(Kalk!$B$5=5,Kalk!$B$5=7,Kalk!$B$5=9,Kalk!$B$5=10),'L Ist'!O51,0)</f>
        <v>0</v>
      </c>
      <c r="P63" s="308">
        <f>IF(OR(Kalk!$B$5=5,Kalk!$B$5=7,Kalk!$B$5=9,Kalk!$B$5=10),'L Ist'!P51,0)</f>
        <v>0</v>
      </c>
      <c r="Q63" s="308">
        <f>IF(OR(Kalk!$B$5=5,Kalk!$B$5=7,Kalk!$B$5=9,Kalk!$B$5=10),'L Ist'!Q51,0)</f>
        <v>0</v>
      </c>
      <c r="R63" s="308">
        <f>IF(OR(Kalk!$B$5=5,Kalk!$B$5=7,Kalk!$B$5=9,Kalk!$B$5=10),'L Ist'!R51,0)</f>
        <v>0</v>
      </c>
    </row>
    <row r="64" spans="2:18" ht="11.25" customHeight="1">
      <c r="B64" s="306" t="str">
        <f t="shared" si="6"/>
        <v/>
      </c>
      <c r="C64" s="322" t="str">
        <f t="shared" si="6"/>
        <v/>
      </c>
      <c r="D64" s="308">
        <f>IF(OR(Kalk!$B$5=5,Kalk!$B$5=7,Kalk!$B$5=9,Kalk!$B$5=10),'L Ist'!D52,0)</f>
        <v>0</v>
      </c>
      <c r="E64" s="308">
        <f>IF(OR(Kalk!$B$5=5,Kalk!$B$5=7,Kalk!$B$5=9,Kalk!$B$5=10),'L Ist'!E52,0)</f>
        <v>0</v>
      </c>
      <c r="F64" s="308">
        <f>IF(OR(Kalk!$B$5=5,Kalk!$B$5=7,Kalk!$B$5=9,Kalk!$B$5=10),'L Ist'!F52,0)</f>
        <v>0</v>
      </c>
      <c r="G64" s="308">
        <f>IF(OR(Kalk!$B$5=5,Kalk!$B$5=7,Kalk!$B$5=9,Kalk!$B$5=10),'L Ist'!G52,0)</f>
        <v>0</v>
      </c>
      <c r="H64" s="308">
        <f>IF(OR(Kalk!$B$5=5,Kalk!$B$5=7,Kalk!$B$5=9,Kalk!$B$5=10),'L Ist'!H52,0)</f>
        <v>0</v>
      </c>
      <c r="I64" s="308">
        <f>IF(OR(Kalk!$B$5=5,Kalk!$B$5=7,Kalk!$B$5=9,Kalk!$B$5=10),'L Ist'!I52,0)</f>
        <v>0</v>
      </c>
      <c r="J64" s="307" t="str">
        <f>IF(OR(Kalk!$B$4=5,Kalk!$B$4=9,Kalk!$B$5=10),'L Ist'!J52,"")</f>
        <v/>
      </c>
      <c r="K64" s="306" t="str">
        <f t="shared" si="7"/>
        <v/>
      </c>
      <c r="L64" s="322" t="str">
        <f t="shared" si="8"/>
        <v/>
      </c>
      <c r="M64" s="308">
        <f>IF(OR(Kalk!$B$5=5,Kalk!$B$5=7,Kalk!$B$5=9,Kalk!$B$5=10),'L Ist'!M52,0)</f>
        <v>0</v>
      </c>
      <c r="N64" s="308">
        <f>IF(OR(Kalk!$B$5=5,Kalk!$B$5=7,Kalk!$B$5=9,Kalk!$B$5=10),'L Ist'!N52,0)</f>
        <v>0</v>
      </c>
      <c r="O64" s="308">
        <f>IF(OR(Kalk!$B$5=5,Kalk!$B$5=7,Kalk!$B$5=9,Kalk!$B$5=10),'L Ist'!O52,0)</f>
        <v>0</v>
      </c>
      <c r="P64" s="308">
        <f>IF(OR(Kalk!$B$5=5,Kalk!$B$5=7,Kalk!$B$5=9,Kalk!$B$5=10),'L Ist'!P52,0)</f>
        <v>0</v>
      </c>
      <c r="Q64" s="308">
        <f>IF(OR(Kalk!$B$5=5,Kalk!$B$5=7,Kalk!$B$5=9,Kalk!$B$5=10),'L Ist'!Q52,0)</f>
        <v>0</v>
      </c>
      <c r="R64" s="308">
        <f>IF(OR(Kalk!$B$5=5,Kalk!$B$5=7,Kalk!$B$5=9,Kalk!$B$5=10),'L Ist'!R52,0)</f>
        <v>0</v>
      </c>
    </row>
    <row r="65" spans="2:18" ht="11.25" customHeight="1">
      <c r="B65" s="306" t="str">
        <f t="shared" si="6"/>
        <v/>
      </c>
      <c r="C65" s="322" t="str">
        <f t="shared" si="6"/>
        <v/>
      </c>
      <c r="D65" s="308">
        <f>IF(OR(Kalk!$B$5=5,Kalk!$B$5=7,Kalk!$B$5=9,Kalk!$B$5=10),'L Ist'!D53,0)</f>
        <v>0</v>
      </c>
      <c r="E65" s="308">
        <f>IF(OR(Kalk!$B$5=5,Kalk!$B$5=7,Kalk!$B$5=9,Kalk!$B$5=10),'L Ist'!E53,0)</f>
        <v>0</v>
      </c>
      <c r="F65" s="308">
        <f>IF(OR(Kalk!$B$5=5,Kalk!$B$5=7,Kalk!$B$5=9,Kalk!$B$5=10),'L Ist'!F53,0)</f>
        <v>0</v>
      </c>
      <c r="G65" s="308">
        <f>IF(OR(Kalk!$B$5=5,Kalk!$B$5=7,Kalk!$B$5=9,Kalk!$B$5=10),'L Ist'!G53,0)</f>
        <v>0</v>
      </c>
      <c r="H65" s="308">
        <f>IF(OR(Kalk!$B$5=5,Kalk!$B$5=7,Kalk!$B$5=9,Kalk!$B$5=10),'L Ist'!H53,0)</f>
        <v>0</v>
      </c>
      <c r="I65" s="308">
        <f>IF(OR(Kalk!$B$5=5,Kalk!$B$5=7,Kalk!$B$5=9,Kalk!$B$5=10),'L Ist'!I53,0)</f>
        <v>0</v>
      </c>
      <c r="J65" s="307" t="str">
        <f>IF(OR(Kalk!$B$4=5,Kalk!$B$4=9,Kalk!$B$5=10),'L Ist'!J53,"")</f>
        <v/>
      </c>
      <c r="K65" s="306" t="str">
        <f t="shared" si="7"/>
        <v/>
      </c>
      <c r="L65" s="322" t="str">
        <f t="shared" si="8"/>
        <v/>
      </c>
      <c r="M65" s="308">
        <f>IF(OR(Kalk!$B$5=5,Kalk!$B$5=7,Kalk!$B$5=9,Kalk!$B$5=10),'L Ist'!M53,0)</f>
        <v>0</v>
      </c>
      <c r="N65" s="308">
        <f>IF(OR(Kalk!$B$5=5,Kalk!$B$5=7,Kalk!$B$5=9,Kalk!$B$5=10),'L Ist'!N53,0)</f>
        <v>0</v>
      </c>
      <c r="O65" s="308">
        <f>IF(OR(Kalk!$B$5=5,Kalk!$B$5=7,Kalk!$B$5=9,Kalk!$B$5=10),'L Ist'!O53,0)</f>
        <v>0</v>
      </c>
      <c r="P65" s="308">
        <f>IF(OR(Kalk!$B$5=5,Kalk!$B$5=7,Kalk!$B$5=9,Kalk!$B$5=10),'L Ist'!P53,0)</f>
        <v>0</v>
      </c>
      <c r="Q65" s="308">
        <f>IF(OR(Kalk!$B$5=5,Kalk!$B$5=7,Kalk!$B$5=9,Kalk!$B$5=10),'L Ist'!Q53,0)</f>
        <v>0</v>
      </c>
      <c r="R65" s="308">
        <f>IF(OR(Kalk!$B$5=5,Kalk!$B$5=7,Kalk!$B$5=9,Kalk!$B$5=10),'L Ist'!R53,0)</f>
        <v>0</v>
      </c>
    </row>
    <row r="66" spans="2:18" ht="11.25" customHeight="1">
      <c r="B66" s="306"/>
      <c r="C66" s="306"/>
      <c r="D66" s="308"/>
      <c r="E66" s="308"/>
      <c r="F66" s="308"/>
      <c r="G66" s="308"/>
      <c r="H66" s="308"/>
      <c r="I66" s="308"/>
      <c r="J66" s="307"/>
      <c r="K66" s="307"/>
      <c r="L66" s="307"/>
      <c r="M66" s="308"/>
      <c r="N66" s="308"/>
      <c r="O66" s="308"/>
      <c r="P66" s="308"/>
      <c r="Q66" s="308"/>
      <c r="R66" s="308"/>
    </row>
    <row r="67" spans="2:18" ht="11.25" customHeight="1">
      <c r="B67" s="307"/>
      <c r="C67" s="307"/>
      <c r="D67" s="316"/>
      <c r="E67" s="316"/>
      <c r="F67" s="316"/>
      <c r="G67" s="316"/>
      <c r="H67" s="316"/>
      <c r="I67" s="316"/>
      <c r="K67" s="307"/>
      <c r="L67" s="307"/>
      <c r="M67" s="317"/>
      <c r="N67" s="317"/>
      <c r="O67" s="317"/>
      <c r="P67" s="317"/>
      <c r="Q67" s="317"/>
      <c r="R67" s="317"/>
    </row>
    <row r="90" spans="1:18" ht="11.25" customHeight="1">
      <c r="A90" s="307"/>
      <c r="B90" s="307"/>
      <c r="C90" s="307"/>
      <c r="D90" s="307"/>
      <c r="E90" s="318"/>
      <c r="F90" s="307"/>
      <c r="G90" s="307"/>
      <c r="H90" s="307"/>
      <c r="I90" s="319"/>
      <c r="J90" s="307"/>
      <c r="K90" s="319"/>
      <c r="L90" s="319"/>
      <c r="M90" s="307"/>
      <c r="N90" s="307"/>
      <c r="O90" s="307"/>
      <c r="P90" s="307"/>
      <c r="Q90" s="307"/>
      <c r="R90" s="307"/>
    </row>
    <row r="91" spans="1:18" ht="11.25" customHeight="1">
      <c r="A91" s="307"/>
      <c r="B91" s="307"/>
      <c r="C91" s="307"/>
      <c r="D91" s="307"/>
      <c r="E91" s="318"/>
      <c r="F91" s="307"/>
      <c r="G91" s="307"/>
      <c r="H91" s="307"/>
      <c r="I91" s="319"/>
      <c r="J91" s="307"/>
      <c r="K91" s="319"/>
      <c r="L91" s="319"/>
      <c r="M91" s="307"/>
      <c r="N91" s="307"/>
      <c r="O91" s="307"/>
      <c r="P91" s="307"/>
      <c r="Q91" s="307"/>
      <c r="R91" s="307"/>
    </row>
    <row r="92" spans="1:18" ht="11.25" customHeight="1">
      <c r="A92" s="307"/>
      <c r="B92" s="307"/>
      <c r="C92" s="307"/>
      <c r="D92" s="307"/>
      <c r="E92" s="318"/>
      <c r="F92" s="307"/>
      <c r="G92" s="307"/>
      <c r="H92" s="307"/>
      <c r="I92" s="307"/>
      <c r="J92" s="307"/>
      <c r="K92" s="319"/>
      <c r="L92" s="319"/>
      <c r="M92" s="307"/>
      <c r="N92" s="307"/>
      <c r="O92" s="307"/>
      <c r="P92" s="307"/>
      <c r="Q92" s="307"/>
      <c r="R92" s="307"/>
    </row>
    <row r="93" spans="1:18" ht="11.25" customHeight="1">
      <c r="A93" s="320"/>
      <c r="B93" s="299"/>
      <c r="C93" s="299"/>
      <c r="D93" s="320"/>
      <c r="E93" s="321"/>
      <c r="F93" s="299"/>
      <c r="G93" s="299"/>
      <c r="H93" s="299"/>
      <c r="I93" s="299"/>
      <c r="J93" s="299"/>
      <c r="K93" s="309"/>
      <c r="L93" s="309"/>
      <c r="M93" s="299"/>
      <c r="N93" s="299"/>
      <c r="O93" s="299"/>
      <c r="P93" s="299"/>
      <c r="Q93" s="299"/>
      <c r="R93" s="299"/>
    </row>
    <row r="94" spans="1:18" ht="11.25" customHeight="1">
      <c r="A94" s="320"/>
      <c r="B94" s="299"/>
      <c r="C94" s="299"/>
      <c r="D94" s="320"/>
      <c r="E94" s="321"/>
      <c r="F94" s="299"/>
      <c r="G94" s="299"/>
      <c r="H94" s="299"/>
      <c r="I94" s="299"/>
      <c r="J94" s="299"/>
      <c r="K94" s="309"/>
      <c r="L94" s="309"/>
      <c r="M94" s="299"/>
      <c r="N94" s="299"/>
      <c r="O94" s="299"/>
      <c r="P94" s="299"/>
      <c r="Q94" s="299"/>
      <c r="R94" s="299"/>
    </row>
  </sheetData>
  <mergeCells count="24">
    <mergeCell ref="B35:D35"/>
    <mergeCell ref="E35:G35"/>
    <mergeCell ref="H35:I35"/>
    <mergeCell ref="I36:I45"/>
    <mergeCell ref="B2:D2"/>
    <mergeCell ref="E2:P2"/>
    <mergeCell ref="K4:P6"/>
    <mergeCell ref="F5:G5"/>
    <mergeCell ref="K36:R42"/>
    <mergeCell ref="K45:M45"/>
    <mergeCell ref="B10:D10"/>
    <mergeCell ref="E10:G10"/>
    <mergeCell ref="H10:I10"/>
    <mergeCell ref="K10:M10"/>
    <mergeCell ref="N10:P10"/>
    <mergeCell ref="Q10:R10"/>
    <mergeCell ref="B36:C45"/>
    <mergeCell ref="N45:P45"/>
    <mergeCell ref="Q45:R45"/>
    <mergeCell ref="D36:D45"/>
    <mergeCell ref="E36:E45"/>
    <mergeCell ref="F36:F45"/>
    <mergeCell ref="G36:G45"/>
    <mergeCell ref="H36:H45"/>
  </mergeCells>
  <conditionalFormatting sqref="D35:I55 C35 B35:B55 C46:C55 B56:I65 K45:R65 B10:R30">
    <cfRule type="cellIs" dxfId="3" priority="5" stopIfTrue="1" operator="equal">
      <formula>0</formula>
    </cfRule>
    <cfRule type="cellIs" dxfId="2" priority="6" stopIfTrue="1" operator="equal">
      <formula>""</formula>
    </cfRule>
  </conditionalFormatting>
  <printOptions horizontalCentered="1" verticalCentered="1"/>
  <pageMargins left="0.39370078740157483" right="0.39370078740157483" top="0.19685039370078741" bottom="0.19685039370078741" header="0.51181102362204722" footer="0.51181102362204722"/>
  <pageSetup paperSize="9" scale="84" orientation="landscape" r:id="rId1"/>
  <headerFooter alignWithMargins="0">
    <oddFooter>&amp;L&amp;"Arial,Standard"&amp;4dbb
tarifunion
Entgelte
Version 1.1.
10.10.2007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6"/>
  </sheetPr>
  <dimension ref="A1:AG54"/>
  <sheetViews>
    <sheetView zoomScaleNormal="100" workbookViewId="0">
      <selection activeCell="Q1" sqref="Q1"/>
    </sheetView>
  </sheetViews>
  <sheetFormatPr baseColWidth="10" defaultColWidth="8.5703125" defaultRowHeight="12.75"/>
  <cols>
    <col min="1" max="1" width="23.140625" style="329" customWidth="1"/>
    <col min="2" max="3" width="6.42578125" style="329" customWidth="1"/>
    <col min="4" max="9" width="8.5703125" style="329" customWidth="1"/>
    <col min="10" max="10" width="17.85546875" style="328" customWidth="1"/>
    <col min="11" max="12" width="6.42578125" style="329" customWidth="1"/>
    <col min="13" max="29" width="8.5703125" style="329"/>
    <col min="30" max="31" width="8.5703125" style="410"/>
    <col min="32" max="16384" width="8.5703125" style="329"/>
  </cols>
  <sheetData>
    <row r="1" spans="1:33" ht="11.25" customHeight="1">
      <c r="A1" s="323" t="str">
        <f>Umse!B11</f>
        <v>1.2.</v>
      </c>
      <c r="B1" s="324"/>
      <c r="C1" s="325"/>
      <c r="D1" s="326" t="str">
        <f>IF(A1=0,"","Stundenentgelt  ( Vollzeit )")</f>
        <v>Stundenentgelt  ( Vollzeit )</v>
      </c>
      <c r="E1" s="325"/>
      <c r="F1" s="325"/>
      <c r="G1" s="325"/>
      <c r="H1" s="325"/>
      <c r="I1" s="327"/>
      <c r="K1" s="324"/>
      <c r="L1" s="325"/>
      <c r="M1" s="326" t="str">
        <f>IF(A1=0,"",IF(OR(A1="10.1.",A1="10.2.",A1="10.3."),R1,Q1))</f>
        <v/>
      </c>
      <c r="N1" s="325"/>
      <c r="O1" s="325"/>
      <c r="P1" s="325"/>
      <c r="Q1" s="573" t="str">
        <f>IF(OR(Umse!$C$24=0,Kalk!B4=1,Kalk!B4=2,Kalk!B4=3,Kalk!B4=4,Kalk!B4=6,Kalk!B4=8,Kalk!B4=10),"",IF(OR($A$1="5.1.",$A$1="5.2.",$A$1="5.3.",$A$1="5.4.",$A$1="5.5.",$A$1="5.6.",$A$1="5.7.",$A$1="5.8.",$A$1="5.9.",$A$1="5.10.",$A$1="5.11."),'L Tab'!DB32,IF(OR($A$1="5.12.",$A$1="5.13.",$A$1="5.14.",$A$1="5.15.",$A$1="5.16.",$A$1="5.17.",$A$1="5.18.",$A$1="5.19.",$A$1="5.20.",$A$1="5.21.",$A$1="5.22."),'L Tab'!DJ32,IF(OR($A$1="5.23.",$A$1="5.24.",$A$1="5.25.",$A$1="5.26.",$A$1="5.27.",$A$1="5.28.",$A$1="5.29.",$A$1="5.30.",$A$1="5.31.",$A$1="5.32.",$A$1="5.33."),'L Tab'!DR32,IF(Kalk!B4=7,Z33,IF(OR(Kalk!B4=9,Kalk!B4=10),R1,""))))))</f>
        <v/>
      </c>
      <c r="R1" s="603" t="str">
        <f>IF(Umse!$C$24=0,0,IF($A$1="9.1.",'L Tab'!DJ45,IF($A$1="9.2.",'L Tab'!DR45,IF($A$1="9.3.",'L Tab'!DZ45,IF($A$1="9.4.",'L Tab'!EH45,IF($A$1="10.1.",'L Tab'!DJ81,IF($A$1="10.2.",'L Tab'!DR81,IF($A$1="10.3.",'L Tab'!DZ81,""))))))))</f>
        <v/>
      </c>
      <c r="Z1" s="594" t="str">
        <f>IF(Umse!$C$24=0,0,IF(Kalk!B4=9,"Hessen",""))</f>
        <v/>
      </c>
      <c r="AA1" s="595" t="str">
        <f>IF(AND(Kalk!B4=9,Kalk!A1=0),"Bitte Tarifgebiet auswählen",IF($A$1="9.1.",Para!G172&amp;Para!H172,IF($A$1="9.2.",Para!G173&amp;Para!H173,IF($A$1="9.3.",Para!G174&amp;Para!H174,IF($A$1="9.4.",Para!G175&amp;Para!H175,"")))))</f>
        <v/>
      </c>
      <c r="AB1" s="553"/>
      <c r="AC1" s="594" t="str">
        <f>IF(Umse!$C$24=0,0,IF(Kalk!B4=10,"dataport",""))</f>
        <v/>
      </c>
      <c r="AD1" s="595" t="str">
        <f>IF(AND(Kalk!B4=10,Kalk!A1=0),"Bitte Tarifgebiet auswählen",IF(A1="10.1.",Para!G182&amp;" "&amp;Para!H182,IF(A1="10.2.",Para!G183&amp;" "&amp;Para!H183,IF(A1="10.3.",Para!G184&amp;" "&amp;Para!H184,""))))</f>
        <v/>
      </c>
      <c r="AF1" s="596" t="str">
        <f>IF(Umse!$C$24=0,0,IF(Kalk!B4=7,"SuE",""))</f>
        <v/>
      </c>
      <c r="AG1" s="597" t="str">
        <f>IF(AND(Kalk!B4=7,Kalk!A1=0),"Bitte Tarifgebiet auswählen",IF(OR(A1="7.1.",A1="7.2.",A1="7.3.",A1="7.4.",A1="7.5.",A1="7.6.",A1="7.7.",A1="7.8.",A1="7.9.",A1="7.10.",A1="7.11."),Para!G183&amp;" "&amp;Para!H183,IF(OR(A1="7.12.",A1="7.13.",A1="7.14.",A1="7.15.",A1="7.16.",A1="7.17.",A1="7.18.",A1="7.19.",A1="7.20.",A1="7.21.",A1="7.22."),Para!G184&amp;" "&amp;Para!H184,IF(OR(A1="7.23.",A1="7.24.",A1="7.25.",A1="7.26.",A1="7.27.",A1="7.28.",A1="7.29.",A1="7.30.",A1="7.31.",A1="7.32.",A1="7.33."),Para!G184&amp;" "&amp;Para!H184,""))))</f>
        <v/>
      </c>
    </row>
    <row r="2" spans="1:33" ht="21" customHeight="1">
      <c r="A2" s="330" t="str">
        <f>VLOOKUP(Kalk!B5,Kalk!A20:B29,2)</f>
        <v>TVöD ( Bund )</v>
      </c>
      <c r="B2" s="332" t="str">
        <f>K2</f>
        <v/>
      </c>
      <c r="C2" s="331"/>
      <c r="D2" s="332" t="s">
        <v>7</v>
      </c>
      <c r="E2" s="332" t="s">
        <v>8</v>
      </c>
      <c r="F2" s="332" t="s">
        <v>9</v>
      </c>
      <c r="G2" s="332" t="s">
        <v>10</v>
      </c>
      <c r="H2" s="332" t="s">
        <v>11</v>
      </c>
      <c r="I2" s="332" t="s">
        <v>12</v>
      </c>
      <c r="J2" s="333" t="str">
        <f>IF(OR(Umse!$C$24=0,$A$1=0),"",IF(OR(Kalk!B4=5,Kalk!B4=9,Kalk!B4=10),"Hinweis :",""))</f>
        <v/>
      </c>
      <c r="K2" s="355" t="str">
        <f>IF(Umse!$C$24=0,0,IF(Kalk!$B$5=7,AF2,IF(OR(Kalk!$B$5=5,Kalk!$B$5=9),Z2,IF(Kalk!$B$5=10,AC2,""))))</f>
        <v/>
      </c>
      <c r="L2" s="331"/>
      <c r="M2" s="332" t="s">
        <v>7</v>
      </c>
      <c r="N2" s="332" t="s">
        <v>8</v>
      </c>
      <c r="O2" s="332" t="s">
        <v>9</v>
      </c>
      <c r="P2" s="332" t="s">
        <v>10</v>
      </c>
      <c r="Q2" s="332" t="s">
        <v>11</v>
      </c>
      <c r="R2" s="477" t="s">
        <v>12</v>
      </c>
      <c r="Z2" s="355" t="s">
        <v>278</v>
      </c>
      <c r="AC2" s="355" t="s">
        <v>278</v>
      </c>
      <c r="AF2" s="355" t="s">
        <v>277</v>
      </c>
    </row>
    <row r="3" spans="1:33">
      <c r="A3" s="323" t="str">
        <f>Umse!B23</f>
        <v>West und Ost ( ab 1.04.2021 )</v>
      </c>
      <c r="B3" s="332" t="str">
        <f>K3</f>
        <v/>
      </c>
      <c r="C3" s="367" t="str">
        <f>L3</f>
        <v/>
      </c>
      <c r="D3" s="335" t="str">
        <f t="shared" ref="D3:I3" si="0">IF(M3=0,0,IF(M3="-","-",IF(M3="","",FIXED(ROUND(M3/$A$5,2),2))))</f>
        <v/>
      </c>
      <c r="E3" s="335" t="str">
        <f t="shared" si="0"/>
        <v/>
      </c>
      <c r="F3" s="335" t="str">
        <f t="shared" si="0"/>
        <v/>
      </c>
      <c r="G3" s="335" t="str">
        <f t="shared" si="0"/>
        <v/>
      </c>
      <c r="H3" s="335" t="str">
        <f t="shared" si="0"/>
        <v/>
      </c>
      <c r="I3" s="335" t="str">
        <f t="shared" si="0"/>
        <v/>
      </c>
      <c r="J3" s="328" t="str">
        <f>""</f>
        <v/>
      </c>
      <c r="K3" s="332" t="str">
        <f>IF(Umse!$C$24=0,0,IF(Kalk!$B$5=7,AF3,IF(OR(Kalk!$B$5=5,Kalk!$B$5=9),Z3,IF(Kalk!$B$5=10,AC3,""))))</f>
        <v/>
      </c>
      <c r="L3" s="367" t="str">
        <f>IF(Umse!$C$24=0,0,IF(Kalk!$B$5=7,AG3,IF(OR(Kalk!$B$5=5,Kalk!$B$5=9),AA3,IF(Kalk!$B$5=10,AD3,""))))</f>
        <v/>
      </c>
      <c r="M3" s="335" t="str">
        <f>IF(Umse!$C$24=0,0,IF(OR($A$1="10.1.",$A$1="10.2.",$A$1="10.3."),S35,IF(OR($A$1="9.1.",$A$1="9.2.",$A$1="9.3.",$A$1="9.4."),S3,IF(OR($A$1="5.1.",$A$1="5.2.",$A$1="5.3.",$A$1="5.4.",$A$1="5.5.",$A$1="5.6.",$A$1="5.7.",$A$1="5.8.",$A$1="5.9.",$A$1="5.10.",$A$1="5.11."),'L Tab'!DC2,IF(OR($A$1="5.12.",$A$1="5.13.",$A$1="5.14.",$A$1="5.15.",$A$1="5.16.",$A$1="5.17.",$A$1="5.18.",$A$1="5.19.",$A$1="5.20.",$A$1="5.21.",$A$1="5.22."),'L Tab'!DK2,IF(OR($A$1="5.23.",$A$1="5.24.",$A$1="5.25.",$A$1="5.26.",$A$1="5.27.",$A$1="5.28.",$A$1="5.29.",$A$1="5.30.",$A$1="5.31.",$A$1="5.32.",$A$1="5.33."),'L Tab'!DS2,IF(Kalk!$B$4=7,Z35,"")))))))</f>
        <v/>
      </c>
      <c r="N3" s="335" t="str">
        <f>IF(Umse!$C$24=0,0,IF(OR($A$1="10.1.",$A$1="10.2.",$A$1="10.3."),T35,IF(OR($A$1="9.1.",$A$1="9.2.",$A$1="9.3.",$A$1="9.4."),T3,IF(OR($A$1="5.1.",$A$1="5.2.",$A$1="5.3.",$A$1="5.4.",$A$1="5.5.",$A$1="5.6.",$A$1="5.7.",$A$1="5.8.",$A$1="5.9.",$A$1="5.10.",$A$1="5.11."),'L Tab'!DD2,IF(OR($A$1="5.12.",$A$1="5.13.",$A$1="5.14.",$A$1="5.15.",$A$1="5.16.",$A$1="5.17.",$A$1="5.18.",$A$1="5.19.",$A$1="5.20.",$A$1="5.21.",$A$1="5.22."),'L Tab'!DL2,IF(OR($A$1="5.23.",$A$1="5.24.",$A$1="5.25.",$A$1="5.26.",$A$1="5.27.",$A$1="5.28.",$A$1="5.29.",$A$1="5.30.",$A$1="5.31.",$A$1="5.32.",$A$1="5.33."),'L Tab'!DT2,IF(Kalk!$B$4=7,AA35,"")))))))</f>
        <v/>
      </c>
      <c r="O3" s="335" t="str">
        <f>IF(Umse!$C$24=0,0,IF(OR($A$1="10.1.",$A$1="10.2.",$A$1="10.3."),U35,IF(OR($A$1="9.1.",$A$1="9.2.",$A$1="9.3.",$A$1="9.4."),U3,IF(OR($A$1="5.1.",$A$1="5.2.",$A$1="5.3.",$A$1="5.4.",$A$1="5.5.",$A$1="5.6.",$A$1="5.7.",$A$1="5.8.",$A$1="5.9.",$A$1="5.10.",$A$1="5.11."),'L Tab'!DE2,IF(OR($A$1="5.12.",$A$1="5.13.",$A$1="5.14.",$A$1="5.15.",$A$1="5.16.",$A$1="5.17.",$A$1="5.18.",$A$1="5.19.",$A$1="5.20.",$A$1="5.21.",$A$1="5.22."),'L Tab'!DM2,IF(OR($A$1="5.23.",$A$1="5.24.",$A$1="5.25.",$A$1="5.26.",$A$1="5.27.",$A$1="5.28.",$A$1="5.29.",$A$1="5.30.",$A$1="5.31.",$A$1="5.32.",$A$1="5.33."),'L Tab'!DU2,IF(Kalk!$B$4=7,AB35,"")))))))</f>
        <v/>
      </c>
      <c r="P3" s="335" t="str">
        <f>IF(Umse!$C$24=0,0,IF(OR($A$1="10.1.",$A$1="10.2.",$A$1="10.3."),V35,IF(OR($A$1="9.1.",$A$1="9.2.",$A$1="9.3.",$A$1="9.4."),V3,IF(OR($A$1="5.1.",$A$1="5.2.",$A$1="5.3.",$A$1="5.4.",$A$1="5.5.",$A$1="5.6.",$A$1="5.7.",$A$1="5.8.",$A$1="5.9.",$A$1="5.10.",$A$1="5.11."),'L Tab'!DF2,IF(OR($A$1="5.12.",$A$1="5.13.",$A$1="5.14.",$A$1="5.15.",$A$1="5.16.",$A$1="5.17.",$A$1="5.18.",$A$1="5.19.",$A$1="5.20.",$A$1="5.21.",$A$1="5.22."),'L Tab'!DN2,IF(OR($A$1="5.23.",$A$1="5.24.",$A$1="5.25.",$A$1="5.26.",$A$1="5.27.",$A$1="5.28.",$A$1="5.29.",$A$1="5.30.",$A$1="5.31.",$A$1="5.32.",$A$1="5.33."),'L Tab'!DV2,IF(Kalk!$B$4=7,AC35,"")))))))</f>
        <v/>
      </c>
      <c r="Q3" s="335" t="str">
        <f>IF(Umse!$C$24=0,0,IF(OR($A$1="10.1.",$A$1="10.2.",$A$1="10.3."),W35,IF(OR($A$1="9.1.",$A$1="9.2.",$A$1="9.3.",$A$1="9.4."),W3,IF(OR($A$1="5.1.",$A$1="5.2.",$A$1="5.3.",$A$1="5.4.",$A$1="5.5.",$A$1="5.6.",$A$1="5.7.",$A$1="5.8.",$A$1="5.9.",$A$1="5.10.",$A$1="5.11."),'L Tab'!DG2,IF(OR($A$1="5.12.",$A$1="5.13.",$A$1="5.14.",$A$1="5.15.",$A$1="5.16.",$A$1="5.17.",$A$1="5.18.",$A$1="5.19.",$A$1="5.20.",$A$1="5.21.",$A$1="5.22."),'L Tab'!DO2,IF(OR($A$1="5.23.",$A$1="5.24.",$A$1="5.25.",$A$1="5.26.",$A$1="5.27.",$A$1="5.28.",$A$1="5.29.",$A$1="5.30.",$A$1="5.31.",$A$1="5.32.",$A$1="5.33."),'L Tab'!DW2,IF(Kalk!$B$4=7,AD35,"")))))))</f>
        <v/>
      </c>
      <c r="R3" s="335" t="str">
        <f>IF(Umse!$C$24=0,0,IF(OR($A$1="10.1.",$A$1="10.2.",$A$1="10.3."),X35,IF(OR($A$1="9.1.",$A$1="9.2.",$A$1="9.3.",$A$1="9.4."),X3,IF(OR($A$1="5.1.",$A$1="5.2.",$A$1="5.3.",$A$1="5.4.",$A$1="5.5.",$A$1="5.6.",$A$1="5.7.",$A$1="5.8.",$A$1="5.9.",$A$1="5.10.",$A$1="5.11."),'L Tab'!DH2,IF(OR($A$1="5.12.",$A$1="5.13.",$A$1="5.14.",$A$1="5.15.",$A$1="5.16.",$A$1="5.17.",$A$1="5.18.",$A$1="5.19.",$A$1="5.20.",$A$1="5.21.",$A$1="5.22."),'L Tab'!DP2,IF(OR($A$1="5.23.",$A$1="5.24.",$A$1="5.25.",$A$1="5.26.",$A$1="5.27.",$A$1="5.28.",$A$1="5.29.",$A$1="5.30.",$A$1="5.31.",$A$1="5.32.",$A$1="5.33."),'L Tab'!DX2,IF(Kalk!$B$4=7,AE35,"")))))))</f>
        <v/>
      </c>
      <c r="S3" s="586" t="str">
        <f>IF(Umse!$C$24=0,0,IF($A$1="9.1.",'L Tab'!DK50,IF($A$1="9.2.",'L Tab'!DS50,IF($A$1="9.3.",'L Tab'!EA50,IF($A$1="9.4.",'L Tab'!EI50,"")))))</f>
        <v/>
      </c>
      <c r="T3" s="587" t="str">
        <f>IF(Umse!$C$24=0,0,IF($A$1="9.1.",'L Tab'!DL50,IF($A$1="9.2.",'L Tab'!DT50,IF($A$1="9.3.",'L Tab'!EB50,IF($A$1="9.4.",'L Tab'!EJ50,"")))))</f>
        <v/>
      </c>
      <c r="U3" s="587" t="str">
        <f>IF(Umse!$C$24=0,0,IF($A$1="9.1.",'L Tab'!DM50,IF($A$1="9.2.",'L Tab'!DU50,IF($A$1="9.3.",'L Tab'!EC50,IF($A$1="9.4.",'L Tab'!EK50,"")))))</f>
        <v/>
      </c>
      <c r="V3" s="587" t="str">
        <f>IF(Umse!$C$24=0,0,IF($A$1="9.1.",'L Tab'!DN50,IF($A$1="9.2.",'L Tab'!DV50,IF($A$1="9.3.",'L Tab'!ED50,IF($A$1="9.4.",'L Tab'!EL50,"")))))</f>
        <v/>
      </c>
      <c r="W3" s="587" t="str">
        <f>IF(Umse!$C$24=0,0,IF($A$1="9.1.",'L Tab'!DO50,IF($A$1="9.2.",'L Tab'!DW50,IF($A$1="9.3.",'L Tab'!EE50,IF($A$1="9.4.",'L Tab'!EM50,"")))))</f>
        <v/>
      </c>
      <c r="X3" s="588" t="str">
        <f>IF(Umse!$C$24=0,0,IF($A$1="9.1.",'L Tab'!DP50,IF($A$1="9.2.",'L Tab'!DX50,IF($A$1="9.3.",'L Tab'!EF50,IF($A$1="9.4.",'L Tab'!EN50,"")))))</f>
        <v/>
      </c>
      <c r="Y3" s="346"/>
      <c r="Z3" s="368" t="s">
        <v>6</v>
      </c>
      <c r="AA3" s="369" t="s">
        <v>13</v>
      </c>
      <c r="AC3" s="368" t="s">
        <v>6</v>
      </c>
      <c r="AD3" s="369" t="s">
        <v>13</v>
      </c>
      <c r="AF3" s="582" t="s">
        <v>274</v>
      </c>
      <c r="AG3" s="369">
        <v>18</v>
      </c>
    </row>
    <row r="4" spans="1:33">
      <c r="A4" s="336">
        <f>Umse!B24</f>
        <v>39</v>
      </c>
      <c r="B4" s="332" t="str">
        <f t="shared" ref="B4:B21" si="1">K4</f>
        <v/>
      </c>
      <c r="C4" s="367" t="str">
        <f t="shared" ref="C4:C21" si="2">L4</f>
        <v/>
      </c>
      <c r="D4" s="335" t="str">
        <f t="shared" ref="D4:I11" si="3">IF(M4=0,0,IF(M4="-","-",IF(M4="","",FIXED(ROUND(M4/$A$5,2),2))))</f>
        <v/>
      </c>
      <c r="E4" s="335" t="str">
        <f t="shared" si="3"/>
        <v/>
      </c>
      <c r="F4" s="335" t="str">
        <f t="shared" si="3"/>
        <v/>
      </c>
      <c r="G4" s="335" t="str">
        <f t="shared" si="3"/>
        <v/>
      </c>
      <c r="H4" s="335" t="str">
        <f t="shared" si="3"/>
        <v/>
      </c>
      <c r="I4" s="335" t="str">
        <f t="shared" si="3"/>
        <v/>
      </c>
      <c r="J4" s="328" t="str">
        <f>IF(OR(Umse!$C$24=0,$A$1=0),"",IF(OR(Kalk!B4=5,Kalk!B4=9,Kalk!B4=10),"In EG 13Ü sind ",""))</f>
        <v/>
      </c>
      <c r="K4" s="332" t="str">
        <f>IF(Umse!$C$24=0,0,IF(Kalk!$B$5=7,AF4,IF(OR(Kalk!$B$5=5,Kalk!$B$5=9),Z4,IF(Kalk!$B$5=10,AC4,""))))</f>
        <v/>
      </c>
      <c r="L4" s="367" t="str">
        <f>IF(Umse!$C$24=0,0,IF(Kalk!$B$5=7,AG4,IF(OR(Kalk!$B$5=5,Kalk!$B$5=9),AA4,IF(Kalk!$B$5=10,AD4,""))))</f>
        <v/>
      </c>
      <c r="M4" s="335" t="str">
        <f>IF(Umse!$C$24=0,0,IF(OR($A$1="10.1.",$A$1="10.2.",$A$1="10.3."),S36,IF(OR($A$1="9.1.",$A$1="9.2.",$A$1="9.3.",$A$1="9.4."),S4,IF(OR($A$1="5.1.",$A$1="5.2.",$A$1="5.3.",$A$1="5.4.",$A$1="5.5.",$A$1="5.6.",$A$1="5.7.",$A$1="5.8.",$A$1="5.9.",$A$1="5.10.",$A$1="5.11."),'L Tab'!DC3,IF(OR($A$1="5.12.",$A$1="5.13.",$A$1="5.14.",$A$1="5.15.",$A$1="5.16.",$A$1="5.17.",$A$1="5.18.",$A$1="5.19.",$A$1="5.20.",$A$1="5.21.",$A$1="5.22."),'L Tab'!DK3,IF(OR($A$1="5.23.",$A$1="5.24.",$A$1="5.25.",$A$1="5.26.",$A$1="5.27.",$A$1="5.28.",$A$1="5.29.",$A$1="5.30.",$A$1="5.31.",$A$1="5.32.",$A$1="5.33."),'L Tab'!DS3,IF(Kalk!$B$4=7,Z36,"")))))))</f>
        <v/>
      </c>
      <c r="N4" s="335" t="str">
        <f>IF(Umse!$C$24=0,0,IF(OR($A$1="10.1.",$A$1="10.2.",$A$1="10.3."),T36,IF(OR($A$1="9.1.",$A$1="9.2.",$A$1="9.3.",$A$1="9.4."),T4,IF(OR($A$1="5.1.",$A$1="5.2.",$A$1="5.3.",$A$1="5.4.",$A$1="5.5.",$A$1="5.6.",$A$1="5.7.",$A$1="5.8.",$A$1="5.9.",$A$1="5.10.",$A$1="5.11."),'L Tab'!DD3,IF(OR($A$1="5.12.",$A$1="5.13.",$A$1="5.14.",$A$1="5.15.",$A$1="5.16.",$A$1="5.17.",$A$1="5.18.",$A$1="5.19.",$A$1="5.20.",$A$1="5.21.",$A$1="5.22."),'L Tab'!DL3,IF(OR($A$1="5.23.",$A$1="5.24.",$A$1="5.25.",$A$1="5.26.",$A$1="5.27.",$A$1="5.28.",$A$1="5.29.",$A$1="5.30.",$A$1="5.31.",$A$1="5.32.",$A$1="5.33."),'L Tab'!DT3,IF(Kalk!$B$4=7,AA36,"")))))))</f>
        <v/>
      </c>
      <c r="O4" s="335" t="str">
        <f>IF(Umse!$C$24=0,0,IF(OR($A$1="10.1.",$A$1="10.2.",$A$1="10.3."),U36,IF(OR($A$1="9.1.",$A$1="9.2.",$A$1="9.3.",$A$1="9.4."),U4,IF(OR($A$1="5.1.",$A$1="5.2.",$A$1="5.3.",$A$1="5.4.",$A$1="5.5.",$A$1="5.6.",$A$1="5.7.",$A$1="5.8.",$A$1="5.9.",$A$1="5.10.",$A$1="5.11."),'L Tab'!DE3,IF(OR($A$1="5.12.",$A$1="5.13.",$A$1="5.14.",$A$1="5.15.",$A$1="5.16.",$A$1="5.17.",$A$1="5.18.",$A$1="5.19.",$A$1="5.20.",$A$1="5.21.",$A$1="5.22."),'L Tab'!DM3,IF(OR($A$1="5.23.",$A$1="5.24.",$A$1="5.25.",$A$1="5.26.",$A$1="5.27.",$A$1="5.28.",$A$1="5.29.",$A$1="5.30.",$A$1="5.31.",$A$1="5.32.",$A$1="5.33."),'L Tab'!DU3,IF(Kalk!$B$4=7,AB36,"")))))))</f>
        <v/>
      </c>
      <c r="P4" s="335" t="str">
        <f>IF(Umse!$C$24=0,0,IF(OR($A$1="10.1.",$A$1="10.2.",$A$1="10.3."),V36,IF(OR($A$1="9.1.",$A$1="9.2.",$A$1="9.3.",$A$1="9.4."),V4,IF(OR($A$1="5.1.",$A$1="5.2.",$A$1="5.3.",$A$1="5.4.",$A$1="5.5.",$A$1="5.6.",$A$1="5.7.",$A$1="5.8.",$A$1="5.9.",$A$1="5.10.",$A$1="5.11."),'L Tab'!DF3,IF(OR($A$1="5.12.",$A$1="5.13.",$A$1="5.14.",$A$1="5.15.",$A$1="5.16.",$A$1="5.17.",$A$1="5.18.",$A$1="5.19.",$A$1="5.20.",$A$1="5.21.",$A$1="5.22."),'L Tab'!DN3,IF(OR($A$1="5.23.",$A$1="5.24.",$A$1="5.25.",$A$1="5.26.",$A$1="5.27.",$A$1="5.28.",$A$1="5.29.",$A$1="5.30.",$A$1="5.31.",$A$1="5.32.",$A$1="5.33."),'L Tab'!DV3,IF(Kalk!$B$4=7,AC36,"")))))))</f>
        <v/>
      </c>
      <c r="Q4" s="335" t="str">
        <f>IF(Umse!$C$24=0,0,IF(OR($A$1="10.1.",$A$1="10.2.",$A$1="10.3."),W36,IF(OR($A$1="9.1.",$A$1="9.2.",$A$1="9.3.",$A$1="9.4."),W4,IF(OR($A$1="5.1.",$A$1="5.2.",$A$1="5.3.",$A$1="5.4.",$A$1="5.5.",$A$1="5.6.",$A$1="5.7.",$A$1="5.8.",$A$1="5.9.",$A$1="5.10.",$A$1="5.11."),'L Tab'!DG3,IF(OR($A$1="5.12.",$A$1="5.13.",$A$1="5.14.",$A$1="5.15.",$A$1="5.16.",$A$1="5.17.",$A$1="5.18.",$A$1="5.19.",$A$1="5.20.",$A$1="5.21.",$A$1="5.22."),'L Tab'!DO3,IF(OR($A$1="5.23.",$A$1="5.24.",$A$1="5.25.",$A$1="5.26.",$A$1="5.27.",$A$1="5.28.",$A$1="5.29.",$A$1="5.30.",$A$1="5.31.",$A$1="5.32.",$A$1="5.33."),'L Tab'!DW3,IF(Kalk!$B$4=7,AD36,"")))))))</f>
        <v/>
      </c>
      <c r="R4" s="335" t="str">
        <f>IF(Umse!$C$24=0,0,IF(OR($A$1="10.1.",$A$1="10.2.",$A$1="10.3."),X36,IF(OR($A$1="9.1.",$A$1="9.2.",$A$1="9.3.",$A$1="9.4."),X4,IF(OR($A$1="5.1.",$A$1="5.2.",$A$1="5.3.",$A$1="5.4.",$A$1="5.5.",$A$1="5.6.",$A$1="5.7.",$A$1="5.8.",$A$1="5.9.",$A$1="5.10.",$A$1="5.11."),'L Tab'!DH3,IF(OR($A$1="5.12.",$A$1="5.13.",$A$1="5.14.",$A$1="5.15.",$A$1="5.16.",$A$1="5.17.",$A$1="5.18.",$A$1="5.19.",$A$1="5.20.",$A$1="5.21.",$A$1="5.22."),'L Tab'!DP3,IF(OR($A$1="5.23.",$A$1="5.24.",$A$1="5.25.",$A$1="5.26.",$A$1="5.27.",$A$1="5.28.",$A$1="5.29.",$A$1="5.30.",$A$1="5.31.",$A$1="5.32.",$A$1="5.33."),'L Tab'!DX3,IF(Kalk!$B$4=7,AE36,"")))))))</f>
        <v/>
      </c>
      <c r="S4" s="589" t="str">
        <f>IF(Umse!$C$24=0,0,IF($A$1="9.1.",'L Tab'!DK51,IF($A$1="9.2.",'L Tab'!DS51,IF($A$1="9.3.",'L Tab'!EA51,IF($A$1="9.4.",'L Tab'!EI51,"")))))</f>
        <v/>
      </c>
      <c r="T4" s="335" t="str">
        <f>IF(Umse!$C$24=0,0,IF($A$1="9.1.",'L Tab'!DL51,IF($A$1="9.2.",'L Tab'!DT51,IF($A$1="9.3.",'L Tab'!EB51,IF($A$1="9.4.",'L Tab'!EJ51,"")))))</f>
        <v/>
      </c>
      <c r="U4" s="335" t="str">
        <f>IF(Umse!$C$24=0,0,IF($A$1="9.1.",'L Tab'!DM51,IF($A$1="9.2.",'L Tab'!DU51,IF($A$1="9.3.",'L Tab'!EC51,IF($A$1="9.4.",'L Tab'!EK51,"")))))</f>
        <v/>
      </c>
      <c r="V4" s="335" t="str">
        <f>IF(Umse!$C$24=0,0,IF($A$1="9.1.",'L Tab'!DN51,IF($A$1="9.2.",'L Tab'!DV51,IF($A$1="9.3.",'L Tab'!ED51,IF($A$1="9.4.",'L Tab'!EL51,"")))))</f>
        <v/>
      </c>
      <c r="W4" s="335" t="str">
        <f>IF(Umse!$C$24=0,0,IF($A$1="9.1.",'L Tab'!DO51,IF($A$1="9.2.",'L Tab'!DW51,IF($A$1="9.3.",'L Tab'!EE51,IF($A$1="9.4.",'L Tab'!EM51,"")))))</f>
        <v/>
      </c>
      <c r="X4" s="590" t="str">
        <f>IF(Umse!$C$24=0,0,IF($A$1="9.1.",'L Tab'!DP51,IF($A$1="9.2.",'L Tab'!DX51,IF($A$1="9.3.",'L Tab'!EF51,IF($A$1="9.4.",'L Tab'!EN51,"")))))</f>
        <v/>
      </c>
      <c r="Y4" s="346"/>
      <c r="Z4" s="370" t="s">
        <v>6</v>
      </c>
      <c r="AA4" s="371">
        <v>15</v>
      </c>
      <c r="AC4" s="370" t="s">
        <v>6</v>
      </c>
      <c r="AD4" s="371">
        <v>15</v>
      </c>
      <c r="AF4" s="583" t="s">
        <v>274</v>
      </c>
      <c r="AG4" s="371">
        <v>17</v>
      </c>
    </row>
    <row r="5" spans="1:33">
      <c r="A5" s="337">
        <f>Umse!C24</f>
        <v>169.57</v>
      </c>
      <c r="B5" s="332" t="str">
        <f t="shared" si="1"/>
        <v/>
      </c>
      <c r="C5" s="367" t="str">
        <f t="shared" si="2"/>
        <v/>
      </c>
      <c r="D5" s="335" t="str">
        <f t="shared" si="3"/>
        <v/>
      </c>
      <c r="E5" s="335" t="str">
        <f t="shared" si="3"/>
        <v/>
      </c>
      <c r="F5" s="335" t="str">
        <f t="shared" si="3"/>
        <v/>
      </c>
      <c r="G5" s="335" t="str">
        <f t="shared" si="3"/>
        <v/>
      </c>
      <c r="H5" s="335" t="str">
        <f t="shared" si="3"/>
        <v/>
      </c>
      <c r="I5" s="335" t="str">
        <f t="shared" si="3"/>
        <v/>
      </c>
      <c r="J5" s="328" t="str">
        <f>IF(OR(Umse!$C$24=0,$A$1=0),"",IF(OR(Kalk!B4=5,Kalk!B4=9,Kalk!B4=10),"Stufen 2, 3, 4a, 4b",""))</f>
        <v/>
      </c>
      <c r="K5" s="332" t="str">
        <f>IF(Umse!$C$24=0,0,IF(Kalk!$B$5=7,AF5,IF(OR(Kalk!$B$5=5,Kalk!$B$5=9),Z5,IF(Kalk!$B$5=10,AC5,""))))</f>
        <v/>
      </c>
      <c r="L5" s="367" t="str">
        <f>IF(Umse!$C$24=0,0,IF(Kalk!$B$5=7,AG5,IF(OR(Kalk!$B$5=5,Kalk!$B$5=9),AA5,IF(Kalk!$B$5=10,AD5,""))))</f>
        <v/>
      </c>
      <c r="M5" s="335" t="str">
        <f>IF(Umse!$C$24=0,0,IF(OR($A$1="10.1.",$A$1="10.2.",$A$1="10.3."),S37,IF(OR($A$1="9.1.",$A$1="9.2.",$A$1="9.3.",$A$1="9.4."),S5,IF(OR($A$1="5.1.",$A$1="5.2.",$A$1="5.3.",$A$1="5.4.",$A$1="5.5.",$A$1="5.6.",$A$1="5.7.",$A$1="5.8.",$A$1="5.9.",$A$1="5.10.",$A$1="5.11."),'L Tab'!DC4,IF(OR($A$1="5.12.",$A$1="5.13.",$A$1="5.14.",$A$1="5.15.",$A$1="5.16.",$A$1="5.17.",$A$1="5.18.",$A$1="5.19.",$A$1="5.20.",$A$1="5.21.",$A$1="5.22."),'L Tab'!DK4,IF(OR($A$1="5.23.",$A$1="5.24.",$A$1="5.25.",$A$1="5.26.",$A$1="5.27.",$A$1="5.28.",$A$1="5.29.",$A$1="5.30.",$A$1="5.31.",$A$1="5.32.",$A$1="5.33."),'L Tab'!DS4,IF(Kalk!$B$4=7,Z37,"")))))))</f>
        <v/>
      </c>
      <c r="N5" s="335" t="str">
        <f>IF(Umse!$C$24=0,0,IF(OR($A$1="10.1.",$A$1="10.2.",$A$1="10.3."),T37,IF(OR($A$1="9.1.",$A$1="9.2.",$A$1="9.3.",$A$1="9.4."),T5,IF(OR($A$1="5.1.",$A$1="5.2.",$A$1="5.3.",$A$1="5.4.",$A$1="5.5.",$A$1="5.6.",$A$1="5.7.",$A$1="5.8.",$A$1="5.9.",$A$1="5.10.",$A$1="5.11."),'L Tab'!DD4,IF(OR($A$1="5.12.",$A$1="5.13.",$A$1="5.14.",$A$1="5.15.",$A$1="5.16.",$A$1="5.17.",$A$1="5.18.",$A$1="5.19.",$A$1="5.20.",$A$1="5.21.",$A$1="5.22."),'L Tab'!DL4,IF(OR($A$1="5.23.",$A$1="5.24.",$A$1="5.25.",$A$1="5.26.",$A$1="5.27.",$A$1="5.28.",$A$1="5.29.",$A$1="5.30.",$A$1="5.31.",$A$1="5.32.",$A$1="5.33."),'L Tab'!DT4,IF(Kalk!$B$4=7,AA37,"")))))))</f>
        <v/>
      </c>
      <c r="O5" s="335" t="str">
        <f>IF(Umse!$C$24=0,0,IF(OR($A$1="10.1.",$A$1="10.2.",$A$1="10.3."),U37,IF(OR($A$1="9.1.",$A$1="9.2.",$A$1="9.3.",$A$1="9.4."),U5,IF(OR($A$1="5.1.",$A$1="5.2.",$A$1="5.3.",$A$1="5.4.",$A$1="5.5.",$A$1="5.6.",$A$1="5.7.",$A$1="5.8.",$A$1="5.9.",$A$1="5.10.",$A$1="5.11."),'L Tab'!DE4,IF(OR($A$1="5.12.",$A$1="5.13.",$A$1="5.14.",$A$1="5.15.",$A$1="5.16.",$A$1="5.17.",$A$1="5.18.",$A$1="5.19.",$A$1="5.20.",$A$1="5.21.",$A$1="5.22."),'L Tab'!DM4,IF(OR($A$1="5.23.",$A$1="5.24.",$A$1="5.25.",$A$1="5.26.",$A$1="5.27.",$A$1="5.28.",$A$1="5.29.",$A$1="5.30.",$A$1="5.31.",$A$1="5.32.",$A$1="5.33."),'L Tab'!DU4,IF(Kalk!$B$4=7,AB37,"")))))))</f>
        <v/>
      </c>
      <c r="P5" s="335" t="str">
        <f>IF(Umse!$C$24=0,0,IF(OR($A$1="10.1.",$A$1="10.2.",$A$1="10.3."),V37,IF(OR($A$1="9.1.",$A$1="9.2.",$A$1="9.3.",$A$1="9.4."),V5,IF(OR($A$1="5.1.",$A$1="5.2.",$A$1="5.3.",$A$1="5.4.",$A$1="5.5.",$A$1="5.6.",$A$1="5.7.",$A$1="5.8.",$A$1="5.9.",$A$1="5.10.",$A$1="5.11."),'L Tab'!DF4,IF(OR($A$1="5.12.",$A$1="5.13.",$A$1="5.14.",$A$1="5.15.",$A$1="5.16.",$A$1="5.17.",$A$1="5.18.",$A$1="5.19.",$A$1="5.20.",$A$1="5.21.",$A$1="5.22."),'L Tab'!DN4,IF(OR($A$1="5.23.",$A$1="5.24.",$A$1="5.25.",$A$1="5.26.",$A$1="5.27.",$A$1="5.28.",$A$1="5.29.",$A$1="5.30.",$A$1="5.31.",$A$1="5.32.",$A$1="5.33."),'L Tab'!DV4,IF(Kalk!$B$4=7,AC37,"")))))))</f>
        <v/>
      </c>
      <c r="Q5" s="335" t="str">
        <f>IF(Umse!$C$24=0,0,IF(OR($A$1="10.1.",$A$1="10.2.",$A$1="10.3."),W37,IF(OR($A$1="9.1.",$A$1="9.2.",$A$1="9.3.",$A$1="9.4."),W5,IF(OR($A$1="5.1.",$A$1="5.2.",$A$1="5.3.",$A$1="5.4.",$A$1="5.5.",$A$1="5.6.",$A$1="5.7.",$A$1="5.8.",$A$1="5.9.",$A$1="5.10.",$A$1="5.11."),'L Tab'!DG4,IF(OR($A$1="5.12.",$A$1="5.13.",$A$1="5.14.",$A$1="5.15.",$A$1="5.16.",$A$1="5.17.",$A$1="5.18.",$A$1="5.19.",$A$1="5.20.",$A$1="5.21.",$A$1="5.22."),'L Tab'!DO4,IF(OR($A$1="5.23.",$A$1="5.24.",$A$1="5.25.",$A$1="5.26.",$A$1="5.27.",$A$1="5.28.",$A$1="5.29.",$A$1="5.30.",$A$1="5.31.",$A$1="5.32.",$A$1="5.33."),'L Tab'!DW4,IF(Kalk!$B$4=7,AD37,"")))))))</f>
        <v/>
      </c>
      <c r="R5" s="335" t="str">
        <f>IF(Umse!$C$24=0,0,IF(OR($A$1="10.1.",$A$1="10.2.",$A$1="10.3."),X37,IF(OR($A$1="9.1.",$A$1="9.2.",$A$1="9.3.",$A$1="9.4."),X5,IF(OR($A$1="5.1.",$A$1="5.2.",$A$1="5.3.",$A$1="5.4.",$A$1="5.5.",$A$1="5.6.",$A$1="5.7.",$A$1="5.8.",$A$1="5.9.",$A$1="5.10.",$A$1="5.11."),'L Tab'!DH4,IF(OR($A$1="5.12.",$A$1="5.13.",$A$1="5.14.",$A$1="5.15.",$A$1="5.16.",$A$1="5.17.",$A$1="5.18.",$A$1="5.19.",$A$1="5.20.",$A$1="5.21.",$A$1="5.22."),'L Tab'!DP4,IF(OR($A$1="5.23.",$A$1="5.24.",$A$1="5.25.",$A$1="5.26.",$A$1="5.27.",$A$1="5.28.",$A$1="5.29.",$A$1="5.30.",$A$1="5.31.",$A$1="5.32.",$A$1="5.33."),'L Tab'!DX4,IF(Kalk!$B$4=7,AE37,"")))))))</f>
        <v/>
      </c>
      <c r="S5" s="589" t="str">
        <f>IF(Umse!$C$24=0,0,IF($A$1="9.1.",'L Tab'!DK52,IF($A$1="9.2.",'L Tab'!DS52,IF($A$1="9.3.",'L Tab'!EA52,IF($A$1="9.4.",'L Tab'!EI52,"")))))</f>
        <v/>
      </c>
      <c r="T5" s="335" t="str">
        <f>IF(Umse!$C$24=0,0,IF($A$1="9.1.",'L Tab'!DL52,IF($A$1="9.2.",'L Tab'!DT52,IF($A$1="9.3.",'L Tab'!EB52,IF($A$1="9.4.",'L Tab'!EJ52,"")))))</f>
        <v/>
      </c>
      <c r="U5" s="335" t="str">
        <f>IF(Umse!$C$24=0,0,IF($A$1="9.1.",'L Tab'!DM52,IF($A$1="9.2.",'L Tab'!DU52,IF($A$1="9.3.",'L Tab'!EC52,IF($A$1="9.4.",'L Tab'!EK52,"")))))</f>
        <v/>
      </c>
      <c r="V5" s="335" t="str">
        <f>IF(Umse!$C$24=0,0,IF($A$1="9.1.",'L Tab'!DN52,IF($A$1="9.2.",'L Tab'!DV52,IF($A$1="9.3.",'L Tab'!ED52,IF($A$1="9.4.",'L Tab'!EL52,"")))))</f>
        <v/>
      </c>
      <c r="W5" s="335" t="str">
        <f>IF(Umse!$C$24=0,0,IF($A$1="9.1.",'L Tab'!DO52,IF($A$1="9.2.",'L Tab'!DW52,IF($A$1="9.3.",'L Tab'!EE52,IF($A$1="9.4.",'L Tab'!EM52,"")))))</f>
        <v/>
      </c>
      <c r="X5" s="590" t="str">
        <f>IF(Umse!$C$24=0,0,IF($A$1="9.1.",'L Tab'!DP52,IF($A$1="9.2.",'L Tab'!DX52,IF($A$1="9.3.",'L Tab'!EF52,IF($A$1="9.4.",'L Tab'!EN52,"")))))</f>
        <v/>
      </c>
      <c r="Y5" s="346"/>
      <c r="Z5" s="370" t="s">
        <v>6</v>
      </c>
      <c r="AA5" s="371">
        <v>14</v>
      </c>
      <c r="AC5" s="370" t="s">
        <v>6</v>
      </c>
      <c r="AD5" s="371">
        <v>14</v>
      </c>
      <c r="AF5" s="583" t="s">
        <v>274</v>
      </c>
      <c r="AG5" s="371">
        <v>16</v>
      </c>
    </row>
    <row r="6" spans="1:33">
      <c r="A6" s="338"/>
      <c r="B6" s="332" t="str">
        <f t="shared" si="1"/>
        <v/>
      </c>
      <c r="C6" s="367" t="str">
        <f t="shared" si="2"/>
        <v/>
      </c>
      <c r="D6" s="335" t="str">
        <f t="shared" si="3"/>
        <v/>
      </c>
      <c r="E6" s="604" t="str">
        <f>IF(N6=0,0,IF(N6="-","-",IF(N6="","",FIXED(ROUND(N6/$A$5,2),2))))</f>
        <v/>
      </c>
      <c r="F6" s="335" t="str">
        <f t="shared" si="3"/>
        <v/>
      </c>
      <c r="G6" s="335" t="str">
        <f t="shared" si="3"/>
        <v/>
      </c>
      <c r="H6" s="335" t="str">
        <f t="shared" si="3"/>
        <v/>
      </c>
      <c r="I6" s="335" t="str">
        <f t="shared" si="3"/>
        <v/>
      </c>
      <c r="J6" s="328" t="str">
        <f>IF(OR(Umse!$C$24=0,$A$1=0),"",IF(OR(Kalk!B4=5,Kalk!B4=9,Kalk!B4=10),"&lt;    hier in    &gt;",""))</f>
        <v/>
      </c>
      <c r="K6" s="332" t="str">
        <f>IF(Umse!$C$24=0,0,IF(Kalk!$B$5=7,AF6,IF(OR(Kalk!$B$5=5,Kalk!$B$5=9),Z6,IF(Kalk!$B$5=10,AC6,""))))</f>
        <v/>
      </c>
      <c r="L6" s="367" t="str">
        <f>IF(Umse!$C$24=0,0,IF(Kalk!$B$5=7,AG6,IF(OR(Kalk!$B$5=5,Kalk!$B$5=9),AA6,IF(Kalk!$B$5=10,AD6,""))))</f>
        <v/>
      </c>
      <c r="M6" s="335" t="str">
        <f>IF(Umse!$C$24=0,0,IF(OR($A$1="10.1.",$A$1="10.2.",$A$1="10.3."),S38,IF(OR($A$1="9.1.",$A$1="9.2.",$A$1="9.3.",$A$1="9.4."),S6,IF(OR($A$1="5.1.",$A$1="5.2.",$A$1="5.3.",$A$1="5.4.",$A$1="5.5.",$A$1="5.6.",$A$1="5.7.",$A$1="5.8.",$A$1="5.9.",$A$1="5.10.",$A$1="5.11."),'L Tab'!DC5,IF(OR($A$1="5.12.",$A$1="5.13.",$A$1="5.14.",$A$1="5.15.",$A$1="5.16.",$A$1="5.17.",$A$1="5.18.",$A$1="5.19.",$A$1="5.20.",$A$1="5.21.",$A$1="5.22."),'L Tab'!DK5,IF(OR($A$1="5.23.",$A$1="5.24.",$A$1="5.25.",$A$1="5.26.",$A$1="5.27.",$A$1="5.28.",$A$1="5.29.",$A$1="5.30.",$A$1="5.31.",$A$1="5.32.",$A$1="5.33."),'L Tab'!DS5,IF(Kalk!$B$4=7,Z38,"")))))))</f>
        <v/>
      </c>
      <c r="N6" s="335" t="str">
        <f>IF(Umse!$C$24=0,0,IF(OR($A$1="10.1.",$A$1="10.2.",$A$1="10.3."),T38,IF(OR($A$1="9.1.",$A$1="9.2.",$A$1="9.3.",$A$1="9.4."),T6,IF(OR($A$1="5.1.",$A$1="5.2.",$A$1="5.3.",$A$1="5.4.",$A$1="5.5.",$A$1="5.6.",$A$1="5.7.",$A$1="5.8.",$A$1="5.9.",$A$1="5.10.",$A$1="5.11."),'L Tab'!DD5,IF(OR($A$1="5.12.",$A$1="5.13.",$A$1="5.14.",$A$1="5.15.",$A$1="5.16.",$A$1="5.17.",$A$1="5.18.",$A$1="5.19.",$A$1="5.20.",$A$1="5.21.",$A$1="5.22."),'L Tab'!DL5,IF(OR($A$1="5.23.",$A$1="5.24.",$A$1="5.25.",$A$1="5.26.",$A$1="5.27.",$A$1="5.28.",$A$1="5.29.",$A$1="5.30.",$A$1="5.31.",$A$1="5.32.",$A$1="5.33."),'L Tab'!DT5,IF(Kalk!$B$4=7,AA38,"")))))))</f>
        <v/>
      </c>
      <c r="O6" s="335" t="str">
        <f>IF(Umse!$C$24=0,0,IF(OR($A$1="10.1.",$A$1="10.2.",$A$1="10.3."),U38,IF(OR($A$1="9.1.",$A$1="9.2.",$A$1="9.3.",$A$1="9.4."),U6,IF(OR($A$1="5.1.",$A$1="5.2.",$A$1="5.3.",$A$1="5.4.",$A$1="5.5.",$A$1="5.6.",$A$1="5.7.",$A$1="5.8.",$A$1="5.9.",$A$1="5.10.",$A$1="5.11."),'L Tab'!DE5,IF(OR($A$1="5.12.",$A$1="5.13.",$A$1="5.14.",$A$1="5.15.",$A$1="5.16.",$A$1="5.17.",$A$1="5.18.",$A$1="5.19.",$A$1="5.20.",$A$1="5.21.",$A$1="5.22."),'L Tab'!DM5,IF(OR($A$1="5.23.",$A$1="5.24.",$A$1="5.25.",$A$1="5.26.",$A$1="5.27.",$A$1="5.28.",$A$1="5.29.",$A$1="5.30.",$A$1="5.31.",$A$1="5.32.",$A$1="5.33."),'L Tab'!DU5,IF(Kalk!$B$4=7,AB38,"")))))))</f>
        <v/>
      </c>
      <c r="P6" s="335" t="str">
        <f>IF(Umse!$C$24=0,0,IF(OR($A$1="10.1.",$A$1="10.2.",$A$1="10.3."),V38,IF(OR($A$1="9.1.",$A$1="9.2.",$A$1="9.3.",$A$1="9.4."),V6,IF(OR($A$1="5.1.",$A$1="5.2.",$A$1="5.3.",$A$1="5.4.",$A$1="5.5.",$A$1="5.6.",$A$1="5.7.",$A$1="5.8.",$A$1="5.9.",$A$1="5.10.",$A$1="5.11."),'L Tab'!DF5,IF(OR($A$1="5.12.",$A$1="5.13.",$A$1="5.14.",$A$1="5.15.",$A$1="5.16.",$A$1="5.17.",$A$1="5.18.",$A$1="5.19.",$A$1="5.20.",$A$1="5.21.",$A$1="5.22."),'L Tab'!DN5,IF(OR($A$1="5.23.",$A$1="5.24.",$A$1="5.25.",$A$1="5.26.",$A$1="5.27.",$A$1="5.28.",$A$1="5.29.",$A$1="5.30.",$A$1="5.31.",$A$1="5.32.",$A$1="5.33."),'L Tab'!DV5,IF(Kalk!$B$4=7,AC38,"")))))))</f>
        <v/>
      </c>
      <c r="Q6" s="335" t="str">
        <f>IF(Umse!$C$24=0,0,IF(OR($A$1="10.1.",$A$1="10.2.",$A$1="10.3."),W38,IF(OR($A$1="9.1.",$A$1="9.2.",$A$1="9.3.",$A$1="9.4."),W6,IF(OR($A$1="5.1.",$A$1="5.2.",$A$1="5.3.",$A$1="5.4.",$A$1="5.5.",$A$1="5.6.",$A$1="5.7.",$A$1="5.8.",$A$1="5.9.",$A$1="5.10.",$A$1="5.11."),'L Tab'!DG5,IF(OR($A$1="5.12.",$A$1="5.13.",$A$1="5.14.",$A$1="5.15.",$A$1="5.16.",$A$1="5.17.",$A$1="5.18.",$A$1="5.19.",$A$1="5.20.",$A$1="5.21.",$A$1="5.22."),'L Tab'!DO5,IF(OR($A$1="5.23.",$A$1="5.24.",$A$1="5.25.",$A$1="5.26.",$A$1="5.27.",$A$1="5.28.",$A$1="5.29.",$A$1="5.30.",$A$1="5.31.",$A$1="5.32.",$A$1="5.33."),'L Tab'!DW5,IF(Kalk!$B$4=7,AD38,"")))))))</f>
        <v/>
      </c>
      <c r="R6" s="335" t="str">
        <f>IF(Umse!$C$24=0,0,IF(OR($A$1="10.1.",$A$1="10.2.",$A$1="10.3."),X38,IF(OR($A$1="9.1.",$A$1="9.2.",$A$1="9.3.",$A$1="9.4."),X6,IF(OR($A$1="5.1.",$A$1="5.2.",$A$1="5.3.",$A$1="5.4.",$A$1="5.5.",$A$1="5.6.",$A$1="5.7.",$A$1="5.8.",$A$1="5.9.",$A$1="5.10.",$A$1="5.11."),'L Tab'!DH5,IF(OR($A$1="5.12.",$A$1="5.13.",$A$1="5.14.",$A$1="5.15.",$A$1="5.16.",$A$1="5.17.",$A$1="5.18.",$A$1="5.19.",$A$1="5.20.",$A$1="5.21.",$A$1="5.22."),'L Tab'!DP5,IF(OR($A$1="5.23.",$A$1="5.24.",$A$1="5.25.",$A$1="5.26.",$A$1="5.27.",$A$1="5.28.",$A$1="5.29.",$A$1="5.30.",$A$1="5.31.",$A$1="5.32.",$A$1="5.33."),'L Tab'!DX5,IF(Kalk!$B$4=7,AE38,"")))))))</f>
        <v/>
      </c>
      <c r="S6" s="589" t="str">
        <f>IF(Umse!$C$24=0,0,IF($A$1="9.1.",'L Tab'!DK53,IF($A$1="9.2.",'L Tab'!DS53,IF($A$1="9.3.",'L Tab'!EA53,IF($A$1="9.4.",'L Tab'!EI53,"")))))</f>
        <v/>
      </c>
      <c r="T6" s="335" t="str">
        <f>IF(Umse!$C$24=0,0,IF($A$1="9.1.",'L Tab'!DL53,IF($A$1="9.2.",'L Tab'!DT53,IF($A$1="9.3.",'L Tab'!EB53,IF($A$1="9.4.",'L Tab'!EJ53,"")))))</f>
        <v/>
      </c>
      <c r="U6" s="335" t="str">
        <f>IF(Umse!$C$24=0,0,IF($A$1="9.1.",'L Tab'!DM53,IF($A$1="9.2.",'L Tab'!DU53,IF($A$1="9.3.",'L Tab'!EC53,IF($A$1="9.4.",'L Tab'!EK53,"")))))</f>
        <v/>
      </c>
      <c r="V6" s="335" t="str">
        <f>IF(Umse!$C$24=0,0,IF($A$1="9.1.",'L Tab'!DN53,IF($A$1="9.2.",'L Tab'!DV53,IF($A$1="9.3.",'L Tab'!ED53,IF($A$1="9.4.",'L Tab'!EL53,"")))))</f>
        <v/>
      </c>
      <c r="W6" s="335" t="str">
        <f>IF(Umse!$C$24=0,0,IF($A$1="9.1.",'L Tab'!DO53,IF($A$1="9.2.",'L Tab'!DW53,IF($A$1="9.3.",'L Tab'!EE53,IF($A$1="9.4.",'L Tab'!EM53,"")))))</f>
        <v/>
      </c>
      <c r="X6" s="590" t="str">
        <f>IF(Umse!$C$24=0,0,IF($A$1="9.1.",'L Tab'!DP53,IF($A$1="9.2.",'L Tab'!DX53,IF($A$1="9.3.",'L Tab'!EF53,IF($A$1="9.4.",'L Tab'!EN53,"")))))</f>
        <v/>
      </c>
      <c r="Y6" s="346"/>
      <c r="Z6" s="370" t="s">
        <v>6</v>
      </c>
      <c r="AA6" s="371" t="s">
        <v>16</v>
      </c>
      <c r="AC6" s="370" t="s">
        <v>6</v>
      </c>
      <c r="AD6" s="371" t="s">
        <v>16</v>
      </c>
      <c r="AF6" s="583" t="s">
        <v>274</v>
      </c>
      <c r="AG6" s="371">
        <v>15</v>
      </c>
    </row>
    <row r="7" spans="1:33">
      <c r="A7" s="338"/>
      <c r="B7" s="332" t="str">
        <f t="shared" si="1"/>
        <v/>
      </c>
      <c r="C7" s="367" t="str">
        <f t="shared" si="2"/>
        <v/>
      </c>
      <c r="D7" s="335" t="str">
        <f t="shared" si="3"/>
        <v/>
      </c>
      <c r="E7" s="335" t="str">
        <f t="shared" si="3"/>
        <v/>
      </c>
      <c r="F7" s="335" t="str">
        <f t="shared" si="3"/>
        <v/>
      </c>
      <c r="G7" s="335" t="str">
        <f t="shared" si="3"/>
        <v/>
      </c>
      <c r="H7" s="335" t="str">
        <f t="shared" si="3"/>
        <v/>
      </c>
      <c r="I7" s="335" t="str">
        <f t="shared" si="3"/>
        <v/>
      </c>
      <c r="J7" s="328" t="str">
        <f>IF(OR(Umse!$C$24=0,$A$1=0),"",IF(OR(Kalk!B4=5,Kalk!B4=9,Kalk!B4=10),"Stufen 1, 2, 3, 4",""))</f>
        <v/>
      </c>
      <c r="K7" s="332" t="str">
        <f>IF(Umse!$C$24=0,0,IF(Kalk!$B$5=7,AF7,IF(OR(Kalk!$B$5=5,Kalk!$B$5=9),Z7,IF(Kalk!$B$5=10,AC7,""))))</f>
        <v/>
      </c>
      <c r="L7" s="367" t="str">
        <f>IF(Umse!$C$24=0,0,IF(Kalk!$B$5=7,AG7,IF(OR(Kalk!$B$5=5,Kalk!$B$5=9),AA7,IF(Kalk!$B$5=10,AD7,""))))</f>
        <v/>
      </c>
      <c r="M7" s="335" t="str">
        <f>IF(Umse!$C$24=0,0,IF(OR($A$1="10.1.",$A$1="10.2.",$A$1="10.3."),S39,IF(OR($A$1="9.1.",$A$1="9.2.",$A$1="9.3.",$A$1="9.4."),S7,IF(OR($A$1="5.1.",$A$1="5.2.",$A$1="5.3.",$A$1="5.4.",$A$1="5.5.",$A$1="5.6.",$A$1="5.7.",$A$1="5.8.",$A$1="5.9.",$A$1="5.10.",$A$1="5.11."),'L Tab'!DC6,IF(OR($A$1="5.12.",$A$1="5.13.",$A$1="5.14.",$A$1="5.15.",$A$1="5.16.",$A$1="5.17.",$A$1="5.18.",$A$1="5.19.",$A$1="5.20.",$A$1="5.21.",$A$1="5.22."),'L Tab'!DK6,IF(OR($A$1="5.23.",$A$1="5.24.",$A$1="5.25.",$A$1="5.26.",$A$1="5.27.",$A$1="5.28.",$A$1="5.29.",$A$1="5.30.",$A$1="5.31.",$A$1="5.32.",$A$1="5.33."),'L Tab'!DS6,IF(Kalk!$B$4=7,Z39,"")))))))</f>
        <v/>
      </c>
      <c r="N7" s="335" t="str">
        <f>IF(Umse!$C$24=0,0,IF(OR($A$1="10.1.",$A$1="10.2.",$A$1="10.3."),T39,IF(OR($A$1="9.1.",$A$1="9.2.",$A$1="9.3.",$A$1="9.4."),T7,IF(OR($A$1="5.1.",$A$1="5.2.",$A$1="5.3.",$A$1="5.4.",$A$1="5.5.",$A$1="5.6.",$A$1="5.7.",$A$1="5.8.",$A$1="5.9.",$A$1="5.10.",$A$1="5.11."),'L Tab'!DD6,IF(OR($A$1="5.12.",$A$1="5.13.",$A$1="5.14.",$A$1="5.15.",$A$1="5.16.",$A$1="5.17.",$A$1="5.18.",$A$1="5.19.",$A$1="5.20.",$A$1="5.21.",$A$1="5.22."),'L Tab'!DL6,IF(OR($A$1="5.23.",$A$1="5.24.",$A$1="5.25.",$A$1="5.26.",$A$1="5.27.",$A$1="5.28.",$A$1="5.29.",$A$1="5.30.",$A$1="5.31.",$A$1="5.32.",$A$1="5.33."),'L Tab'!DT6,IF(Kalk!$B$4=7,AA39,"")))))))</f>
        <v/>
      </c>
      <c r="O7" s="335" t="str">
        <f>IF(Umse!$C$24=0,0,IF(OR($A$1="10.1.",$A$1="10.2.",$A$1="10.3."),U39,IF(OR($A$1="9.1.",$A$1="9.2.",$A$1="9.3.",$A$1="9.4."),U7,IF(OR($A$1="5.1.",$A$1="5.2.",$A$1="5.3.",$A$1="5.4.",$A$1="5.5.",$A$1="5.6.",$A$1="5.7.",$A$1="5.8.",$A$1="5.9.",$A$1="5.10.",$A$1="5.11."),'L Tab'!DE6,IF(OR($A$1="5.12.",$A$1="5.13.",$A$1="5.14.",$A$1="5.15.",$A$1="5.16.",$A$1="5.17.",$A$1="5.18.",$A$1="5.19.",$A$1="5.20.",$A$1="5.21.",$A$1="5.22."),'L Tab'!DM6,IF(OR($A$1="5.23.",$A$1="5.24.",$A$1="5.25.",$A$1="5.26.",$A$1="5.27.",$A$1="5.28.",$A$1="5.29.",$A$1="5.30.",$A$1="5.31.",$A$1="5.32.",$A$1="5.33."),'L Tab'!DU6,IF(Kalk!$B$4=7,AB39,"")))))))</f>
        <v/>
      </c>
      <c r="P7" s="335" t="str">
        <f>IF(Umse!$C$24=0,0,IF(OR($A$1="10.1.",$A$1="10.2.",$A$1="10.3."),V39,IF(OR($A$1="9.1.",$A$1="9.2.",$A$1="9.3.",$A$1="9.4."),V7,IF(OR($A$1="5.1.",$A$1="5.2.",$A$1="5.3.",$A$1="5.4.",$A$1="5.5.",$A$1="5.6.",$A$1="5.7.",$A$1="5.8.",$A$1="5.9.",$A$1="5.10.",$A$1="5.11."),'L Tab'!DF6,IF(OR($A$1="5.12.",$A$1="5.13.",$A$1="5.14.",$A$1="5.15.",$A$1="5.16.",$A$1="5.17.",$A$1="5.18.",$A$1="5.19.",$A$1="5.20.",$A$1="5.21.",$A$1="5.22."),'L Tab'!DN6,IF(OR($A$1="5.23.",$A$1="5.24.",$A$1="5.25.",$A$1="5.26.",$A$1="5.27.",$A$1="5.28.",$A$1="5.29.",$A$1="5.30.",$A$1="5.31.",$A$1="5.32.",$A$1="5.33."),'L Tab'!DV6,IF(Kalk!$B$4=7,AC39,"")))))))</f>
        <v/>
      </c>
      <c r="Q7" s="335" t="str">
        <f>IF(Umse!$C$24=0,0,IF(OR($A$1="10.1.",$A$1="10.2.",$A$1="10.3."),W39,IF(OR($A$1="9.1.",$A$1="9.2.",$A$1="9.3.",$A$1="9.4."),W7,IF(OR($A$1="5.1.",$A$1="5.2.",$A$1="5.3.",$A$1="5.4.",$A$1="5.5.",$A$1="5.6.",$A$1="5.7.",$A$1="5.8.",$A$1="5.9.",$A$1="5.10.",$A$1="5.11."),'L Tab'!DG6,IF(OR($A$1="5.12.",$A$1="5.13.",$A$1="5.14.",$A$1="5.15.",$A$1="5.16.",$A$1="5.17.",$A$1="5.18.",$A$1="5.19.",$A$1="5.20.",$A$1="5.21.",$A$1="5.22."),'L Tab'!DO6,IF(OR($A$1="5.23.",$A$1="5.24.",$A$1="5.25.",$A$1="5.26.",$A$1="5.27.",$A$1="5.28.",$A$1="5.29.",$A$1="5.30.",$A$1="5.31.",$A$1="5.32.",$A$1="5.33."),'L Tab'!DW6,IF(Kalk!$B$4=7,AD39,"")))))))</f>
        <v/>
      </c>
      <c r="R7" s="335" t="str">
        <f>IF(Umse!$C$24=0,0,IF(OR($A$1="10.1.",$A$1="10.2.",$A$1="10.3."),X39,IF(OR($A$1="9.1.",$A$1="9.2.",$A$1="9.3.",$A$1="9.4."),X7,IF(OR($A$1="5.1.",$A$1="5.2.",$A$1="5.3.",$A$1="5.4.",$A$1="5.5.",$A$1="5.6.",$A$1="5.7.",$A$1="5.8.",$A$1="5.9.",$A$1="5.10.",$A$1="5.11."),'L Tab'!DH6,IF(OR($A$1="5.12.",$A$1="5.13.",$A$1="5.14.",$A$1="5.15.",$A$1="5.16.",$A$1="5.17.",$A$1="5.18.",$A$1="5.19.",$A$1="5.20.",$A$1="5.21.",$A$1="5.22."),'L Tab'!DP6,IF(OR($A$1="5.23.",$A$1="5.24.",$A$1="5.25.",$A$1="5.26.",$A$1="5.27.",$A$1="5.28.",$A$1="5.29.",$A$1="5.30.",$A$1="5.31.",$A$1="5.32.",$A$1="5.33."),'L Tab'!DX6,IF(Kalk!$B$4=7,AE39,"")))))))</f>
        <v/>
      </c>
      <c r="S7" s="589" t="str">
        <f>IF(Umse!$C$24=0,0,IF($A$1="9.1.",'L Tab'!DK54,IF($A$1="9.2.",'L Tab'!DS54,IF($A$1="9.3.",'L Tab'!EA54,IF($A$1="9.4.",'L Tab'!EI54,"")))))</f>
        <v/>
      </c>
      <c r="T7" s="335" t="str">
        <f>IF(Umse!$C$24=0,0,IF($A$1="9.1.",'L Tab'!DL54,IF($A$1="9.2.",'L Tab'!DT54,IF($A$1="9.3.",'L Tab'!EB54,IF($A$1="9.4.",'L Tab'!EJ54,"")))))</f>
        <v/>
      </c>
      <c r="U7" s="335" t="str">
        <f>IF(Umse!$C$24=0,0,IF($A$1="9.1.",'L Tab'!DM54,IF($A$1="9.2.",'L Tab'!DU54,IF($A$1="9.3.",'L Tab'!EC54,IF($A$1="9.4.",'L Tab'!EK54,"")))))</f>
        <v/>
      </c>
      <c r="V7" s="335" t="str">
        <f>IF(Umse!$C$24=0,0,IF($A$1="9.1.",'L Tab'!DN54,IF($A$1="9.2.",'L Tab'!DV54,IF($A$1="9.3.",'L Tab'!ED54,IF($A$1="9.4.",'L Tab'!EL54,"")))))</f>
        <v/>
      </c>
      <c r="W7" s="335" t="str">
        <f>IF(Umse!$C$24=0,0,IF($A$1="9.1.",'L Tab'!DO54,IF($A$1="9.2.",'L Tab'!DW54,IF($A$1="9.3.",'L Tab'!EE54,IF($A$1="9.4.",'L Tab'!EM54,"")))))</f>
        <v/>
      </c>
      <c r="X7" s="590" t="str">
        <f>IF(Umse!$C$24=0,0,IF($A$1="9.1.",'L Tab'!DP54,IF($A$1="9.2.",'L Tab'!DX54,IF($A$1="9.3.",'L Tab'!EF54,IF($A$1="9.4.",'L Tab'!EN54,"")))))</f>
        <v/>
      </c>
      <c r="Y7" s="346"/>
      <c r="Z7" s="370" t="s">
        <v>6</v>
      </c>
      <c r="AA7" s="371">
        <v>13</v>
      </c>
      <c r="AC7" s="370" t="s">
        <v>6</v>
      </c>
      <c r="AD7" s="371">
        <v>13</v>
      </c>
      <c r="AF7" s="583" t="s">
        <v>274</v>
      </c>
      <c r="AG7" s="371">
        <v>14</v>
      </c>
    </row>
    <row r="8" spans="1:33">
      <c r="A8" s="338"/>
      <c r="B8" s="332" t="str">
        <f t="shared" si="1"/>
        <v/>
      </c>
      <c r="C8" s="367" t="str">
        <f t="shared" si="2"/>
        <v/>
      </c>
      <c r="D8" s="335" t="str">
        <f t="shared" si="3"/>
        <v/>
      </c>
      <c r="E8" s="335" t="str">
        <f t="shared" si="3"/>
        <v/>
      </c>
      <c r="F8" s="335" t="str">
        <f t="shared" si="3"/>
        <v/>
      </c>
      <c r="G8" s="335" t="str">
        <f t="shared" si="3"/>
        <v/>
      </c>
      <c r="H8" s="335" t="str">
        <f t="shared" si="3"/>
        <v/>
      </c>
      <c r="I8" s="335" t="str">
        <f t="shared" si="3"/>
        <v/>
      </c>
      <c r="J8" s="328" t="str">
        <f>IF(OR(Umse!$C$24=0,$A$1=0),"",IF(OR(Kalk!B4=5,Kalk!B4=9,Kalk!B4=10),"abgebildet",""))</f>
        <v/>
      </c>
      <c r="K8" s="332" t="str">
        <f>IF(Umse!$C$24=0,0,IF(Kalk!$B$5=7,AF8,IF(OR(Kalk!$B$5=5,Kalk!$B$5=9),Z8,IF(Kalk!$B$5=10,AC8,""))))</f>
        <v/>
      </c>
      <c r="L8" s="367" t="str">
        <f>IF(Umse!$C$24=0,0,IF(Kalk!$B$5=7,AG8,IF(OR(Kalk!$B$5=5,Kalk!$B$5=9),AA8,IF(Kalk!$B$5=10,AD8,""))))</f>
        <v/>
      </c>
      <c r="M8" s="335" t="str">
        <f>IF(Umse!$C$24=0,0,IF(OR($A$1="10.1.",$A$1="10.2.",$A$1="10.3."),S40,IF(OR($A$1="9.1.",$A$1="9.2.",$A$1="9.3.",$A$1="9.4."),S8,IF(OR($A$1="5.1.",$A$1="5.2.",$A$1="5.3.",$A$1="5.4.",$A$1="5.5.",$A$1="5.6.",$A$1="5.7.",$A$1="5.8.",$A$1="5.9.",$A$1="5.10.",$A$1="5.11."),'L Tab'!DC7,IF(OR($A$1="5.12.",$A$1="5.13.",$A$1="5.14.",$A$1="5.15.",$A$1="5.16.",$A$1="5.17.",$A$1="5.18.",$A$1="5.19.",$A$1="5.20.",$A$1="5.21.",$A$1="5.22."),'L Tab'!DK7,IF(OR($A$1="5.23.",$A$1="5.24.",$A$1="5.25.",$A$1="5.26.",$A$1="5.27.",$A$1="5.28.",$A$1="5.29.",$A$1="5.30.",$A$1="5.31.",$A$1="5.32.",$A$1="5.33."),'L Tab'!DS7,IF(Kalk!$B$4=7,Z40,"")))))))</f>
        <v/>
      </c>
      <c r="N8" s="335" t="str">
        <f>IF(Umse!$C$24=0,0,IF(OR($A$1="10.1.",$A$1="10.2.",$A$1="10.3."),T40,IF(OR($A$1="9.1.",$A$1="9.2.",$A$1="9.3.",$A$1="9.4."),T8,IF(OR($A$1="5.1.",$A$1="5.2.",$A$1="5.3.",$A$1="5.4.",$A$1="5.5.",$A$1="5.6.",$A$1="5.7.",$A$1="5.8.",$A$1="5.9.",$A$1="5.10.",$A$1="5.11."),'L Tab'!DD7,IF(OR($A$1="5.12.",$A$1="5.13.",$A$1="5.14.",$A$1="5.15.",$A$1="5.16.",$A$1="5.17.",$A$1="5.18.",$A$1="5.19.",$A$1="5.20.",$A$1="5.21.",$A$1="5.22."),'L Tab'!DL7,IF(OR($A$1="5.23.",$A$1="5.24.",$A$1="5.25.",$A$1="5.26.",$A$1="5.27.",$A$1="5.28.",$A$1="5.29.",$A$1="5.30.",$A$1="5.31.",$A$1="5.32.",$A$1="5.33."),'L Tab'!DT7,IF(Kalk!$B$4=7,AA40,"")))))))</f>
        <v/>
      </c>
      <c r="O8" s="335" t="str">
        <f>IF(Umse!$C$24=0,0,IF(OR($A$1="10.1.",$A$1="10.2.",$A$1="10.3."),U40,IF(OR($A$1="9.1.",$A$1="9.2.",$A$1="9.3.",$A$1="9.4."),U8,IF(OR($A$1="5.1.",$A$1="5.2.",$A$1="5.3.",$A$1="5.4.",$A$1="5.5.",$A$1="5.6.",$A$1="5.7.",$A$1="5.8.",$A$1="5.9.",$A$1="5.10.",$A$1="5.11."),'L Tab'!DE7,IF(OR($A$1="5.12.",$A$1="5.13.",$A$1="5.14.",$A$1="5.15.",$A$1="5.16.",$A$1="5.17.",$A$1="5.18.",$A$1="5.19.",$A$1="5.20.",$A$1="5.21.",$A$1="5.22."),'L Tab'!DM7,IF(OR($A$1="5.23.",$A$1="5.24.",$A$1="5.25.",$A$1="5.26.",$A$1="5.27.",$A$1="5.28.",$A$1="5.29.",$A$1="5.30.",$A$1="5.31.",$A$1="5.32.",$A$1="5.33."),'L Tab'!DU7,IF(Kalk!$B$4=7,AB40,"")))))))</f>
        <v/>
      </c>
      <c r="P8" s="335" t="str">
        <f>IF(Umse!$C$24=0,0,IF(OR($A$1="10.1.",$A$1="10.2.",$A$1="10.3."),V40,IF(OR($A$1="9.1.",$A$1="9.2.",$A$1="9.3.",$A$1="9.4."),V8,IF(OR($A$1="5.1.",$A$1="5.2.",$A$1="5.3.",$A$1="5.4.",$A$1="5.5.",$A$1="5.6.",$A$1="5.7.",$A$1="5.8.",$A$1="5.9.",$A$1="5.10.",$A$1="5.11."),'L Tab'!DF7,IF(OR($A$1="5.12.",$A$1="5.13.",$A$1="5.14.",$A$1="5.15.",$A$1="5.16.",$A$1="5.17.",$A$1="5.18.",$A$1="5.19.",$A$1="5.20.",$A$1="5.21.",$A$1="5.22."),'L Tab'!DN7,IF(OR($A$1="5.23.",$A$1="5.24.",$A$1="5.25.",$A$1="5.26.",$A$1="5.27.",$A$1="5.28.",$A$1="5.29.",$A$1="5.30.",$A$1="5.31.",$A$1="5.32.",$A$1="5.33."),'L Tab'!DV7,IF(Kalk!$B$4=7,AC40,"")))))))</f>
        <v/>
      </c>
      <c r="Q8" s="335" t="str">
        <f>IF(Umse!$C$24=0,0,IF(OR($A$1="10.1.",$A$1="10.2.",$A$1="10.3."),W40,IF(OR($A$1="9.1.",$A$1="9.2.",$A$1="9.3.",$A$1="9.4."),W8,IF(OR($A$1="5.1.",$A$1="5.2.",$A$1="5.3.",$A$1="5.4.",$A$1="5.5.",$A$1="5.6.",$A$1="5.7.",$A$1="5.8.",$A$1="5.9.",$A$1="5.10.",$A$1="5.11."),'L Tab'!DG7,IF(OR($A$1="5.12.",$A$1="5.13.",$A$1="5.14.",$A$1="5.15.",$A$1="5.16.",$A$1="5.17.",$A$1="5.18.",$A$1="5.19.",$A$1="5.20.",$A$1="5.21.",$A$1="5.22."),'L Tab'!DO7,IF(OR($A$1="5.23.",$A$1="5.24.",$A$1="5.25.",$A$1="5.26.",$A$1="5.27.",$A$1="5.28.",$A$1="5.29.",$A$1="5.30.",$A$1="5.31.",$A$1="5.32.",$A$1="5.33."),'L Tab'!DW7,IF(Kalk!$B$4=7,AD40,"")))))))</f>
        <v/>
      </c>
      <c r="R8" s="335" t="str">
        <f>IF(Umse!$C$24=0,0,IF(OR($A$1="10.1.",$A$1="10.2.",$A$1="10.3."),X40,IF(OR($A$1="9.1.",$A$1="9.2.",$A$1="9.3.",$A$1="9.4."),X8,IF(OR($A$1="5.1.",$A$1="5.2.",$A$1="5.3.",$A$1="5.4.",$A$1="5.5.",$A$1="5.6.",$A$1="5.7.",$A$1="5.8.",$A$1="5.9.",$A$1="5.10.",$A$1="5.11."),'L Tab'!DH7,IF(OR($A$1="5.12.",$A$1="5.13.",$A$1="5.14.",$A$1="5.15.",$A$1="5.16.",$A$1="5.17.",$A$1="5.18.",$A$1="5.19.",$A$1="5.20.",$A$1="5.21.",$A$1="5.22."),'L Tab'!DP7,IF(OR($A$1="5.23.",$A$1="5.24.",$A$1="5.25.",$A$1="5.26.",$A$1="5.27.",$A$1="5.28.",$A$1="5.29.",$A$1="5.30.",$A$1="5.31.",$A$1="5.32.",$A$1="5.33."),'L Tab'!DX7,IF(Kalk!$B$4=7,AE40,"")))))))</f>
        <v/>
      </c>
      <c r="S8" s="589" t="str">
        <f>IF(Umse!$C$24=0,0,IF($A$1="9.1.",'L Tab'!DK55,IF($A$1="9.2.",'L Tab'!DS55,IF($A$1="9.3.",'L Tab'!EA55,IF($A$1="9.4.",'L Tab'!EI55,"")))))</f>
        <v/>
      </c>
      <c r="T8" s="335" t="str">
        <f>IF(Umse!$C$24=0,0,IF($A$1="9.1.",'L Tab'!DL55,IF($A$1="9.2.",'L Tab'!DT55,IF($A$1="9.3.",'L Tab'!EB55,IF($A$1="9.4.",'L Tab'!EJ55,"")))))</f>
        <v/>
      </c>
      <c r="U8" s="335" t="str">
        <f>IF(Umse!$C$24=0,0,IF($A$1="9.1.",'L Tab'!DM55,IF($A$1="9.2.",'L Tab'!DU55,IF($A$1="9.3.",'L Tab'!EC55,IF($A$1="9.4.",'L Tab'!EK55,"")))))</f>
        <v/>
      </c>
      <c r="V8" s="335" t="str">
        <f>IF(Umse!$C$24=0,0,IF($A$1="9.1.",'L Tab'!DN55,IF($A$1="9.2.",'L Tab'!DV55,IF($A$1="9.3.",'L Tab'!ED55,IF($A$1="9.4.",'L Tab'!EL55,"")))))</f>
        <v/>
      </c>
      <c r="W8" s="335" t="str">
        <f>IF(Umse!$C$24=0,0,IF($A$1="9.1.",'L Tab'!DO55,IF($A$1="9.2.",'L Tab'!DW55,IF($A$1="9.3.",'L Tab'!EE55,IF($A$1="9.4.",'L Tab'!EM55,"")))))</f>
        <v/>
      </c>
      <c r="X8" s="590" t="str">
        <f>IF(Umse!$C$24=0,0,IF($A$1="9.1.",'L Tab'!DP55,IF($A$1="9.2.",'L Tab'!DX55,IF($A$1="9.3.",'L Tab'!EF55,IF($A$1="9.4.",'L Tab'!EN55,"")))))</f>
        <v/>
      </c>
      <c r="Y8" s="346"/>
      <c r="Z8" s="370" t="s">
        <v>6</v>
      </c>
      <c r="AA8" s="371">
        <v>12</v>
      </c>
      <c r="AC8" s="370" t="s">
        <v>6</v>
      </c>
      <c r="AD8" s="371">
        <v>12</v>
      </c>
      <c r="AF8" s="583" t="s">
        <v>274</v>
      </c>
      <c r="AG8" s="371">
        <v>13</v>
      </c>
    </row>
    <row r="9" spans="1:33">
      <c r="A9" s="338"/>
      <c r="B9" s="332" t="str">
        <f t="shared" si="1"/>
        <v/>
      </c>
      <c r="C9" s="367" t="str">
        <f t="shared" si="2"/>
        <v/>
      </c>
      <c r="D9" s="335" t="str">
        <f t="shared" si="3"/>
        <v/>
      </c>
      <c r="E9" s="335" t="str">
        <f t="shared" si="3"/>
        <v/>
      </c>
      <c r="F9" s="335" t="str">
        <f t="shared" si="3"/>
        <v/>
      </c>
      <c r="G9" s="335" t="str">
        <f t="shared" si="3"/>
        <v/>
      </c>
      <c r="H9" s="335" t="str">
        <f t="shared" si="3"/>
        <v/>
      </c>
      <c r="I9" s="335" t="str">
        <f t="shared" si="3"/>
        <v/>
      </c>
      <c r="J9" s="333" t="str">
        <f>""</f>
        <v/>
      </c>
      <c r="K9" s="332" t="str">
        <f>IF(Umse!$C$24=0,0,IF(Kalk!$B$5=7,AF9,IF(OR(Kalk!$B$5=5,Kalk!$B$5=9),Z9,IF(Kalk!$B$5=10,AC9,""))))</f>
        <v/>
      </c>
      <c r="L9" s="367" t="str">
        <f>IF(Umse!$C$24=0,0,IF(Kalk!$B$5=7,AG9,IF(OR(Kalk!$B$5=5,Kalk!$B$5=9),AA9,IF(Kalk!$B$5=10,AD9,""))))</f>
        <v/>
      </c>
      <c r="M9" s="335" t="str">
        <f>IF(Umse!$C$24=0,0,IF(OR($A$1="10.1.",$A$1="10.2.",$A$1="10.3."),S41,IF(OR($A$1="9.1.",$A$1="9.2.",$A$1="9.3.",$A$1="9.4."),S9,IF(OR($A$1="5.1.",$A$1="5.2.",$A$1="5.3.",$A$1="5.4.",$A$1="5.5.",$A$1="5.6.",$A$1="5.7.",$A$1="5.8.",$A$1="5.9.",$A$1="5.10.",$A$1="5.11."),'L Tab'!DC8,IF(OR($A$1="5.12.",$A$1="5.13.",$A$1="5.14.",$A$1="5.15.",$A$1="5.16.",$A$1="5.17.",$A$1="5.18.",$A$1="5.19.",$A$1="5.20.",$A$1="5.21.",$A$1="5.22."),'L Tab'!DK8,IF(OR($A$1="5.23.",$A$1="5.24.",$A$1="5.25.",$A$1="5.26.",$A$1="5.27.",$A$1="5.28.",$A$1="5.29.",$A$1="5.30.",$A$1="5.31.",$A$1="5.32.",$A$1="5.33."),'L Tab'!DS8,IF(Kalk!$B$4=7,Z41,"")))))))</f>
        <v/>
      </c>
      <c r="N9" s="335" t="str">
        <f>IF(Umse!$C$24=0,0,IF(OR($A$1="10.1.",$A$1="10.2.",$A$1="10.3."),T41,IF(OR($A$1="9.1.",$A$1="9.2.",$A$1="9.3.",$A$1="9.4."),T9,IF(OR($A$1="5.1.",$A$1="5.2.",$A$1="5.3.",$A$1="5.4.",$A$1="5.5.",$A$1="5.6.",$A$1="5.7.",$A$1="5.8.",$A$1="5.9.",$A$1="5.10.",$A$1="5.11."),'L Tab'!DD8,IF(OR($A$1="5.12.",$A$1="5.13.",$A$1="5.14.",$A$1="5.15.",$A$1="5.16.",$A$1="5.17.",$A$1="5.18.",$A$1="5.19.",$A$1="5.20.",$A$1="5.21.",$A$1="5.22."),'L Tab'!DL8,IF(OR($A$1="5.23.",$A$1="5.24.",$A$1="5.25.",$A$1="5.26.",$A$1="5.27.",$A$1="5.28.",$A$1="5.29.",$A$1="5.30.",$A$1="5.31.",$A$1="5.32.",$A$1="5.33."),'L Tab'!DT8,IF(Kalk!$B$4=7,AA41,"")))))))</f>
        <v/>
      </c>
      <c r="O9" s="335" t="str">
        <f>IF(Umse!$C$24=0,0,IF(OR($A$1="10.1.",$A$1="10.2.",$A$1="10.3."),U41,IF(OR($A$1="9.1.",$A$1="9.2.",$A$1="9.3.",$A$1="9.4."),U9,IF(OR($A$1="5.1.",$A$1="5.2.",$A$1="5.3.",$A$1="5.4.",$A$1="5.5.",$A$1="5.6.",$A$1="5.7.",$A$1="5.8.",$A$1="5.9.",$A$1="5.10.",$A$1="5.11."),'L Tab'!DE8,IF(OR($A$1="5.12.",$A$1="5.13.",$A$1="5.14.",$A$1="5.15.",$A$1="5.16.",$A$1="5.17.",$A$1="5.18.",$A$1="5.19.",$A$1="5.20.",$A$1="5.21.",$A$1="5.22."),'L Tab'!DM8,IF(OR($A$1="5.23.",$A$1="5.24.",$A$1="5.25.",$A$1="5.26.",$A$1="5.27.",$A$1="5.28.",$A$1="5.29.",$A$1="5.30.",$A$1="5.31.",$A$1="5.32.",$A$1="5.33."),'L Tab'!DU8,IF(Kalk!$B$4=7,AB41,"")))))))</f>
        <v/>
      </c>
      <c r="P9" s="335" t="str">
        <f>IF(Umse!$C$24=0,0,IF(OR($A$1="10.1.",$A$1="10.2.",$A$1="10.3."),V41,IF(OR($A$1="9.1.",$A$1="9.2.",$A$1="9.3.",$A$1="9.4."),V9,IF(OR($A$1="5.1.",$A$1="5.2.",$A$1="5.3.",$A$1="5.4.",$A$1="5.5.",$A$1="5.6.",$A$1="5.7.",$A$1="5.8.",$A$1="5.9.",$A$1="5.10.",$A$1="5.11."),'L Tab'!DF8,IF(OR($A$1="5.12.",$A$1="5.13.",$A$1="5.14.",$A$1="5.15.",$A$1="5.16.",$A$1="5.17.",$A$1="5.18.",$A$1="5.19.",$A$1="5.20.",$A$1="5.21.",$A$1="5.22."),'L Tab'!DN8,IF(OR($A$1="5.23.",$A$1="5.24.",$A$1="5.25.",$A$1="5.26.",$A$1="5.27.",$A$1="5.28.",$A$1="5.29.",$A$1="5.30.",$A$1="5.31.",$A$1="5.32.",$A$1="5.33."),'L Tab'!DV8,IF(Kalk!$B$4=7,AC41,"")))))))</f>
        <v/>
      </c>
      <c r="Q9" s="335" t="str">
        <f>IF(Umse!$C$24=0,0,IF(OR($A$1="10.1.",$A$1="10.2.",$A$1="10.3."),W41,IF(OR($A$1="9.1.",$A$1="9.2.",$A$1="9.3.",$A$1="9.4."),W9,IF(OR($A$1="5.1.",$A$1="5.2.",$A$1="5.3.",$A$1="5.4.",$A$1="5.5.",$A$1="5.6.",$A$1="5.7.",$A$1="5.8.",$A$1="5.9.",$A$1="5.10.",$A$1="5.11."),'L Tab'!DG8,IF(OR($A$1="5.12.",$A$1="5.13.",$A$1="5.14.",$A$1="5.15.",$A$1="5.16.",$A$1="5.17.",$A$1="5.18.",$A$1="5.19.",$A$1="5.20.",$A$1="5.21.",$A$1="5.22."),'L Tab'!DO8,IF(OR($A$1="5.23.",$A$1="5.24.",$A$1="5.25.",$A$1="5.26.",$A$1="5.27.",$A$1="5.28.",$A$1="5.29.",$A$1="5.30.",$A$1="5.31.",$A$1="5.32.",$A$1="5.33."),'L Tab'!DW8,IF(Kalk!$B$4=7,AD41,"")))))))</f>
        <v/>
      </c>
      <c r="R9" s="335" t="str">
        <f>IF(Umse!$C$24=0,0,IF(OR($A$1="10.1.",$A$1="10.2.",$A$1="10.3."),X41,IF(OR($A$1="9.1.",$A$1="9.2.",$A$1="9.3.",$A$1="9.4."),X9,IF(OR($A$1="5.1.",$A$1="5.2.",$A$1="5.3.",$A$1="5.4.",$A$1="5.5.",$A$1="5.6.",$A$1="5.7.",$A$1="5.8.",$A$1="5.9.",$A$1="5.10.",$A$1="5.11."),'L Tab'!DH8,IF(OR($A$1="5.12.",$A$1="5.13.",$A$1="5.14.",$A$1="5.15.",$A$1="5.16.",$A$1="5.17.",$A$1="5.18.",$A$1="5.19.",$A$1="5.20.",$A$1="5.21.",$A$1="5.22."),'L Tab'!DP8,IF(OR($A$1="5.23.",$A$1="5.24.",$A$1="5.25.",$A$1="5.26.",$A$1="5.27.",$A$1="5.28.",$A$1="5.29.",$A$1="5.30.",$A$1="5.31.",$A$1="5.32.",$A$1="5.33."),'L Tab'!DX8,IF(Kalk!$B$4=7,AE41,"")))))))</f>
        <v/>
      </c>
      <c r="S9" s="589" t="str">
        <f>IF(Umse!$C$24=0,0,IF($A$1="9.1.",'L Tab'!DK56,IF($A$1="9.2.",'L Tab'!DS56,IF($A$1="9.3.",'L Tab'!EA56,IF($A$1="9.4.",'L Tab'!EI56,"")))))</f>
        <v/>
      </c>
      <c r="T9" s="335" t="str">
        <f>IF(Umse!$C$24=0,0,IF($A$1="9.1.",'L Tab'!DL56,IF($A$1="9.2.",'L Tab'!DT56,IF($A$1="9.3.",'L Tab'!EB56,IF($A$1="9.4.",'L Tab'!EJ56,"")))))</f>
        <v/>
      </c>
      <c r="U9" s="335" t="str">
        <f>IF(Umse!$C$24=0,0,IF($A$1="9.1.",'L Tab'!DM56,IF($A$1="9.2.",'L Tab'!DU56,IF($A$1="9.3.",'L Tab'!EC56,IF($A$1="9.4.",'L Tab'!EK56,"")))))</f>
        <v/>
      </c>
      <c r="V9" s="335" t="str">
        <f>IF(Umse!$C$24=0,0,IF($A$1="9.1.",'L Tab'!DN56,IF($A$1="9.2.",'L Tab'!DV56,IF($A$1="9.3.",'L Tab'!ED56,IF($A$1="9.4.",'L Tab'!EL56,"")))))</f>
        <v/>
      </c>
      <c r="W9" s="335" t="str">
        <f>IF(Umse!$C$24=0,0,IF($A$1="9.1.",'L Tab'!DO56,IF($A$1="9.2.",'L Tab'!DW56,IF($A$1="9.3.",'L Tab'!EE56,IF($A$1="9.4.",'L Tab'!EM56,"")))))</f>
        <v/>
      </c>
      <c r="X9" s="590" t="str">
        <f>IF(Umse!$C$24=0,0,IF($A$1="9.1.",'L Tab'!DP56,IF($A$1="9.2.",'L Tab'!DX56,IF($A$1="9.3.",'L Tab'!EF56,IF($A$1="9.4.",'L Tab'!EN56,"")))))</f>
        <v/>
      </c>
      <c r="Y9" s="346"/>
      <c r="Z9" s="370" t="s">
        <v>6</v>
      </c>
      <c r="AA9" s="371">
        <v>11</v>
      </c>
      <c r="AC9" s="370" t="s">
        <v>6</v>
      </c>
      <c r="AD9" s="371">
        <v>11</v>
      </c>
      <c r="AF9" s="583" t="s">
        <v>274</v>
      </c>
      <c r="AG9" s="371">
        <v>12</v>
      </c>
    </row>
    <row r="10" spans="1:33">
      <c r="A10" s="338"/>
      <c r="B10" s="332" t="str">
        <f t="shared" si="1"/>
        <v/>
      </c>
      <c r="C10" s="367" t="str">
        <f t="shared" si="2"/>
        <v/>
      </c>
      <c r="D10" s="335" t="str">
        <f t="shared" si="3"/>
        <v/>
      </c>
      <c r="E10" s="335" t="str">
        <f t="shared" si="3"/>
        <v/>
      </c>
      <c r="F10" s="335" t="str">
        <f t="shared" si="3"/>
        <v/>
      </c>
      <c r="G10" s="335" t="str">
        <f t="shared" si="3"/>
        <v/>
      </c>
      <c r="H10" s="335" t="str">
        <f t="shared" si="3"/>
        <v/>
      </c>
      <c r="I10" s="335" t="str">
        <f t="shared" si="3"/>
        <v/>
      </c>
      <c r="J10" s="333" t="str">
        <f>IF(OR(Umse!$C$24=0,$A$1=0),"",IF(A1="9.1.","Erhöhungsbetrag",""))</f>
        <v/>
      </c>
      <c r="K10" s="332" t="str">
        <f>IF(Umse!$C$24=0,0,IF(Kalk!$B$5=7,AF10,IF(OR(Kalk!$B$5=5,Kalk!$B$5=9),Z10,IF(Kalk!$B$5=10,AC10,""))))</f>
        <v/>
      </c>
      <c r="L10" s="367" t="str">
        <f>IF(Umse!$C$24=0,0,IF(Kalk!$B$5=7,AG10,IF(OR(Kalk!$B$5=5,Kalk!$B$5=9),AA10,IF(Kalk!$B$5=10,AD10,""))))</f>
        <v/>
      </c>
      <c r="M10" s="335" t="str">
        <f>IF(Umse!$C$24=0,0,IF(OR($A$1="10.1.",$A$1="10.2.",$A$1="10.3."),S42,IF(OR($A$1="9.1.",$A$1="9.2.",$A$1="9.3.",$A$1="9.4."),S10,IF(OR($A$1="5.1.",$A$1="5.2.",$A$1="5.3.",$A$1="5.4.",$A$1="5.5.",$A$1="5.6.",$A$1="5.7.",$A$1="5.8.",$A$1="5.9.",$A$1="5.10.",$A$1="5.11."),'L Tab'!DC9,IF(OR($A$1="5.12.",$A$1="5.13.",$A$1="5.14.",$A$1="5.15.",$A$1="5.16.",$A$1="5.17.",$A$1="5.18.",$A$1="5.19.",$A$1="5.20.",$A$1="5.21.",$A$1="5.22."),'L Tab'!DK9,IF(OR($A$1="5.23.",$A$1="5.24.",$A$1="5.25.",$A$1="5.26.",$A$1="5.27.",$A$1="5.28.",$A$1="5.29.",$A$1="5.30.",$A$1="5.31.",$A$1="5.32.",$A$1="5.33."),'L Tab'!DS9,IF(Kalk!$B$4=7,Z42,"")))))))</f>
        <v/>
      </c>
      <c r="N10" s="335" t="str">
        <f>IF(Umse!$C$24=0,0,IF(OR($A$1="10.1.",$A$1="10.2.",$A$1="10.3."),T42,IF(OR($A$1="9.1.",$A$1="9.2.",$A$1="9.3.",$A$1="9.4."),T10,IF(OR($A$1="5.1.",$A$1="5.2.",$A$1="5.3.",$A$1="5.4.",$A$1="5.5.",$A$1="5.6.",$A$1="5.7.",$A$1="5.8.",$A$1="5.9.",$A$1="5.10.",$A$1="5.11."),'L Tab'!DD9,IF(OR($A$1="5.12.",$A$1="5.13.",$A$1="5.14.",$A$1="5.15.",$A$1="5.16.",$A$1="5.17.",$A$1="5.18.",$A$1="5.19.",$A$1="5.20.",$A$1="5.21.",$A$1="5.22."),'L Tab'!DL9,IF(OR($A$1="5.23.",$A$1="5.24.",$A$1="5.25.",$A$1="5.26.",$A$1="5.27.",$A$1="5.28.",$A$1="5.29.",$A$1="5.30.",$A$1="5.31.",$A$1="5.32.",$A$1="5.33."),'L Tab'!DT9,IF(Kalk!$B$4=7,AA42,"")))))))</f>
        <v/>
      </c>
      <c r="O10" s="335" t="str">
        <f>IF(Umse!$C$24=0,0,IF(OR($A$1="10.1.",$A$1="10.2.",$A$1="10.3."),U42,IF(OR($A$1="9.1.",$A$1="9.2.",$A$1="9.3.",$A$1="9.4."),U10,IF(OR($A$1="5.1.",$A$1="5.2.",$A$1="5.3.",$A$1="5.4.",$A$1="5.5.",$A$1="5.6.",$A$1="5.7.",$A$1="5.8.",$A$1="5.9.",$A$1="5.10.",$A$1="5.11."),'L Tab'!DE9,IF(OR($A$1="5.12.",$A$1="5.13.",$A$1="5.14.",$A$1="5.15.",$A$1="5.16.",$A$1="5.17.",$A$1="5.18.",$A$1="5.19.",$A$1="5.20.",$A$1="5.21.",$A$1="5.22."),'L Tab'!DM9,IF(OR($A$1="5.23.",$A$1="5.24.",$A$1="5.25.",$A$1="5.26.",$A$1="5.27.",$A$1="5.28.",$A$1="5.29.",$A$1="5.30.",$A$1="5.31.",$A$1="5.32.",$A$1="5.33."),'L Tab'!DU9,IF(Kalk!$B$4=7,AB42,"")))))))</f>
        <v/>
      </c>
      <c r="P10" s="335" t="str">
        <f>IF(Umse!$C$24=0,0,IF(OR($A$1="10.1.",$A$1="10.2.",$A$1="10.3."),V42,IF(OR($A$1="9.1.",$A$1="9.2.",$A$1="9.3.",$A$1="9.4."),V10,IF(OR($A$1="5.1.",$A$1="5.2.",$A$1="5.3.",$A$1="5.4.",$A$1="5.5.",$A$1="5.6.",$A$1="5.7.",$A$1="5.8.",$A$1="5.9.",$A$1="5.10.",$A$1="5.11."),'L Tab'!DF9,IF(OR($A$1="5.12.",$A$1="5.13.",$A$1="5.14.",$A$1="5.15.",$A$1="5.16.",$A$1="5.17.",$A$1="5.18.",$A$1="5.19.",$A$1="5.20.",$A$1="5.21.",$A$1="5.22."),'L Tab'!DN9,IF(OR($A$1="5.23.",$A$1="5.24.",$A$1="5.25.",$A$1="5.26.",$A$1="5.27.",$A$1="5.28.",$A$1="5.29.",$A$1="5.30.",$A$1="5.31.",$A$1="5.32.",$A$1="5.33."),'L Tab'!DV9,IF(Kalk!$B$4=7,AC42,"")))))))</f>
        <v/>
      </c>
      <c r="Q10" s="335" t="str">
        <f>IF(Umse!$C$24=0,0,IF(OR($A$1="10.1.",$A$1="10.2.",$A$1="10.3."),W42,IF(OR($A$1="9.1.",$A$1="9.2.",$A$1="9.3.",$A$1="9.4."),W10,IF(OR($A$1="5.1.",$A$1="5.2.",$A$1="5.3.",$A$1="5.4.",$A$1="5.5.",$A$1="5.6.",$A$1="5.7.",$A$1="5.8.",$A$1="5.9.",$A$1="5.10.",$A$1="5.11."),'L Tab'!DG9,IF(OR($A$1="5.12.",$A$1="5.13.",$A$1="5.14.",$A$1="5.15.",$A$1="5.16.",$A$1="5.17.",$A$1="5.18.",$A$1="5.19.",$A$1="5.20.",$A$1="5.21.",$A$1="5.22."),'L Tab'!DO9,IF(OR($A$1="5.23.",$A$1="5.24.",$A$1="5.25.",$A$1="5.26.",$A$1="5.27.",$A$1="5.28.",$A$1="5.29.",$A$1="5.30.",$A$1="5.31.",$A$1="5.32.",$A$1="5.33."),'L Tab'!DW9,IF(Kalk!$B$4=7,AD42,"")))))))</f>
        <v/>
      </c>
      <c r="R10" s="335" t="str">
        <f>IF(Umse!$C$24=0,0,IF(OR($A$1="10.1.",$A$1="10.2.",$A$1="10.3."),X42,IF(OR($A$1="9.1.",$A$1="9.2.",$A$1="9.3.",$A$1="9.4."),X10,IF(OR($A$1="5.1.",$A$1="5.2.",$A$1="5.3.",$A$1="5.4.",$A$1="5.5.",$A$1="5.6.",$A$1="5.7.",$A$1="5.8.",$A$1="5.9.",$A$1="5.10.",$A$1="5.11."),'L Tab'!DH9,IF(OR($A$1="5.12.",$A$1="5.13.",$A$1="5.14.",$A$1="5.15.",$A$1="5.16.",$A$1="5.17.",$A$1="5.18.",$A$1="5.19.",$A$1="5.20.",$A$1="5.21.",$A$1="5.22."),'L Tab'!DP9,IF(OR($A$1="5.23.",$A$1="5.24.",$A$1="5.25.",$A$1="5.26.",$A$1="5.27.",$A$1="5.28.",$A$1="5.29.",$A$1="5.30.",$A$1="5.31.",$A$1="5.32.",$A$1="5.33."),'L Tab'!DX9,IF(Kalk!$B$4=7,AE42,"")))))))</f>
        <v/>
      </c>
      <c r="S10" s="589" t="str">
        <f>IF(Umse!$C$24=0,0,IF($A$1="9.1.",'L Tab'!DK57,IF($A$1="9.2.",'L Tab'!DS57,IF($A$1="9.3.",'L Tab'!EA57,IF($A$1="9.4.",'L Tab'!EI57,"")))))</f>
        <v/>
      </c>
      <c r="T10" s="335" t="str">
        <f>IF(Umse!$C$24=0,0,IF($A$1="9.1.",'L Tab'!DL57,IF($A$1="9.2.",'L Tab'!DT57,IF($A$1="9.3.",'L Tab'!EB57,IF($A$1="9.4.",'L Tab'!EJ57,"")))))</f>
        <v/>
      </c>
      <c r="U10" s="335" t="str">
        <f>IF(Umse!$C$24=0,0,IF($A$1="9.1.",'L Tab'!DM57,IF($A$1="9.2.",'L Tab'!DU57,IF($A$1="9.3.",'L Tab'!EC57,IF($A$1="9.4.",'L Tab'!EK57,"")))))</f>
        <v/>
      </c>
      <c r="V10" s="335" t="str">
        <f>IF(Umse!$C$24=0,0,IF($A$1="9.1.",'L Tab'!DN57,IF($A$1="9.2.",'L Tab'!DV57,IF($A$1="9.3.",'L Tab'!ED57,IF($A$1="9.4.",'L Tab'!EL57,"")))))</f>
        <v/>
      </c>
      <c r="W10" s="335" t="str">
        <f>IF(Umse!$C$24=0,0,IF($A$1="9.1.",'L Tab'!DO57,IF($A$1="9.2.",'L Tab'!DW57,IF($A$1="9.3.",'L Tab'!EE57,IF($A$1="9.4.",'L Tab'!EM57,"")))))</f>
        <v/>
      </c>
      <c r="X10" s="590" t="str">
        <f>IF(Umse!$C$24=0,0,IF($A$1="9.1.",'L Tab'!DP57,IF($A$1="9.2.",'L Tab'!DX57,IF($A$1="9.3.",'L Tab'!EF57,IF($A$1="9.4.",'L Tab'!EN57,"")))))</f>
        <v/>
      </c>
      <c r="Y10" s="346"/>
      <c r="Z10" s="370" t="s">
        <v>6</v>
      </c>
      <c r="AA10" s="371">
        <v>10</v>
      </c>
      <c r="AC10" s="370" t="s">
        <v>6</v>
      </c>
      <c r="AD10" s="371">
        <v>10</v>
      </c>
      <c r="AF10" s="583" t="s">
        <v>274</v>
      </c>
      <c r="AG10" s="371" t="s">
        <v>280</v>
      </c>
    </row>
    <row r="11" spans="1:33">
      <c r="B11" s="332" t="str">
        <f t="shared" si="1"/>
        <v/>
      </c>
      <c r="C11" s="367" t="str">
        <f t="shared" si="2"/>
        <v/>
      </c>
      <c r="D11" s="335" t="str">
        <f t="shared" si="3"/>
        <v/>
      </c>
      <c r="E11" s="335" t="str">
        <f t="shared" si="3"/>
        <v/>
      </c>
      <c r="F11" s="335" t="str">
        <f t="shared" si="3"/>
        <v/>
      </c>
      <c r="G11" s="335" t="str">
        <f t="shared" si="3"/>
        <v/>
      </c>
      <c r="H11" s="335" t="str">
        <f t="shared" si="3"/>
        <v/>
      </c>
      <c r="I11" s="335" t="str">
        <f t="shared" si="3"/>
        <v/>
      </c>
      <c r="J11" s="333" t="str">
        <f>IF(OR(Umse!$C$24=0,$A$1=0),"",IF(A1="9.1.","in EG 9 kl Stufe 4",""))</f>
        <v/>
      </c>
      <c r="K11" s="332" t="str">
        <f>IF(Umse!$C$24=0,0,IF(Kalk!$B$5=7,AF11,IF(OR(Kalk!$B$5=5,Kalk!$B$5=9),Z11,IF(Kalk!$B$5=10,AC11,""))))</f>
        <v/>
      </c>
      <c r="L11" s="367" t="str">
        <f>IF(Umse!$C$24=0,0,IF(Kalk!$B$5=7,AG11,IF(OR(Kalk!$B$5=5,Kalk!$B$5=9),AA11,IF(Kalk!$B$5=10,AD11,""))))</f>
        <v/>
      </c>
      <c r="M11" s="335" t="str">
        <f>IF(Umse!$C$24=0,0,IF(OR($A$1="10.1.",$A$1="10.2.",$A$1="10.3."),S43,IF(OR($A$1="9.1.",$A$1="9.2.",$A$1="9.3.",$A$1="9.4."),S11,IF(OR($A$1="5.1.",$A$1="5.2.",$A$1="5.3.",$A$1="5.4.",$A$1="5.5.",$A$1="5.6.",$A$1="5.7.",$A$1="5.8.",$A$1="5.9.",$A$1="5.10.",$A$1="5.11."),'L Tab'!DC10,IF(OR($A$1="5.12.",$A$1="5.13.",$A$1="5.14.",$A$1="5.15.",$A$1="5.16.",$A$1="5.17.",$A$1="5.18.",$A$1="5.19.",$A$1="5.20.",$A$1="5.21.",$A$1="5.22."),'L Tab'!DK10,IF(OR($A$1="5.23.",$A$1="5.24.",$A$1="5.25.",$A$1="5.26.",$A$1="5.27.",$A$1="5.28.",$A$1="5.29.",$A$1="5.30.",$A$1="5.31.",$A$1="5.32.",$A$1="5.33."),'L Tab'!DS10,IF(Kalk!$B$4=7,Z43,"")))))))</f>
        <v/>
      </c>
      <c r="N11" s="335" t="str">
        <f>IF(Umse!$C$24=0,0,IF(OR($A$1="10.1.",$A$1="10.2.",$A$1="10.3."),T43,IF(OR($A$1="9.1.",$A$1="9.2.",$A$1="9.3.",$A$1="9.4."),T11,IF(OR($A$1="5.1.",$A$1="5.2.",$A$1="5.3.",$A$1="5.4.",$A$1="5.5.",$A$1="5.6.",$A$1="5.7.",$A$1="5.8.",$A$1="5.9.",$A$1="5.10.",$A$1="5.11."),'L Tab'!DD10,IF(OR($A$1="5.12.",$A$1="5.13.",$A$1="5.14.",$A$1="5.15.",$A$1="5.16.",$A$1="5.17.",$A$1="5.18.",$A$1="5.19.",$A$1="5.20.",$A$1="5.21.",$A$1="5.22."),'L Tab'!DL10,IF(OR($A$1="5.23.",$A$1="5.24.",$A$1="5.25.",$A$1="5.26.",$A$1="5.27.",$A$1="5.28.",$A$1="5.29.",$A$1="5.30.",$A$1="5.31.",$A$1="5.32.",$A$1="5.33."),'L Tab'!DT10,IF(Kalk!$B$4=7,AA43,"")))))))</f>
        <v/>
      </c>
      <c r="O11" s="335" t="str">
        <f>IF(Umse!$C$24=0,0,IF(OR($A$1="10.1.",$A$1="10.2.",$A$1="10.3."),U43,IF(OR($A$1="9.1.",$A$1="9.2.",$A$1="9.3.",$A$1="9.4."),U11,IF(OR($A$1="5.1.",$A$1="5.2.",$A$1="5.3.",$A$1="5.4.",$A$1="5.5.",$A$1="5.6.",$A$1="5.7.",$A$1="5.8.",$A$1="5.9.",$A$1="5.10.",$A$1="5.11."),'L Tab'!DE10,IF(OR($A$1="5.12.",$A$1="5.13.",$A$1="5.14.",$A$1="5.15.",$A$1="5.16.",$A$1="5.17.",$A$1="5.18.",$A$1="5.19.",$A$1="5.20.",$A$1="5.21.",$A$1="5.22."),'L Tab'!DM10,IF(OR($A$1="5.23.",$A$1="5.24.",$A$1="5.25.",$A$1="5.26.",$A$1="5.27.",$A$1="5.28.",$A$1="5.29.",$A$1="5.30.",$A$1="5.31.",$A$1="5.32.",$A$1="5.33."),'L Tab'!DU10,IF(Kalk!$B$4=7,AB43,"")))))))</f>
        <v/>
      </c>
      <c r="P11" s="335" t="str">
        <f>IF(Umse!$C$24=0,0,IF(OR($A$1="10.1.",$A$1="10.2.",$A$1="10.3."),V43,IF(OR($A$1="9.1.",$A$1="9.2.",$A$1="9.3.",$A$1="9.4."),V11,IF(OR($A$1="5.1.",$A$1="5.2.",$A$1="5.3.",$A$1="5.4.",$A$1="5.5.",$A$1="5.6.",$A$1="5.7.",$A$1="5.8.",$A$1="5.9.",$A$1="5.10.",$A$1="5.11."),'L Tab'!DF10,IF(OR($A$1="5.12.",$A$1="5.13.",$A$1="5.14.",$A$1="5.15.",$A$1="5.16.",$A$1="5.17.",$A$1="5.18.",$A$1="5.19.",$A$1="5.20.",$A$1="5.21.",$A$1="5.22."),'L Tab'!DN10,IF(OR($A$1="5.23.",$A$1="5.24.",$A$1="5.25.",$A$1="5.26.",$A$1="5.27.",$A$1="5.28.",$A$1="5.29.",$A$1="5.30.",$A$1="5.31.",$A$1="5.32.",$A$1="5.33."),'L Tab'!DV10,IF(Kalk!$B$4=7,AC43,"")))))))</f>
        <v/>
      </c>
      <c r="Q11" s="335" t="str">
        <f>IF(Umse!$C$24=0,0,IF(OR($A$1="10.1.",$A$1="10.2.",$A$1="10.3."),W43,IF(OR($A$1="9.1.",$A$1="9.2.",$A$1="9.3.",$A$1="9.4."),W11,IF(OR($A$1="5.1.",$A$1="5.2.",$A$1="5.3.",$A$1="5.4.",$A$1="5.5.",$A$1="5.6.",$A$1="5.7.",$A$1="5.8.",$A$1="5.9.",$A$1="5.10.",$A$1="5.11."),'L Tab'!DG10,IF(OR($A$1="5.12.",$A$1="5.13.",$A$1="5.14.",$A$1="5.15.",$A$1="5.16.",$A$1="5.17.",$A$1="5.18.",$A$1="5.19.",$A$1="5.20.",$A$1="5.21.",$A$1="5.22."),'L Tab'!DO10,IF(OR($A$1="5.23.",$A$1="5.24.",$A$1="5.25.",$A$1="5.26.",$A$1="5.27.",$A$1="5.28.",$A$1="5.29.",$A$1="5.30.",$A$1="5.31.",$A$1="5.32.",$A$1="5.33."),'L Tab'!DW10,IF(Kalk!$B$4=7,AD43,"")))))))</f>
        <v/>
      </c>
      <c r="R11" s="335" t="str">
        <f>IF(Umse!$C$24=0,0,IF(OR($A$1="10.1.",$A$1="10.2.",$A$1="10.3."),X43,IF(OR($A$1="9.1.",$A$1="9.2.",$A$1="9.3.",$A$1="9.4."),X11,IF(OR($A$1="5.1.",$A$1="5.2.",$A$1="5.3.",$A$1="5.4.",$A$1="5.5.",$A$1="5.6.",$A$1="5.7.",$A$1="5.8.",$A$1="5.9.",$A$1="5.10.",$A$1="5.11."),'L Tab'!DH10,IF(OR($A$1="5.12.",$A$1="5.13.",$A$1="5.14.",$A$1="5.15.",$A$1="5.16.",$A$1="5.17.",$A$1="5.18.",$A$1="5.19.",$A$1="5.20.",$A$1="5.21.",$A$1="5.22."),'L Tab'!DP10,IF(OR($A$1="5.23.",$A$1="5.24.",$A$1="5.25.",$A$1="5.26.",$A$1="5.27.",$A$1="5.28.",$A$1="5.29.",$A$1="5.30.",$A$1="5.31.",$A$1="5.32.",$A$1="5.33."),'L Tab'!DX10,IF(Kalk!$B$4=7,AE43,"")))))))</f>
        <v/>
      </c>
      <c r="S11" s="589" t="str">
        <f>IF(Umse!$C$24=0,0,IF($A$1="9.1.",'L Tab'!DK58,IF($A$1="9.2.",'L Tab'!DS58,IF($A$1="9.3.",'L Tab'!EA58,IF($A$1="9.4.",'L Tab'!EI58,"")))))</f>
        <v/>
      </c>
      <c r="T11" s="335" t="str">
        <f>IF(Umse!$C$24=0,0,IF($A$1="9.1.",'L Tab'!DL58,IF($A$1="9.2.",'L Tab'!DT58,IF($A$1="9.3.",'L Tab'!EB58,IF($A$1="9.4.",'L Tab'!EJ58,"")))))</f>
        <v/>
      </c>
      <c r="U11" s="335" t="str">
        <f>IF(Umse!$C$24=0,0,IF($A$1="9.1.",'L Tab'!DM58,IF($A$1="9.2.",'L Tab'!DU58,IF($A$1="9.3.",'L Tab'!EC58,IF($A$1="9.4.",'L Tab'!EK58,"")))))</f>
        <v/>
      </c>
      <c r="V11" s="335" t="str">
        <f>IF(Umse!$C$24=0,0,IF($A$1="9.1.",'L Tab'!DN58,IF($A$1="9.2.",'L Tab'!DV58,IF($A$1="9.3.",'L Tab'!ED58,IF($A$1="9.4.",'L Tab'!EL58,"")))))</f>
        <v/>
      </c>
      <c r="W11" s="335" t="str">
        <f>IF(Umse!$C$24=0,0,IF($A$1="9.1.",'L Tab'!DO58,IF($A$1="9.2.",'L Tab'!DW58,IF($A$1="9.3.",'L Tab'!EE58,IF($A$1="9.4.",'L Tab'!EM58,"")))))</f>
        <v/>
      </c>
      <c r="X11" s="590" t="str">
        <f>IF(Umse!$C$24=0,0,IF($A$1="9.1.",'L Tab'!DP58,IF($A$1="9.2.",'L Tab'!DX58,IF($A$1="9.3.",'L Tab'!EF58,IF($A$1="9.4.",'L Tab'!EN58,"")))))</f>
        <v/>
      </c>
      <c r="Y11" s="346"/>
      <c r="Z11" s="370" t="s">
        <v>6</v>
      </c>
      <c r="AA11" s="602" t="str">
        <f>IF($A$1="9.1.","9","9b")</f>
        <v>9b</v>
      </c>
      <c r="AC11" s="370" t="s">
        <v>6</v>
      </c>
      <c r="AD11" s="371">
        <v>9</v>
      </c>
      <c r="AF11" s="583" t="s">
        <v>274</v>
      </c>
      <c r="AG11" s="371" t="s">
        <v>281</v>
      </c>
    </row>
    <row r="12" spans="1:33">
      <c r="B12" s="332" t="str">
        <f t="shared" si="1"/>
        <v/>
      </c>
      <c r="C12" s="367" t="str">
        <f t="shared" si="2"/>
        <v/>
      </c>
      <c r="D12" s="335" t="str">
        <f t="shared" ref="D12:D21" si="4">IF(M12=0,0,IF(M12="-","-",IF(M12="","",FIXED(ROUND(M12/$A$5,2),2))))</f>
        <v/>
      </c>
      <c r="E12" s="335" t="str">
        <f t="shared" ref="E12:E21" si="5">IF(N12=0,0,IF(N12="-","-",IF(N12="","",FIXED(ROUND(N12/$A$5,2),2))))</f>
        <v/>
      </c>
      <c r="F12" s="335" t="str">
        <f t="shared" ref="F12:F21" si="6">IF(O12=0,0,IF(O12="-","-",IF(O12="","",FIXED(ROUND(O12/$A$5,2),2))))</f>
        <v/>
      </c>
      <c r="G12" s="335" t="str">
        <f t="shared" ref="G12:G21" si="7">IF(P12=0,0,IF(P12="-","-",IF(P12="","",FIXED(ROUND(P12/$A$5,2),2))))</f>
        <v/>
      </c>
      <c r="H12" s="335" t="str">
        <f t="shared" ref="H12:H21" si="8">IF(Q12=0,0,IF(Q12="-","-",IF(Q12="","",FIXED(ROUND(Q12/$A$5,2),2))))</f>
        <v/>
      </c>
      <c r="I12" s="335" t="str">
        <f t="shared" ref="I12:I21" si="9">IF(R12=0,0,IF(R12="-","-",IF(R12="","",FIXED(ROUND(R12/$A$5,2),2))))</f>
        <v/>
      </c>
      <c r="J12" s="333" t="str">
        <f>IF(OR(Umse!$C$24=0,$A$1=0),"",IF(A1="9.1.","&lt;    hier als    &gt;",""))</f>
        <v/>
      </c>
      <c r="K12" s="332" t="str">
        <f>IF(Umse!$C$24=0,0,IF(Kalk!$B$5=7,AF12,IF(OR(Kalk!$B$5=5,Kalk!$B$5=9),Z12,IF(Kalk!$B$5=10,AC12,""))))</f>
        <v/>
      </c>
      <c r="L12" s="367" t="str">
        <f>IF(Umse!$C$24=0,0,IF(Kalk!$B$5=7,AG12,IF(OR(Kalk!$B$5=5,Kalk!$B$5=9),AA12,IF(Kalk!$B$5=10,AD12,""))))</f>
        <v/>
      </c>
      <c r="M12" s="335" t="str">
        <f>IF(Umse!$C$24=0,0,IF(OR($A$1="10.1.",$A$1="10.2.",$A$1="10.3."),S44,IF(OR($A$1="9.1.",$A$1="9.2.",$A$1="9.3.",$A$1="9.4."),S12,IF(OR($A$1="5.1.",$A$1="5.2.",$A$1="5.3.",$A$1="5.4.",$A$1="5.5.",$A$1="5.6.",$A$1="5.7.",$A$1="5.8.",$A$1="5.9.",$A$1="5.10.",$A$1="5.11."),'L Tab'!DC11,IF(OR($A$1="5.12.",$A$1="5.13.",$A$1="5.14.",$A$1="5.15.",$A$1="5.16.",$A$1="5.17.",$A$1="5.18.",$A$1="5.19.",$A$1="5.20.",$A$1="5.21.",$A$1="5.22."),'L Tab'!DK11,IF(OR($A$1="5.23.",$A$1="5.24.",$A$1="5.25.",$A$1="5.26.",$A$1="5.27.",$A$1="5.28.",$A$1="5.29.",$A$1="5.30.",$A$1="5.31.",$A$1="5.32.",$A$1="5.33."),'L Tab'!DS11,IF(Kalk!$B$4=7,Z44,"")))))))</f>
        <v/>
      </c>
      <c r="N12" s="335" t="str">
        <f>IF(Umse!$C$24=0,0,IF(OR($A$1="10.1.",$A$1="10.2.",$A$1="10.3."),T44,IF(OR($A$1="9.1.",$A$1="9.2.",$A$1="9.3.",$A$1="9.4."),T12,IF(OR($A$1="5.1.",$A$1="5.2.",$A$1="5.3.",$A$1="5.4.",$A$1="5.5.",$A$1="5.6.",$A$1="5.7.",$A$1="5.8.",$A$1="5.9.",$A$1="5.10.",$A$1="5.11."),'L Tab'!DD11,IF(OR($A$1="5.12.",$A$1="5.13.",$A$1="5.14.",$A$1="5.15.",$A$1="5.16.",$A$1="5.17.",$A$1="5.18.",$A$1="5.19.",$A$1="5.20.",$A$1="5.21.",$A$1="5.22."),'L Tab'!DL11,IF(OR($A$1="5.23.",$A$1="5.24.",$A$1="5.25.",$A$1="5.26.",$A$1="5.27.",$A$1="5.28.",$A$1="5.29.",$A$1="5.30.",$A$1="5.31.",$A$1="5.32.",$A$1="5.33."),'L Tab'!DT11,IF(Kalk!$B$4=7,AA44,"")))))))</f>
        <v/>
      </c>
      <c r="O12" s="335" t="str">
        <f>IF(Umse!$C$24=0,0,IF(OR($A$1="10.1.",$A$1="10.2.",$A$1="10.3."),U44,IF(OR($A$1="9.1.",$A$1="9.2.",$A$1="9.3.",$A$1="9.4."),U12,IF(OR($A$1="5.1.",$A$1="5.2.",$A$1="5.3.",$A$1="5.4.",$A$1="5.5.",$A$1="5.6.",$A$1="5.7.",$A$1="5.8.",$A$1="5.9.",$A$1="5.10.",$A$1="5.11."),'L Tab'!DE11,IF(OR($A$1="5.12.",$A$1="5.13.",$A$1="5.14.",$A$1="5.15.",$A$1="5.16.",$A$1="5.17.",$A$1="5.18.",$A$1="5.19.",$A$1="5.20.",$A$1="5.21.",$A$1="5.22."),'L Tab'!DM11,IF(OR($A$1="5.23.",$A$1="5.24.",$A$1="5.25.",$A$1="5.26.",$A$1="5.27.",$A$1="5.28.",$A$1="5.29.",$A$1="5.30.",$A$1="5.31.",$A$1="5.32.",$A$1="5.33."),'L Tab'!DU11,IF(Kalk!$B$4=7,AB44,"")))))))</f>
        <v/>
      </c>
      <c r="P12" s="335" t="str">
        <f>IF(Umse!$C$24=0,0,IF(OR($A$1="10.1.",$A$1="10.2.",$A$1="10.3."),V44,IF(OR($A$1="9.1.",$A$1="9.2.",$A$1="9.3.",$A$1="9.4."),V12,IF(OR($A$1="5.1.",$A$1="5.2.",$A$1="5.3.",$A$1="5.4.",$A$1="5.5.",$A$1="5.6.",$A$1="5.7.",$A$1="5.8.",$A$1="5.9.",$A$1="5.10.",$A$1="5.11."),'L Tab'!DF11,IF(OR($A$1="5.12.",$A$1="5.13.",$A$1="5.14.",$A$1="5.15.",$A$1="5.16.",$A$1="5.17.",$A$1="5.18.",$A$1="5.19.",$A$1="5.20.",$A$1="5.21.",$A$1="5.22."),'L Tab'!DN11,IF(OR($A$1="5.23.",$A$1="5.24.",$A$1="5.25.",$A$1="5.26.",$A$1="5.27.",$A$1="5.28.",$A$1="5.29.",$A$1="5.30.",$A$1="5.31.",$A$1="5.32.",$A$1="5.33."),'L Tab'!DV11,IF(Kalk!$B$4=7,AC44,"")))))))</f>
        <v/>
      </c>
      <c r="Q12" s="335" t="str">
        <f>IF(Umse!$C$24=0,0,IF(OR($A$1="10.1.",$A$1="10.2.",$A$1="10.3."),W44,IF(OR($A$1="9.1.",$A$1="9.2.",$A$1="9.3.",$A$1="9.4."),W12,IF(OR($A$1="5.1.",$A$1="5.2.",$A$1="5.3.",$A$1="5.4.",$A$1="5.5.",$A$1="5.6.",$A$1="5.7.",$A$1="5.8.",$A$1="5.9.",$A$1="5.10.",$A$1="5.11."),'L Tab'!DG11,IF(OR($A$1="5.12.",$A$1="5.13.",$A$1="5.14.",$A$1="5.15.",$A$1="5.16.",$A$1="5.17.",$A$1="5.18.",$A$1="5.19.",$A$1="5.20.",$A$1="5.21.",$A$1="5.22."),'L Tab'!DO11,IF(OR($A$1="5.23.",$A$1="5.24.",$A$1="5.25.",$A$1="5.26.",$A$1="5.27.",$A$1="5.28.",$A$1="5.29.",$A$1="5.30.",$A$1="5.31.",$A$1="5.32.",$A$1="5.33."),'L Tab'!DW11,IF(Kalk!$B$4=7,AD44,"")))))))</f>
        <v/>
      </c>
      <c r="R12" s="335" t="str">
        <f>IF(Umse!$C$24=0,0,IF(OR($A$1="10.1.",$A$1="10.2.",$A$1="10.3."),X44,IF(OR($A$1="9.1.",$A$1="9.2.",$A$1="9.3.",$A$1="9.4."),X12,IF(OR($A$1="5.1.",$A$1="5.2.",$A$1="5.3.",$A$1="5.4.",$A$1="5.5.",$A$1="5.6.",$A$1="5.7.",$A$1="5.8.",$A$1="5.9.",$A$1="5.10.",$A$1="5.11."),'L Tab'!DH11,IF(OR($A$1="5.12.",$A$1="5.13.",$A$1="5.14.",$A$1="5.15.",$A$1="5.16.",$A$1="5.17.",$A$1="5.18.",$A$1="5.19.",$A$1="5.20.",$A$1="5.21.",$A$1="5.22."),'L Tab'!DP11,IF(OR($A$1="5.23.",$A$1="5.24.",$A$1="5.25.",$A$1="5.26.",$A$1="5.27.",$A$1="5.28.",$A$1="5.29.",$A$1="5.30.",$A$1="5.31.",$A$1="5.32.",$A$1="5.33."),'L Tab'!DX11,IF(Kalk!$B$4=7,AE44,"")))))))</f>
        <v/>
      </c>
      <c r="S12" s="589" t="str">
        <f>IF(Umse!$C$24=0,0,IF($A$1="9.1.",'L Tab'!DK59,IF($A$1="9.2.",'L Tab'!DS59,IF($A$1="9.3.",'L Tab'!EA59,IF($A$1="9.4.",'L Tab'!EI59,"")))))</f>
        <v/>
      </c>
      <c r="T12" s="335" t="str">
        <f>IF(Umse!$C$24=0,0,IF($A$1="9.1.",'L Tab'!DL59,IF($A$1="9.2.",'L Tab'!DT59,IF($A$1="9.3.",'L Tab'!EB59,IF($A$1="9.4.",'L Tab'!EJ59,"")))))</f>
        <v/>
      </c>
      <c r="U12" s="335" t="str">
        <f>IF(Umse!$C$24=0,0,IF($A$1="9.1.",'L Tab'!DM59,IF($A$1="9.2.",'L Tab'!DU59,IF($A$1="9.3.",'L Tab'!EC59,IF($A$1="9.4.",'L Tab'!EK59,"")))))</f>
        <v/>
      </c>
      <c r="V12" s="335" t="str">
        <f>IF(Umse!$C$24=0,0,IF($A$1="9.1.",'L Tab'!DN59,IF($A$1="9.2.",'L Tab'!DV59,IF($A$1="9.3.",'L Tab'!ED59,IF($A$1="9.4.",'L Tab'!EL59,"")))))</f>
        <v/>
      </c>
      <c r="W12" s="335" t="str">
        <f>IF(Umse!$C$24=0,0,IF($A$1="9.1.",'L Tab'!DO59,IF($A$1="9.2.",'L Tab'!DW59,IF($A$1="9.3.",'L Tab'!EE59,IF($A$1="9.4.",'L Tab'!EM59,"")))))</f>
        <v/>
      </c>
      <c r="X12" s="590" t="str">
        <f>IF(Umse!$C$24=0,0,IF($A$1="9.1.",'L Tab'!DP59,IF($A$1="9.2.",'L Tab'!DX59,IF($A$1="9.3.",'L Tab'!EF59,IF($A$1="9.4.",'L Tab'!EN59,"")))))</f>
        <v/>
      </c>
      <c r="Y12" s="346"/>
      <c r="Z12" s="370" t="s">
        <v>6</v>
      </c>
      <c r="AA12" s="602" t="str">
        <f>IF($A$1="9.1.","9 kl","9a")</f>
        <v>9a</v>
      </c>
      <c r="AC12" s="370" t="s">
        <v>6</v>
      </c>
      <c r="AD12" s="371">
        <v>8</v>
      </c>
      <c r="AF12" s="583" t="s">
        <v>274</v>
      </c>
      <c r="AG12" s="371">
        <v>9</v>
      </c>
    </row>
    <row r="13" spans="1:33">
      <c r="B13" s="332" t="str">
        <f t="shared" si="1"/>
        <v/>
      </c>
      <c r="C13" s="367" t="str">
        <f t="shared" si="2"/>
        <v/>
      </c>
      <c r="D13" s="335" t="str">
        <f t="shared" si="4"/>
        <v/>
      </c>
      <c r="E13" s="335" t="str">
        <f t="shared" si="5"/>
        <v/>
      </c>
      <c r="F13" s="335" t="str">
        <f t="shared" si="6"/>
        <v/>
      </c>
      <c r="G13" s="335" t="str">
        <f t="shared" si="7"/>
        <v/>
      </c>
      <c r="H13" s="335" t="str">
        <f t="shared" si="8"/>
        <v/>
      </c>
      <c r="I13" s="335" t="str">
        <f t="shared" si="9"/>
        <v/>
      </c>
      <c r="J13" s="333" t="str">
        <f>IF(OR(Umse!$C$24=0,$A$1=0),"",IF(A1="9.1.","Stufe 5 abgebildet",""))</f>
        <v/>
      </c>
      <c r="K13" s="332" t="str">
        <f>IF(Umse!$C$24=0,0,IF(Kalk!$B$5=7,AF13,IF(OR(Kalk!$B$5=5,Kalk!$B$5=9),Z13,IF(Kalk!$B$5=10,AC13,""))))</f>
        <v/>
      </c>
      <c r="L13" s="367" t="str">
        <f>IF(Umse!$C$24=0,0,IF(Kalk!$B$5=7,AG13,IF(OR(Kalk!$B$5=5,Kalk!$B$5=9),AA13,IF(Kalk!$B$5=10,AD13,""))))</f>
        <v/>
      </c>
      <c r="M13" s="335" t="str">
        <f>IF(Umse!$C$24=0,0,IF(OR($A$1="10.1.",$A$1="10.2.",$A$1="10.3."),S45,IF(OR($A$1="9.1.",$A$1="9.2.",$A$1="9.3.",$A$1="9.4."),S13,IF(OR($A$1="5.1.",$A$1="5.2.",$A$1="5.3.",$A$1="5.4.",$A$1="5.5.",$A$1="5.6.",$A$1="5.7.",$A$1="5.8.",$A$1="5.9.",$A$1="5.10.",$A$1="5.11."),'L Tab'!DC12,IF(OR($A$1="5.12.",$A$1="5.13.",$A$1="5.14.",$A$1="5.15.",$A$1="5.16.",$A$1="5.17.",$A$1="5.18.",$A$1="5.19.",$A$1="5.20.",$A$1="5.21.",$A$1="5.22."),'L Tab'!DK12,IF(OR($A$1="5.23.",$A$1="5.24.",$A$1="5.25.",$A$1="5.26.",$A$1="5.27.",$A$1="5.28.",$A$1="5.29.",$A$1="5.30.",$A$1="5.31.",$A$1="5.32.",$A$1="5.33."),'L Tab'!DS12,IF(Kalk!$B$4=7,Z45,"")))))))</f>
        <v/>
      </c>
      <c r="N13" s="335" t="str">
        <f>IF(Umse!$C$24=0,0,IF(OR($A$1="10.1.",$A$1="10.2.",$A$1="10.3."),T45,IF(OR($A$1="9.1.",$A$1="9.2.",$A$1="9.3.",$A$1="9.4."),T13,IF(OR($A$1="5.1.",$A$1="5.2.",$A$1="5.3.",$A$1="5.4.",$A$1="5.5.",$A$1="5.6.",$A$1="5.7.",$A$1="5.8.",$A$1="5.9.",$A$1="5.10.",$A$1="5.11."),'L Tab'!DD12,IF(OR($A$1="5.12.",$A$1="5.13.",$A$1="5.14.",$A$1="5.15.",$A$1="5.16.",$A$1="5.17.",$A$1="5.18.",$A$1="5.19.",$A$1="5.20.",$A$1="5.21.",$A$1="5.22."),'L Tab'!DL12,IF(OR($A$1="5.23.",$A$1="5.24.",$A$1="5.25.",$A$1="5.26.",$A$1="5.27.",$A$1="5.28.",$A$1="5.29.",$A$1="5.30.",$A$1="5.31.",$A$1="5.32.",$A$1="5.33."),'L Tab'!DT12,IF(Kalk!$B$4=7,AA45,"")))))))</f>
        <v/>
      </c>
      <c r="O13" s="335" t="str">
        <f>IF(Umse!$C$24=0,0,IF(OR($A$1="10.1.",$A$1="10.2.",$A$1="10.3."),U45,IF(OR($A$1="9.1.",$A$1="9.2.",$A$1="9.3.",$A$1="9.4."),U13,IF(OR($A$1="5.1.",$A$1="5.2.",$A$1="5.3.",$A$1="5.4.",$A$1="5.5.",$A$1="5.6.",$A$1="5.7.",$A$1="5.8.",$A$1="5.9.",$A$1="5.10.",$A$1="5.11."),'L Tab'!DE12,IF(OR($A$1="5.12.",$A$1="5.13.",$A$1="5.14.",$A$1="5.15.",$A$1="5.16.",$A$1="5.17.",$A$1="5.18.",$A$1="5.19.",$A$1="5.20.",$A$1="5.21.",$A$1="5.22."),'L Tab'!DM12,IF(OR($A$1="5.23.",$A$1="5.24.",$A$1="5.25.",$A$1="5.26.",$A$1="5.27.",$A$1="5.28.",$A$1="5.29.",$A$1="5.30.",$A$1="5.31.",$A$1="5.32.",$A$1="5.33."),'L Tab'!DU12,IF(Kalk!$B$4=7,AB45,"")))))))</f>
        <v/>
      </c>
      <c r="P13" s="335" t="str">
        <f>IF(Umse!$C$24=0,0,IF(OR($A$1="10.1.",$A$1="10.2.",$A$1="10.3."),V45,IF(OR($A$1="9.1.",$A$1="9.2.",$A$1="9.3.",$A$1="9.4."),V13,IF(OR($A$1="5.1.",$A$1="5.2.",$A$1="5.3.",$A$1="5.4.",$A$1="5.5.",$A$1="5.6.",$A$1="5.7.",$A$1="5.8.",$A$1="5.9.",$A$1="5.10.",$A$1="5.11."),'L Tab'!DF12,IF(OR($A$1="5.12.",$A$1="5.13.",$A$1="5.14.",$A$1="5.15.",$A$1="5.16.",$A$1="5.17.",$A$1="5.18.",$A$1="5.19.",$A$1="5.20.",$A$1="5.21.",$A$1="5.22."),'L Tab'!DN12,IF(OR($A$1="5.23.",$A$1="5.24.",$A$1="5.25.",$A$1="5.26.",$A$1="5.27.",$A$1="5.28.",$A$1="5.29.",$A$1="5.30.",$A$1="5.31.",$A$1="5.32.",$A$1="5.33."),'L Tab'!DV12,IF(Kalk!$B$4=7,AC45,"")))))))</f>
        <v/>
      </c>
      <c r="Q13" s="335" t="str">
        <f>IF(Umse!$C$24=0,0,IF(OR($A$1="10.1.",$A$1="10.2.",$A$1="10.3."),W45,IF(OR($A$1="9.1.",$A$1="9.2.",$A$1="9.3.",$A$1="9.4."),W13,IF(OR($A$1="5.1.",$A$1="5.2.",$A$1="5.3.",$A$1="5.4.",$A$1="5.5.",$A$1="5.6.",$A$1="5.7.",$A$1="5.8.",$A$1="5.9.",$A$1="5.10.",$A$1="5.11."),'L Tab'!DG12,IF(OR($A$1="5.12.",$A$1="5.13.",$A$1="5.14.",$A$1="5.15.",$A$1="5.16.",$A$1="5.17.",$A$1="5.18.",$A$1="5.19.",$A$1="5.20.",$A$1="5.21.",$A$1="5.22."),'L Tab'!DO12,IF(OR($A$1="5.23.",$A$1="5.24.",$A$1="5.25.",$A$1="5.26.",$A$1="5.27.",$A$1="5.28.",$A$1="5.29.",$A$1="5.30.",$A$1="5.31.",$A$1="5.32.",$A$1="5.33."),'L Tab'!DW12,IF(Kalk!$B$4=7,AD45,"")))))))</f>
        <v/>
      </c>
      <c r="R13" s="335" t="str">
        <f>IF(Umse!$C$24=0,0,IF(OR($A$1="10.1.",$A$1="10.2.",$A$1="10.3."),X45,IF(OR($A$1="9.1.",$A$1="9.2.",$A$1="9.3.",$A$1="9.4."),X13,IF(OR($A$1="5.1.",$A$1="5.2.",$A$1="5.3.",$A$1="5.4.",$A$1="5.5.",$A$1="5.6.",$A$1="5.7.",$A$1="5.8.",$A$1="5.9.",$A$1="5.10.",$A$1="5.11."),'L Tab'!DH12,IF(OR($A$1="5.12.",$A$1="5.13.",$A$1="5.14.",$A$1="5.15.",$A$1="5.16.",$A$1="5.17.",$A$1="5.18.",$A$1="5.19.",$A$1="5.20.",$A$1="5.21.",$A$1="5.22."),'L Tab'!DP12,IF(OR($A$1="5.23.",$A$1="5.24.",$A$1="5.25.",$A$1="5.26.",$A$1="5.27.",$A$1="5.28.",$A$1="5.29.",$A$1="5.30.",$A$1="5.31.",$A$1="5.32.",$A$1="5.33."),'L Tab'!DX12,IF(Kalk!$B$4=7,AE45,"")))))))</f>
        <v/>
      </c>
      <c r="S13" s="589" t="str">
        <f>IF(Umse!$C$24=0,0,IF($A$1="9.1.",'L Tab'!DK60,IF($A$1="9.2.",'L Tab'!DS60,IF($A$1="9.3.",'L Tab'!EA60,IF($A$1="9.4.",'L Tab'!EI60,"")))))</f>
        <v/>
      </c>
      <c r="T13" s="335" t="str">
        <f>IF(Umse!$C$24=0,0,IF($A$1="9.1.",'L Tab'!DL60,IF($A$1="9.2.",'L Tab'!DT60,IF($A$1="9.3.",'L Tab'!EB60,IF($A$1="9.4.",'L Tab'!EJ60,"")))))</f>
        <v/>
      </c>
      <c r="U13" s="335" t="str">
        <f>IF(Umse!$C$24=0,0,IF($A$1="9.1.",'L Tab'!DM60,IF($A$1="9.2.",'L Tab'!DU60,IF($A$1="9.3.",'L Tab'!EC60,IF($A$1="9.4.",'L Tab'!EK60,"")))))</f>
        <v/>
      </c>
      <c r="V13" s="335" t="str">
        <f>IF(Umse!$C$24=0,0,IF($A$1="9.1.",'L Tab'!DN60,IF($A$1="9.2.",'L Tab'!DV60,IF($A$1="9.3.",'L Tab'!ED60,IF($A$1="9.4.",'L Tab'!EL60,"")))))</f>
        <v/>
      </c>
      <c r="W13" s="335" t="str">
        <f>IF(Umse!$C$24=0,0,IF($A$1="9.1.",'L Tab'!DO60,IF($A$1="9.2.",'L Tab'!DW60,IF($A$1="9.3.",'L Tab'!EE60,IF($A$1="9.4.",'L Tab'!EM60,"")))))</f>
        <v/>
      </c>
      <c r="X13" s="590" t="str">
        <f>IF(Umse!$C$24=0,0,IF($A$1="9.1.",'L Tab'!DP60,IF($A$1="9.2.",'L Tab'!DX60,IF($A$1="9.3.",'L Tab'!EF60,IF($A$1="9.4.",'L Tab'!EN60,"")))))</f>
        <v/>
      </c>
      <c r="Y13" s="346"/>
      <c r="Z13" s="370" t="s">
        <v>6</v>
      </c>
      <c r="AA13" s="371">
        <v>8</v>
      </c>
      <c r="AC13" s="370" t="s">
        <v>6</v>
      </c>
      <c r="AD13" s="371">
        <v>7</v>
      </c>
      <c r="AF13" s="583" t="s">
        <v>274</v>
      </c>
      <c r="AG13" s="371" t="s">
        <v>331</v>
      </c>
    </row>
    <row r="14" spans="1:33">
      <c r="B14" s="332" t="str">
        <f t="shared" si="1"/>
        <v/>
      </c>
      <c r="C14" s="367" t="str">
        <f t="shared" si="2"/>
        <v/>
      </c>
      <c r="D14" s="335" t="str">
        <f t="shared" si="4"/>
        <v/>
      </c>
      <c r="E14" s="335" t="str">
        <f t="shared" si="5"/>
        <v/>
      </c>
      <c r="F14" s="335" t="str">
        <f t="shared" si="6"/>
        <v/>
      </c>
      <c r="G14" s="335" t="str">
        <f t="shared" si="7"/>
        <v/>
      </c>
      <c r="H14" s="335" t="str">
        <f t="shared" si="8"/>
        <v/>
      </c>
      <c r="I14" s="335" t="str">
        <f t="shared" si="9"/>
        <v/>
      </c>
      <c r="J14" s="333" t="str">
        <f>IF(OR(Umse!$C$24=0,$A$1=0),"",IF(A1="9.1.","( inkl 110,21 Euro )",""))</f>
        <v/>
      </c>
      <c r="K14" s="332" t="str">
        <f>IF(Umse!$C$24=0,0,IF(Kalk!$B$5=7,AF14,IF(OR(Kalk!$B$5=5,Kalk!$B$5=9),Z14,IF(Kalk!$B$5=10,AC14,""))))</f>
        <v/>
      </c>
      <c r="L14" s="367" t="str">
        <f>IF(Umse!$C$24=0,0,IF(Kalk!$B$5=7,AG14,IF(OR(Kalk!$B$5=5,Kalk!$B$5=9),AA14,IF(Kalk!$B$5=10,AD14,""))))</f>
        <v/>
      </c>
      <c r="M14" s="335" t="str">
        <f>IF(Umse!$C$24=0,0,IF(OR($A$1="10.1.",$A$1="10.2.",$A$1="10.3."),S46,IF(OR($A$1="9.1.",$A$1="9.2.",$A$1="9.3.",$A$1="9.4."),S14,IF(OR($A$1="5.1.",$A$1="5.2.",$A$1="5.3.",$A$1="5.4.",$A$1="5.5.",$A$1="5.6.",$A$1="5.7.",$A$1="5.8.",$A$1="5.9.",$A$1="5.10.",$A$1="5.11."),'L Tab'!DC13,IF(OR($A$1="5.12.",$A$1="5.13.",$A$1="5.14.",$A$1="5.15.",$A$1="5.16.",$A$1="5.17.",$A$1="5.18.",$A$1="5.19.",$A$1="5.20.",$A$1="5.21.",$A$1="5.22."),'L Tab'!DK13,IF(OR($A$1="5.23.",$A$1="5.24.",$A$1="5.25.",$A$1="5.26.",$A$1="5.27.",$A$1="5.28.",$A$1="5.29.",$A$1="5.30.",$A$1="5.31.",$A$1="5.32.",$A$1="5.33."),'L Tab'!DS13,IF(Kalk!$B$4=7,Z46,"")))))))</f>
        <v/>
      </c>
      <c r="N14" s="335" t="str">
        <f>IF(Umse!$C$24=0,0,IF(OR($A$1="10.1.",$A$1="10.2.",$A$1="10.3."),T46,IF(OR($A$1="9.1.",$A$1="9.2.",$A$1="9.3.",$A$1="9.4."),T14,IF(OR($A$1="5.1.",$A$1="5.2.",$A$1="5.3.",$A$1="5.4.",$A$1="5.5.",$A$1="5.6.",$A$1="5.7.",$A$1="5.8.",$A$1="5.9.",$A$1="5.10.",$A$1="5.11."),'L Tab'!DD13,IF(OR($A$1="5.12.",$A$1="5.13.",$A$1="5.14.",$A$1="5.15.",$A$1="5.16.",$A$1="5.17.",$A$1="5.18.",$A$1="5.19.",$A$1="5.20.",$A$1="5.21.",$A$1="5.22."),'L Tab'!DL13,IF(OR($A$1="5.23.",$A$1="5.24.",$A$1="5.25.",$A$1="5.26.",$A$1="5.27.",$A$1="5.28.",$A$1="5.29.",$A$1="5.30.",$A$1="5.31.",$A$1="5.32.",$A$1="5.33."),'L Tab'!DT13,IF(Kalk!$B$4=7,AA46,"")))))))</f>
        <v/>
      </c>
      <c r="O14" s="335" t="str">
        <f>IF(Umse!$C$24=0,0,IF(OR($A$1="10.1.",$A$1="10.2.",$A$1="10.3."),U46,IF(OR($A$1="9.1.",$A$1="9.2.",$A$1="9.3.",$A$1="9.4."),U14,IF(OR($A$1="5.1.",$A$1="5.2.",$A$1="5.3.",$A$1="5.4.",$A$1="5.5.",$A$1="5.6.",$A$1="5.7.",$A$1="5.8.",$A$1="5.9.",$A$1="5.10.",$A$1="5.11."),'L Tab'!DE13,IF(OR($A$1="5.12.",$A$1="5.13.",$A$1="5.14.",$A$1="5.15.",$A$1="5.16.",$A$1="5.17.",$A$1="5.18.",$A$1="5.19.",$A$1="5.20.",$A$1="5.21.",$A$1="5.22."),'L Tab'!DM13,IF(OR($A$1="5.23.",$A$1="5.24.",$A$1="5.25.",$A$1="5.26.",$A$1="5.27.",$A$1="5.28.",$A$1="5.29.",$A$1="5.30.",$A$1="5.31.",$A$1="5.32.",$A$1="5.33."),'L Tab'!DU13,IF(Kalk!$B$4=7,AB46,"")))))))</f>
        <v/>
      </c>
      <c r="P14" s="335" t="str">
        <f>IF(Umse!$C$24=0,0,IF(OR($A$1="10.1.",$A$1="10.2.",$A$1="10.3."),V46,IF(OR($A$1="9.1.",$A$1="9.2.",$A$1="9.3.",$A$1="9.4."),V14,IF(OR($A$1="5.1.",$A$1="5.2.",$A$1="5.3.",$A$1="5.4.",$A$1="5.5.",$A$1="5.6.",$A$1="5.7.",$A$1="5.8.",$A$1="5.9.",$A$1="5.10.",$A$1="5.11."),'L Tab'!DF13,IF(OR($A$1="5.12.",$A$1="5.13.",$A$1="5.14.",$A$1="5.15.",$A$1="5.16.",$A$1="5.17.",$A$1="5.18.",$A$1="5.19.",$A$1="5.20.",$A$1="5.21.",$A$1="5.22."),'L Tab'!DN13,IF(OR($A$1="5.23.",$A$1="5.24.",$A$1="5.25.",$A$1="5.26.",$A$1="5.27.",$A$1="5.28.",$A$1="5.29.",$A$1="5.30.",$A$1="5.31.",$A$1="5.32.",$A$1="5.33."),'L Tab'!DV13,IF(Kalk!$B$4=7,AC46,"")))))))</f>
        <v/>
      </c>
      <c r="Q14" s="335" t="str">
        <f>IF(Umse!$C$24=0,0,IF(OR($A$1="10.1.",$A$1="10.2.",$A$1="10.3."),W46,IF(OR($A$1="9.1.",$A$1="9.2.",$A$1="9.3.",$A$1="9.4."),W14,IF(OR($A$1="5.1.",$A$1="5.2.",$A$1="5.3.",$A$1="5.4.",$A$1="5.5.",$A$1="5.6.",$A$1="5.7.",$A$1="5.8.",$A$1="5.9.",$A$1="5.10.",$A$1="5.11."),'L Tab'!DG13,IF(OR($A$1="5.12.",$A$1="5.13.",$A$1="5.14.",$A$1="5.15.",$A$1="5.16.",$A$1="5.17.",$A$1="5.18.",$A$1="5.19.",$A$1="5.20.",$A$1="5.21.",$A$1="5.22."),'L Tab'!DO13,IF(OR($A$1="5.23.",$A$1="5.24.",$A$1="5.25.",$A$1="5.26.",$A$1="5.27.",$A$1="5.28.",$A$1="5.29.",$A$1="5.30.",$A$1="5.31.",$A$1="5.32.",$A$1="5.33."),'L Tab'!DW13,IF(Kalk!$B$4=7,AD46,"")))))))</f>
        <v/>
      </c>
      <c r="R14" s="335" t="str">
        <f>IF(Umse!$C$24=0,0,IF(OR($A$1="10.1.",$A$1="10.2.",$A$1="10.3."),X46,IF(OR($A$1="9.1.",$A$1="9.2.",$A$1="9.3.",$A$1="9.4."),X14,IF(OR($A$1="5.1.",$A$1="5.2.",$A$1="5.3.",$A$1="5.4.",$A$1="5.5.",$A$1="5.6.",$A$1="5.7.",$A$1="5.8.",$A$1="5.9.",$A$1="5.10.",$A$1="5.11."),'L Tab'!DH13,IF(OR($A$1="5.12.",$A$1="5.13.",$A$1="5.14.",$A$1="5.15.",$A$1="5.16.",$A$1="5.17.",$A$1="5.18.",$A$1="5.19.",$A$1="5.20.",$A$1="5.21.",$A$1="5.22."),'L Tab'!DP13,IF(OR($A$1="5.23.",$A$1="5.24.",$A$1="5.25.",$A$1="5.26.",$A$1="5.27.",$A$1="5.28.",$A$1="5.29.",$A$1="5.30.",$A$1="5.31.",$A$1="5.32.",$A$1="5.33."),'L Tab'!DX13,IF(Kalk!$B$4=7,AE46,"")))))))</f>
        <v/>
      </c>
      <c r="S14" s="589" t="str">
        <f>IF(Umse!$C$24=0,0,IF($A$1="9.1.",'L Tab'!DK61,IF($A$1="9.2.",'L Tab'!DS61,IF($A$1="9.3.",'L Tab'!EA61,IF($A$1="9.4.",'L Tab'!EI61,"")))))</f>
        <v/>
      </c>
      <c r="T14" s="335" t="str">
        <f>IF(Umse!$C$24=0,0,IF($A$1="9.1.",'L Tab'!DL61,IF($A$1="9.2.",'L Tab'!DT61,IF($A$1="9.3.",'L Tab'!EB61,IF($A$1="9.4.",'L Tab'!EJ61,"")))))</f>
        <v/>
      </c>
      <c r="U14" s="335" t="str">
        <f>IF(Umse!$C$24=0,0,IF($A$1="9.1.",'L Tab'!DM61,IF($A$1="9.2.",'L Tab'!DU61,IF($A$1="9.3.",'L Tab'!EC61,IF($A$1="9.4.",'L Tab'!EK61,"")))))</f>
        <v/>
      </c>
      <c r="V14" s="335" t="str">
        <f>IF(Umse!$C$24=0,0,IF($A$1="9.1.",'L Tab'!DN61,IF($A$1="9.2.",'L Tab'!DV61,IF($A$1="9.3.",'L Tab'!ED61,IF($A$1="9.4.",'L Tab'!EL61,"")))))</f>
        <v/>
      </c>
      <c r="W14" s="335" t="str">
        <f>IF(Umse!$C$24=0,0,IF($A$1="9.1.",'L Tab'!DO61,IF($A$1="9.2.",'L Tab'!DW61,IF($A$1="9.3.",'L Tab'!EE61,IF($A$1="9.4.",'L Tab'!EM61,"")))))</f>
        <v/>
      </c>
      <c r="X14" s="590" t="str">
        <f>IF(Umse!$C$24=0,0,IF($A$1="9.1.",'L Tab'!DP61,IF($A$1="9.2.",'L Tab'!DX61,IF($A$1="9.3.",'L Tab'!EF61,IF($A$1="9.4.",'L Tab'!EN61,"")))))</f>
        <v/>
      </c>
      <c r="Y14" s="346"/>
      <c r="Z14" s="370" t="s">
        <v>6</v>
      </c>
      <c r="AA14" s="371">
        <v>7</v>
      </c>
      <c r="AC14" s="370" t="s">
        <v>6</v>
      </c>
      <c r="AD14" s="371">
        <v>6</v>
      </c>
      <c r="AF14" s="583" t="s">
        <v>274</v>
      </c>
      <c r="AG14" s="371" t="s">
        <v>285</v>
      </c>
    </row>
    <row r="15" spans="1:33">
      <c r="B15" s="332" t="str">
        <f t="shared" si="1"/>
        <v/>
      </c>
      <c r="C15" s="367" t="str">
        <f t="shared" si="2"/>
        <v/>
      </c>
      <c r="D15" s="335" t="str">
        <f t="shared" si="4"/>
        <v/>
      </c>
      <c r="E15" s="335" t="str">
        <f t="shared" si="5"/>
        <v/>
      </c>
      <c r="F15" s="335" t="str">
        <f t="shared" si="6"/>
        <v/>
      </c>
      <c r="G15" s="335" t="str">
        <f t="shared" si="7"/>
        <v/>
      </c>
      <c r="H15" s="335" t="str">
        <f t="shared" si="8"/>
        <v/>
      </c>
      <c r="I15" s="335" t="str">
        <f t="shared" si="9"/>
        <v/>
      </c>
      <c r="J15" s="333" t="str">
        <f>""</f>
        <v/>
      </c>
      <c r="K15" s="332" t="str">
        <f>IF(Umse!$C$24=0,0,IF(Kalk!$B$5=7,AF15,IF(OR(Kalk!$B$5=5,Kalk!$B$5=9),Z15,IF(Kalk!$B$5=10,AC15,""))))</f>
        <v/>
      </c>
      <c r="L15" s="367" t="str">
        <f>IF(Umse!$C$24=0,0,IF(Kalk!$B$5=7,AG15,IF(OR(Kalk!$B$5=5,Kalk!$B$5=9),AA15,IF(Kalk!$B$5=10,AD15,""))))</f>
        <v/>
      </c>
      <c r="M15" s="335" t="str">
        <f>IF(Umse!$C$24=0,0,IF(OR($A$1="10.1.",$A$1="10.2.",$A$1="10.3."),S47,IF(OR($A$1="9.1.",$A$1="9.2.",$A$1="9.3.",$A$1="9.4."),S15,IF(OR($A$1="5.1.",$A$1="5.2.",$A$1="5.3.",$A$1="5.4.",$A$1="5.5.",$A$1="5.6.",$A$1="5.7.",$A$1="5.8.",$A$1="5.9.",$A$1="5.10.",$A$1="5.11."),'L Tab'!DC14,IF(OR($A$1="5.12.",$A$1="5.13.",$A$1="5.14.",$A$1="5.15.",$A$1="5.16.",$A$1="5.17.",$A$1="5.18.",$A$1="5.19.",$A$1="5.20.",$A$1="5.21.",$A$1="5.22."),'L Tab'!DK14,IF(OR($A$1="5.23.",$A$1="5.24.",$A$1="5.25.",$A$1="5.26.",$A$1="5.27.",$A$1="5.28.",$A$1="5.29.",$A$1="5.30.",$A$1="5.31.",$A$1="5.32.",$A$1="5.33."),'L Tab'!DS14,IF(Kalk!$B$4=7,Z47,"")))))))</f>
        <v/>
      </c>
      <c r="N15" s="335" t="str">
        <f>IF(Umse!$C$24=0,0,IF(OR($A$1="10.1.",$A$1="10.2.",$A$1="10.3."),T47,IF(OR($A$1="9.1.",$A$1="9.2.",$A$1="9.3.",$A$1="9.4."),T15,IF(OR($A$1="5.1.",$A$1="5.2.",$A$1="5.3.",$A$1="5.4.",$A$1="5.5.",$A$1="5.6.",$A$1="5.7.",$A$1="5.8.",$A$1="5.9.",$A$1="5.10.",$A$1="5.11."),'L Tab'!DD14,IF(OR($A$1="5.12.",$A$1="5.13.",$A$1="5.14.",$A$1="5.15.",$A$1="5.16.",$A$1="5.17.",$A$1="5.18.",$A$1="5.19.",$A$1="5.20.",$A$1="5.21.",$A$1="5.22."),'L Tab'!DL14,IF(OR($A$1="5.23.",$A$1="5.24.",$A$1="5.25.",$A$1="5.26.",$A$1="5.27.",$A$1="5.28.",$A$1="5.29.",$A$1="5.30.",$A$1="5.31.",$A$1="5.32.",$A$1="5.33."),'L Tab'!DT14,IF(Kalk!$B$4=7,AA47,"")))))))</f>
        <v/>
      </c>
      <c r="O15" s="335" t="str">
        <f>IF(Umse!$C$24=0,0,IF(OR($A$1="10.1.",$A$1="10.2.",$A$1="10.3."),U47,IF(OR($A$1="9.1.",$A$1="9.2.",$A$1="9.3.",$A$1="9.4."),U15,IF(OR($A$1="5.1.",$A$1="5.2.",$A$1="5.3.",$A$1="5.4.",$A$1="5.5.",$A$1="5.6.",$A$1="5.7.",$A$1="5.8.",$A$1="5.9.",$A$1="5.10.",$A$1="5.11."),'L Tab'!DE14,IF(OR($A$1="5.12.",$A$1="5.13.",$A$1="5.14.",$A$1="5.15.",$A$1="5.16.",$A$1="5.17.",$A$1="5.18.",$A$1="5.19.",$A$1="5.20.",$A$1="5.21.",$A$1="5.22."),'L Tab'!DM14,IF(OR($A$1="5.23.",$A$1="5.24.",$A$1="5.25.",$A$1="5.26.",$A$1="5.27.",$A$1="5.28.",$A$1="5.29.",$A$1="5.30.",$A$1="5.31.",$A$1="5.32.",$A$1="5.33."),'L Tab'!DU14,IF(Kalk!$B$4=7,AB47,"")))))))</f>
        <v/>
      </c>
      <c r="P15" s="335" t="str">
        <f>IF(Umse!$C$24=0,0,IF(OR($A$1="10.1.",$A$1="10.2.",$A$1="10.3."),V47,IF(OR($A$1="9.1.",$A$1="9.2.",$A$1="9.3.",$A$1="9.4."),V15,IF(OR($A$1="5.1.",$A$1="5.2.",$A$1="5.3.",$A$1="5.4.",$A$1="5.5.",$A$1="5.6.",$A$1="5.7.",$A$1="5.8.",$A$1="5.9.",$A$1="5.10.",$A$1="5.11."),'L Tab'!DF14,IF(OR($A$1="5.12.",$A$1="5.13.",$A$1="5.14.",$A$1="5.15.",$A$1="5.16.",$A$1="5.17.",$A$1="5.18.",$A$1="5.19.",$A$1="5.20.",$A$1="5.21.",$A$1="5.22."),'L Tab'!DN14,IF(OR($A$1="5.23.",$A$1="5.24.",$A$1="5.25.",$A$1="5.26.",$A$1="5.27.",$A$1="5.28.",$A$1="5.29.",$A$1="5.30.",$A$1="5.31.",$A$1="5.32.",$A$1="5.33."),'L Tab'!DV14,IF(Kalk!$B$4=7,AC47,"")))))))</f>
        <v/>
      </c>
      <c r="Q15" s="335" t="str">
        <f>IF(Umse!$C$24=0,0,IF(OR($A$1="10.1.",$A$1="10.2.",$A$1="10.3."),W47,IF(OR($A$1="9.1.",$A$1="9.2.",$A$1="9.3.",$A$1="9.4."),W15,IF(OR($A$1="5.1.",$A$1="5.2.",$A$1="5.3.",$A$1="5.4.",$A$1="5.5.",$A$1="5.6.",$A$1="5.7.",$A$1="5.8.",$A$1="5.9.",$A$1="5.10.",$A$1="5.11."),'L Tab'!DG14,IF(OR($A$1="5.12.",$A$1="5.13.",$A$1="5.14.",$A$1="5.15.",$A$1="5.16.",$A$1="5.17.",$A$1="5.18.",$A$1="5.19.",$A$1="5.20.",$A$1="5.21.",$A$1="5.22."),'L Tab'!DO14,IF(OR($A$1="5.23.",$A$1="5.24.",$A$1="5.25.",$A$1="5.26.",$A$1="5.27.",$A$1="5.28.",$A$1="5.29.",$A$1="5.30.",$A$1="5.31.",$A$1="5.32.",$A$1="5.33."),'L Tab'!DW14,IF(Kalk!$B$4=7,AD47,"")))))))</f>
        <v/>
      </c>
      <c r="R15" s="335" t="str">
        <f>IF(Umse!$C$24=0,0,IF(OR($A$1="10.1.",$A$1="10.2.",$A$1="10.3."),X47,IF(OR($A$1="9.1.",$A$1="9.2.",$A$1="9.3.",$A$1="9.4."),X15,IF(OR($A$1="5.1.",$A$1="5.2.",$A$1="5.3.",$A$1="5.4.",$A$1="5.5.",$A$1="5.6.",$A$1="5.7.",$A$1="5.8.",$A$1="5.9.",$A$1="5.10.",$A$1="5.11."),'L Tab'!DH14,IF(OR($A$1="5.12.",$A$1="5.13.",$A$1="5.14.",$A$1="5.15.",$A$1="5.16.",$A$1="5.17.",$A$1="5.18.",$A$1="5.19.",$A$1="5.20.",$A$1="5.21.",$A$1="5.22."),'L Tab'!DP14,IF(OR($A$1="5.23.",$A$1="5.24.",$A$1="5.25.",$A$1="5.26.",$A$1="5.27.",$A$1="5.28.",$A$1="5.29.",$A$1="5.30.",$A$1="5.31.",$A$1="5.32.",$A$1="5.33."),'L Tab'!DX14,IF(Kalk!$B$4=7,AE47,"")))))))</f>
        <v/>
      </c>
      <c r="S15" s="589" t="str">
        <f>IF(Umse!$C$24=0,0,IF($A$1="9.1.",'L Tab'!DK62,IF($A$1="9.2.",'L Tab'!DS62,IF($A$1="9.3.",'L Tab'!EA62,IF($A$1="9.4.",'L Tab'!EI62,"")))))</f>
        <v/>
      </c>
      <c r="T15" s="335" t="str">
        <f>IF(Umse!$C$24=0,0,IF($A$1="9.1.",'L Tab'!DL62,IF($A$1="9.2.",'L Tab'!DT62,IF($A$1="9.3.",'L Tab'!EB62,IF($A$1="9.4.",'L Tab'!EJ62,"")))))</f>
        <v/>
      </c>
      <c r="U15" s="335" t="str">
        <f>IF(Umse!$C$24=0,0,IF($A$1="9.1.",'L Tab'!DM62,IF($A$1="9.2.",'L Tab'!DU62,IF($A$1="9.3.",'L Tab'!EC62,IF($A$1="9.4.",'L Tab'!EK62,"")))))</f>
        <v/>
      </c>
      <c r="V15" s="335" t="str">
        <f>IF(Umse!$C$24=0,0,IF($A$1="9.1.",'L Tab'!DN62,IF($A$1="9.2.",'L Tab'!DV62,IF($A$1="9.3.",'L Tab'!ED62,IF($A$1="9.4.",'L Tab'!EL62,"")))))</f>
        <v/>
      </c>
      <c r="W15" s="335" t="str">
        <f>IF(Umse!$C$24=0,0,IF($A$1="9.1.",'L Tab'!DO62,IF($A$1="9.2.",'L Tab'!DW62,IF($A$1="9.3.",'L Tab'!EE62,IF($A$1="9.4.",'L Tab'!EM62,"")))))</f>
        <v/>
      </c>
      <c r="X15" s="590" t="str">
        <f>IF(Umse!$C$24=0,0,IF($A$1="9.1.",'L Tab'!DP62,IF($A$1="9.2.",'L Tab'!DX62,IF($A$1="9.3.",'L Tab'!EF62,IF($A$1="9.4.",'L Tab'!EN62,"")))))</f>
        <v/>
      </c>
      <c r="Y15" s="346"/>
      <c r="Z15" s="370" t="s">
        <v>6</v>
      </c>
      <c r="AA15" s="371">
        <v>6</v>
      </c>
      <c r="AC15" s="370" t="s">
        <v>6</v>
      </c>
      <c r="AD15" s="371">
        <v>5</v>
      </c>
      <c r="AF15" s="583" t="s">
        <v>274</v>
      </c>
      <c r="AG15" s="371">
        <v>7</v>
      </c>
    </row>
    <row r="16" spans="1:33">
      <c r="B16" s="332" t="str">
        <f t="shared" si="1"/>
        <v/>
      </c>
      <c r="C16" s="367" t="str">
        <f t="shared" si="2"/>
        <v/>
      </c>
      <c r="D16" s="335" t="str">
        <f t="shared" si="4"/>
        <v/>
      </c>
      <c r="E16" s="335" t="str">
        <f t="shared" si="5"/>
        <v/>
      </c>
      <c r="F16" s="335" t="str">
        <f t="shared" si="6"/>
        <v/>
      </c>
      <c r="G16" s="335" t="str">
        <f t="shared" si="7"/>
        <v/>
      </c>
      <c r="H16" s="335" t="str">
        <f t="shared" si="8"/>
        <v/>
      </c>
      <c r="I16" s="335" t="str">
        <f t="shared" si="9"/>
        <v/>
      </c>
      <c r="J16" s="333" t="str">
        <f>""</f>
        <v/>
      </c>
      <c r="K16" s="332" t="str">
        <f>IF(Umse!$C$24=0,0,IF(Kalk!$B$5=7,AF16,IF(OR(Kalk!$B$5=5,Kalk!$B$5=9),Z16,IF(Kalk!$B$5=10,AC16,""))))</f>
        <v/>
      </c>
      <c r="L16" s="367" t="str">
        <f>IF(Umse!$C$24=0,0,IF(Kalk!$B$5=7,AG16,IF(OR(Kalk!$B$5=5,Kalk!$B$5=9),AA16,IF(Kalk!$B$5=10,AD16,""))))</f>
        <v/>
      </c>
      <c r="M16" s="335" t="str">
        <f>IF(Umse!$C$24=0,0,IF(OR($A$1="10.1.",$A$1="10.2.",$A$1="10.3."),S48,IF(OR($A$1="9.1.",$A$1="9.2.",$A$1="9.3.",$A$1="9.4."),S16,IF(OR($A$1="5.1.",$A$1="5.2.",$A$1="5.3.",$A$1="5.4.",$A$1="5.5.",$A$1="5.6.",$A$1="5.7.",$A$1="5.8.",$A$1="5.9.",$A$1="5.10.",$A$1="5.11."),'L Tab'!DC15,IF(OR($A$1="5.12.",$A$1="5.13.",$A$1="5.14.",$A$1="5.15.",$A$1="5.16.",$A$1="5.17.",$A$1="5.18.",$A$1="5.19.",$A$1="5.20.",$A$1="5.21.",$A$1="5.22."),'L Tab'!DK15,IF(OR($A$1="5.23.",$A$1="5.24.",$A$1="5.25.",$A$1="5.26.",$A$1="5.27.",$A$1="5.28.",$A$1="5.29.",$A$1="5.30.",$A$1="5.31.",$A$1="5.32.",$A$1="5.33."),'L Tab'!DS15,IF(Kalk!$B$4=7,Z48,"")))))))</f>
        <v/>
      </c>
      <c r="N16" s="335" t="str">
        <f>IF(Umse!$C$24=0,0,IF(OR($A$1="10.1.",$A$1="10.2.",$A$1="10.3."),T48,IF(OR($A$1="9.1.",$A$1="9.2.",$A$1="9.3.",$A$1="9.4."),T16,IF(OR($A$1="5.1.",$A$1="5.2.",$A$1="5.3.",$A$1="5.4.",$A$1="5.5.",$A$1="5.6.",$A$1="5.7.",$A$1="5.8.",$A$1="5.9.",$A$1="5.10.",$A$1="5.11."),'L Tab'!DD15,IF(OR($A$1="5.12.",$A$1="5.13.",$A$1="5.14.",$A$1="5.15.",$A$1="5.16.",$A$1="5.17.",$A$1="5.18.",$A$1="5.19.",$A$1="5.20.",$A$1="5.21.",$A$1="5.22."),'L Tab'!DL15,IF(OR($A$1="5.23.",$A$1="5.24.",$A$1="5.25.",$A$1="5.26.",$A$1="5.27.",$A$1="5.28.",$A$1="5.29.",$A$1="5.30.",$A$1="5.31.",$A$1="5.32.",$A$1="5.33."),'L Tab'!DT15,IF(Kalk!$B$4=7,AA48,"")))))))</f>
        <v/>
      </c>
      <c r="O16" s="335" t="str">
        <f>IF(Umse!$C$24=0,0,IF(OR($A$1="10.1.",$A$1="10.2.",$A$1="10.3."),U48,IF(OR($A$1="9.1.",$A$1="9.2.",$A$1="9.3.",$A$1="9.4."),U16,IF(OR($A$1="5.1.",$A$1="5.2.",$A$1="5.3.",$A$1="5.4.",$A$1="5.5.",$A$1="5.6.",$A$1="5.7.",$A$1="5.8.",$A$1="5.9.",$A$1="5.10.",$A$1="5.11."),'L Tab'!DE15,IF(OR($A$1="5.12.",$A$1="5.13.",$A$1="5.14.",$A$1="5.15.",$A$1="5.16.",$A$1="5.17.",$A$1="5.18.",$A$1="5.19.",$A$1="5.20.",$A$1="5.21.",$A$1="5.22."),'L Tab'!DM15,IF(OR($A$1="5.23.",$A$1="5.24.",$A$1="5.25.",$A$1="5.26.",$A$1="5.27.",$A$1="5.28.",$A$1="5.29.",$A$1="5.30.",$A$1="5.31.",$A$1="5.32.",$A$1="5.33."),'L Tab'!DU15,IF(Kalk!$B$4=7,AB48,"")))))))</f>
        <v/>
      </c>
      <c r="P16" s="335" t="str">
        <f>IF(Umse!$C$24=0,0,IF(OR($A$1="10.1.",$A$1="10.2.",$A$1="10.3."),V48,IF(OR($A$1="9.1.",$A$1="9.2.",$A$1="9.3.",$A$1="9.4."),V16,IF(OR($A$1="5.1.",$A$1="5.2.",$A$1="5.3.",$A$1="5.4.",$A$1="5.5.",$A$1="5.6.",$A$1="5.7.",$A$1="5.8.",$A$1="5.9.",$A$1="5.10.",$A$1="5.11."),'L Tab'!DF15,IF(OR($A$1="5.12.",$A$1="5.13.",$A$1="5.14.",$A$1="5.15.",$A$1="5.16.",$A$1="5.17.",$A$1="5.18.",$A$1="5.19.",$A$1="5.20.",$A$1="5.21.",$A$1="5.22."),'L Tab'!DN15,IF(OR($A$1="5.23.",$A$1="5.24.",$A$1="5.25.",$A$1="5.26.",$A$1="5.27.",$A$1="5.28.",$A$1="5.29.",$A$1="5.30.",$A$1="5.31.",$A$1="5.32.",$A$1="5.33."),'L Tab'!DV15,IF(Kalk!$B$4=7,AC48,"")))))))</f>
        <v/>
      </c>
      <c r="Q16" s="335" t="str">
        <f>IF(Umse!$C$24=0,0,IF(OR($A$1="10.1.",$A$1="10.2.",$A$1="10.3."),W48,IF(OR($A$1="9.1.",$A$1="9.2.",$A$1="9.3.",$A$1="9.4."),W16,IF(OR($A$1="5.1.",$A$1="5.2.",$A$1="5.3.",$A$1="5.4.",$A$1="5.5.",$A$1="5.6.",$A$1="5.7.",$A$1="5.8.",$A$1="5.9.",$A$1="5.10.",$A$1="5.11."),'L Tab'!DG15,IF(OR($A$1="5.12.",$A$1="5.13.",$A$1="5.14.",$A$1="5.15.",$A$1="5.16.",$A$1="5.17.",$A$1="5.18.",$A$1="5.19.",$A$1="5.20.",$A$1="5.21.",$A$1="5.22."),'L Tab'!DO15,IF(OR($A$1="5.23.",$A$1="5.24.",$A$1="5.25.",$A$1="5.26.",$A$1="5.27.",$A$1="5.28.",$A$1="5.29.",$A$1="5.30.",$A$1="5.31.",$A$1="5.32.",$A$1="5.33."),'L Tab'!DW15,IF(Kalk!$B$4=7,AD48,"")))))))</f>
        <v/>
      </c>
      <c r="R16" s="335" t="str">
        <f>IF(Umse!$C$24=0,0,IF(OR($A$1="10.1.",$A$1="10.2.",$A$1="10.3."),X48,IF(OR($A$1="9.1.",$A$1="9.2.",$A$1="9.3.",$A$1="9.4."),X16,IF(OR($A$1="5.1.",$A$1="5.2.",$A$1="5.3.",$A$1="5.4.",$A$1="5.5.",$A$1="5.6.",$A$1="5.7.",$A$1="5.8.",$A$1="5.9.",$A$1="5.10.",$A$1="5.11."),'L Tab'!DH15,IF(OR($A$1="5.12.",$A$1="5.13.",$A$1="5.14.",$A$1="5.15.",$A$1="5.16.",$A$1="5.17.",$A$1="5.18.",$A$1="5.19.",$A$1="5.20.",$A$1="5.21.",$A$1="5.22."),'L Tab'!DP15,IF(OR($A$1="5.23.",$A$1="5.24.",$A$1="5.25.",$A$1="5.26.",$A$1="5.27.",$A$1="5.28.",$A$1="5.29.",$A$1="5.30.",$A$1="5.31.",$A$1="5.32.",$A$1="5.33."),'L Tab'!DX15,IF(Kalk!$B$4=7,AE48,"")))))))</f>
        <v/>
      </c>
      <c r="S16" s="589" t="str">
        <f>IF(Umse!$C$24=0,0,IF($A$1="9.1.",'L Tab'!DK63,IF($A$1="9.2.",'L Tab'!DS63,IF($A$1="9.3.",'L Tab'!EA63,IF($A$1="9.4.",'L Tab'!EI63,"")))))</f>
        <v/>
      </c>
      <c r="T16" s="335" t="str">
        <f>IF(Umse!$C$24=0,0,IF($A$1="9.1.",'L Tab'!DL63,IF($A$1="9.2.",'L Tab'!DT63,IF($A$1="9.3.",'L Tab'!EB63,IF($A$1="9.4.",'L Tab'!EJ63,"")))))</f>
        <v/>
      </c>
      <c r="U16" s="335" t="str">
        <f>IF(Umse!$C$24=0,0,IF($A$1="9.1.",'L Tab'!DM63,IF($A$1="9.2.",'L Tab'!DU63,IF($A$1="9.3.",'L Tab'!EC63,IF($A$1="9.4.",'L Tab'!EK63,"")))))</f>
        <v/>
      </c>
      <c r="V16" s="335" t="str">
        <f>IF(Umse!$C$24=0,0,IF($A$1="9.1.",'L Tab'!DN63,IF($A$1="9.2.",'L Tab'!DV63,IF($A$1="9.3.",'L Tab'!ED63,IF($A$1="9.4.",'L Tab'!EL63,"")))))</f>
        <v/>
      </c>
      <c r="W16" s="335" t="str">
        <f>IF(Umse!$C$24=0,0,IF($A$1="9.1.",'L Tab'!DO63,IF($A$1="9.2.",'L Tab'!DW63,IF($A$1="9.3.",'L Tab'!EE63,IF($A$1="9.4.",'L Tab'!EM63,"")))))</f>
        <v/>
      </c>
      <c r="X16" s="590" t="str">
        <f>IF(Umse!$C$24=0,0,IF($A$1="9.1.",'L Tab'!DP63,IF($A$1="9.2.",'L Tab'!DX63,IF($A$1="9.3.",'L Tab'!EF63,IF($A$1="9.4.",'L Tab'!EN63,"")))))</f>
        <v/>
      </c>
      <c r="Y16" s="346"/>
      <c r="Z16" s="370" t="s">
        <v>6</v>
      </c>
      <c r="AA16" s="371">
        <v>5</v>
      </c>
      <c r="AC16" s="370" t="s">
        <v>6</v>
      </c>
      <c r="AD16" s="371">
        <v>4</v>
      </c>
      <c r="AF16" s="583" t="s">
        <v>274</v>
      </c>
      <c r="AG16" s="584">
        <v>4</v>
      </c>
    </row>
    <row r="17" spans="2:33">
      <c r="B17" s="332" t="str">
        <f t="shared" si="1"/>
        <v/>
      </c>
      <c r="C17" s="367" t="str">
        <f t="shared" si="2"/>
        <v/>
      </c>
      <c r="D17" s="335" t="str">
        <f t="shared" si="4"/>
        <v/>
      </c>
      <c r="E17" s="335" t="str">
        <f t="shared" si="5"/>
        <v/>
      </c>
      <c r="F17" s="335" t="str">
        <f t="shared" si="6"/>
        <v/>
      </c>
      <c r="G17" s="335" t="str">
        <f t="shared" si="7"/>
        <v/>
      </c>
      <c r="H17" s="335" t="str">
        <f t="shared" si="8"/>
        <v/>
      </c>
      <c r="I17" s="335" t="str">
        <f t="shared" si="9"/>
        <v/>
      </c>
      <c r="J17" s="333" t="str">
        <f>""</f>
        <v/>
      </c>
      <c r="K17" s="332" t="str">
        <f>IF(Umse!$C$24=0,0,IF(Kalk!$B$5=7,AF17,IF(OR(Kalk!$B$5=5,Kalk!$B$5=9),Z17,IF(Kalk!$B$5=10,AC17,""))))</f>
        <v/>
      </c>
      <c r="L17" s="367" t="str">
        <f>IF(Umse!$C$24=0,0,IF(Kalk!$B$5=7,AG17,IF(OR(Kalk!$B$5=5,Kalk!$B$5=9),AA17,IF(Kalk!$B$5=10,AD17,""))))</f>
        <v/>
      </c>
      <c r="M17" s="335" t="str">
        <f>IF(Umse!$C$24=0,0,IF(OR($A$1="10.1.",$A$1="10.2.",$A$1="10.3."),S49,IF(OR($A$1="9.1.",$A$1="9.2.",$A$1="9.3.",$A$1="9.4."),S17,IF(OR($A$1="5.1.",$A$1="5.2.",$A$1="5.3.",$A$1="5.4.",$A$1="5.5.",$A$1="5.6.",$A$1="5.7.",$A$1="5.8.",$A$1="5.9.",$A$1="5.10.",$A$1="5.11."),'L Tab'!DC16,IF(OR($A$1="5.12.",$A$1="5.13.",$A$1="5.14.",$A$1="5.15.",$A$1="5.16.",$A$1="5.17.",$A$1="5.18.",$A$1="5.19.",$A$1="5.20.",$A$1="5.21.",$A$1="5.22."),'L Tab'!DK16,IF(OR($A$1="5.23.",$A$1="5.24.",$A$1="5.25.",$A$1="5.26.",$A$1="5.27.",$A$1="5.28.",$A$1="5.29.",$A$1="5.30.",$A$1="5.31.",$A$1="5.32.",$A$1="5.33."),'L Tab'!DS16,IF(Kalk!$B$4=7,Z49,"")))))))</f>
        <v/>
      </c>
      <c r="N17" s="335" t="str">
        <f>IF(Umse!$C$24=0,0,IF(OR($A$1="10.1.",$A$1="10.2.",$A$1="10.3."),T49,IF(OR($A$1="9.1.",$A$1="9.2.",$A$1="9.3.",$A$1="9.4."),T17,IF(OR($A$1="5.1.",$A$1="5.2.",$A$1="5.3.",$A$1="5.4.",$A$1="5.5.",$A$1="5.6.",$A$1="5.7.",$A$1="5.8.",$A$1="5.9.",$A$1="5.10.",$A$1="5.11."),'L Tab'!DD16,IF(OR($A$1="5.12.",$A$1="5.13.",$A$1="5.14.",$A$1="5.15.",$A$1="5.16.",$A$1="5.17.",$A$1="5.18.",$A$1="5.19.",$A$1="5.20.",$A$1="5.21.",$A$1="5.22."),'L Tab'!DL16,IF(OR($A$1="5.23.",$A$1="5.24.",$A$1="5.25.",$A$1="5.26.",$A$1="5.27.",$A$1="5.28.",$A$1="5.29.",$A$1="5.30.",$A$1="5.31.",$A$1="5.32.",$A$1="5.33."),'L Tab'!DT16,IF(Kalk!$B$4=7,AA49,"")))))))</f>
        <v/>
      </c>
      <c r="O17" s="335" t="str">
        <f>IF(Umse!$C$24=0,0,IF(OR($A$1="10.1.",$A$1="10.2.",$A$1="10.3."),U49,IF(OR($A$1="9.1.",$A$1="9.2.",$A$1="9.3.",$A$1="9.4."),U17,IF(OR($A$1="5.1.",$A$1="5.2.",$A$1="5.3.",$A$1="5.4.",$A$1="5.5.",$A$1="5.6.",$A$1="5.7.",$A$1="5.8.",$A$1="5.9.",$A$1="5.10.",$A$1="5.11."),'L Tab'!DE16,IF(OR($A$1="5.12.",$A$1="5.13.",$A$1="5.14.",$A$1="5.15.",$A$1="5.16.",$A$1="5.17.",$A$1="5.18.",$A$1="5.19.",$A$1="5.20.",$A$1="5.21.",$A$1="5.22."),'L Tab'!DM16,IF(OR($A$1="5.23.",$A$1="5.24.",$A$1="5.25.",$A$1="5.26.",$A$1="5.27.",$A$1="5.28.",$A$1="5.29.",$A$1="5.30.",$A$1="5.31.",$A$1="5.32.",$A$1="5.33."),'L Tab'!DU16,IF(Kalk!$B$4=7,AB49,"")))))))</f>
        <v/>
      </c>
      <c r="P17" s="335" t="str">
        <f>IF(Umse!$C$24=0,0,IF(OR($A$1="10.1.",$A$1="10.2.",$A$1="10.3."),V49,IF(OR($A$1="9.1.",$A$1="9.2.",$A$1="9.3.",$A$1="9.4."),V17,IF(OR($A$1="5.1.",$A$1="5.2.",$A$1="5.3.",$A$1="5.4.",$A$1="5.5.",$A$1="5.6.",$A$1="5.7.",$A$1="5.8.",$A$1="5.9.",$A$1="5.10.",$A$1="5.11."),'L Tab'!DF16,IF(OR($A$1="5.12.",$A$1="5.13.",$A$1="5.14.",$A$1="5.15.",$A$1="5.16.",$A$1="5.17.",$A$1="5.18.",$A$1="5.19.",$A$1="5.20.",$A$1="5.21.",$A$1="5.22."),'L Tab'!DN16,IF(OR($A$1="5.23.",$A$1="5.24.",$A$1="5.25.",$A$1="5.26.",$A$1="5.27.",$A$1="5.28.",$A$1="5.29.",$A$1="5.30.",$A$1="5.31.",$A$1="5.32.",$A$1="5.33."),'L Tab'!DV16,IF(Kalk!$B$4=7,AC49,"")))))))</f>
        <v/>
      </c>
      <c r="Q17" s="335" t="str">
        <f>IF(Umse!$C$24=0,0,IF(OR($A$1="10.1.",$A$1="10.2.",$A$1="10.3."),W49,IF(OR($A$1="9.1.",$A$1="9.2.",$A$1="9.3.",$A$1="9.4."),W17,IF(OR($A$1="5.1.",$A$1="5.2.",$A$1="5.3.",$A$1="5.4.",$A$1="5.5.",$A$1="5.6.",$A$1="5.7.",$A$1="5.8.",$A$1="5.9.",$A$1="5.10.",$A$1="5.11."),'L Tab'!DG16,IF(OR($A$1="5.12.",$A$1="5.13.",$A$1="5.14.",$A$1="5.15.",$A$1="5.16.",$A$1="5.17.",$A$1="5.18.",$A$1="5.19.",$A$1="5.20.",$A$1="5.21.",$A$1="5.22."),'L Tab'!DO16,IF(OR($A$1="5.23.",$A$1="5.24.",$A$1="5.25.",$A$1="5.26.",$A$1="5.27.",$A$1="5.28.",$A$1="5.29.",$A$1="5.30.",$A$1="5.31.",$A$1="5.32.",$A$1="5.33."),'L Tab'!DW16,IF(Kalk!$B$4=7,AD49,"")))))))</f>
        <v/>
      </c>
      <c r="R17" s="335" t="str">
        <f>IF(Umse!$C$24=0,0,IF(OR($A$1="10.1.",$A$1="10.2.",$A$1="10.3."),X49,IF(OR($A$1="9.1.",$A$1="9.2.",$A$1="9.3.",$A$1="9.4."),X17,IF(OR($A$1="5.1.",$A$1="5.2.",$A$1="5.3.",$A$1="5.4.",$A$1="5.5.",$A$1="5.6.",$A$1="5.7.",$A$1="5.8.",$A$1="5.9.",$A$1="5.10.",$A$1="5.11."),'L Tab'!DH16,IF(OR($A$1="5.12.",$A$1="5.13.",$A$1="5.14.",$A$1="5.15.",$A$1="5.16.",$A$1="5.17.",$A$1="5.18.",$A$1="5.19.",$A$1="5.20.",$A$1="5.21.",$A$1="5.22."),'L Tab'!DP16,IF(OR($A$1="5.23.",$A$1="5.24.",$A$1="5.25.",$A$1="5.26.",$A$1="5.27.",$A$1="5.28.",$A$1="5.29.",$A$1="5.30.",$A$1="5.31.",$A$1="5.32.",$A$1="5.33."),'L Tab'!DX16,IF(Kalk!$B$4=7,AE49,"")))))))</f>
        <v/>
      </c>
      <c r="S17" s="589" t="str">
        <f>IF(Umse!$C$24=0,0,IF($A$1="9.1.",'L Tab'!DK64,IF($A$1="9.2.",'L Tab'!DS64,IF($A$1="9.3.",'L Tab'!EA64,IF($A$1="9.4.",'L Tab'!EI64,"")))))</f>
        <v/>
      </c>
      <c r="T17" s="335" t="str">
        <f>IF(Umse!$C$24=0,0,IF($A$1="9.1.",'L Tab'!DL64,IF($A$1="9.2.",'L Tab'!DT64,IF($A$1="9.3.",'L Tab'!EB64,IF($A$1="9.4.",'L Tab'!EJ64,"")))))</f>
        <v/>
      </c>
      <c r="U17" s="335" t="str">
        <f>IF(Umse!$C$24=0,0,IF($A$1="9.1.",'L Tab'!DM64,IF($A$1="9.2.",'L Tab'!DU64,IF($A$1="9.3.",'L Tab'!EC64,IF($A$1="9.4.",'L Tab'!EK64,"")))))</f>
        <v/>
      </c>
      <c r="V17" s="335" t="str">
        <f>IF(Umse!$C$24=0,0,IF($A$1="9.1.",'L Tab'!DN64,IF($A$1="9.2.",'L Tab'!DV64,IF($A$1="9.3.",'L Tab'!ED64,IF($A$1="9.4.",'L Tab'!EL64,"")))))</f>
        <v/>
      </c>
      <c r="W17" s="335" t="str">
        <f>IF(Umse!$C$24=0,0,IF($A$1="9.1.",'L Tab'!DO64,IF($A$1="9.2.",'L Tab'!DW64,IF($A$1="9.3.",'L Tab'!EE64,IF($A$1="9.4.",'L Tab'!EM64,"")))))</f>
        <v/>
      </c>
      <c r="X17" s="590" t="str">
        <f>IF(Umse!$C$24=0,0,IF($A$1="9.1.",'L Tab'!DP64,IF($A$1="9.2.",'L Tab'!DX64,IF($A$1="9.3.",'L Tab'!EF64,IF($A$1="9.4.",'L Tab'!EN64,"")))))</f>
        <v/>
      </c>
      <c r="Y17" s="346"/>
      <c r="Z17" s="370" t="s">
        <v>6</v>
      </c>
      <c r="AA17" s="371">
        <v>4</v>
      </c>
      <c r="AC17" s="370" t="s">
        <v>6</v>
      </c>
      <c r="AD17" s="371">
        <v>3</v>
      </c>
      <c r="AF17" s="583" t="s">
        <v>274</v>
      </c>
      <c r="AG17" s="584">
        <v>3</v>
      </c>
    </row>
    <row r="18" spans="2:33">
      <c r="B18" s="332" t="str">
        <f t="shared" si="1"/>
        <v/>
      </c>
      <c r="C18" s="367" t="str">
        <f t="shared" si="2"/>
        <v/>
      </c>
      <c r="D18" s="335" t="str">
        <f t="shared" si="4"/>
        <v/>
      </c>
      <c r="E18" s="335" t="str">
        <f t="shared" si="5"/>
        <v/>
      </c>
      <c r="F18" s="335" t="str">
        <f t="shared" si="6"/>
        <v/>
      </c>
      <c r="G18" s="335" t="str">
        <f t="shared" si="7"/>
        <v/>
      </c>
      <c r="H18" s="335" t="str">
        <f t="shared" si="8"/>
        <v/>
      </c>
      <c r="I18" s="335" t="str">
        <f t="shared" si="9"/>
        <v/>
      </c>
      <c r="J18" s="333" t="str">
        <f>""</f>
        <v/>
      </c>
      <c r="K18" s="332" t="str">
        <f>IF(Umse!$C$24=0,0,IF(Kalk!$B$5=7,AF18,IF(OR(Kalk!$B$5=5,Kalk!$B$5=9),Z18,IF(Kalk!$B$5=10,AC18,""))))</f>
        <v/>
      </c>
      <c r="L18" s="367" t="str">
        <f>IF(Umse!$C$24=0,0,IF(Kalk!$B$5=7,AG18,IF(OR(Kalk!$B$5=5,Kalk!$B$5=9),AA18,IF(Kalk!$B$5=10,AD18,""))))</f>
        <v/>
      </c>
      <c r="M18" s="335" t="str">
        <f>IF(Umse!$C$24=0,0,IF(OR($A$1="10.1.",$A$1="10.2.",$A$1="10.3."),S50,IF(OR($A$1="9.1.",$A$1="9.2.",$A$1="9.3.",$A$1="9.4."),S18,IF(OR($A$1="5.1.",$A$1="5.2.",$A$1="5.3.",$A$1="5.4.",$A$1="5.5.",$A$1="5.6.",$A$1="5.7.",$A$1="5.8.",$A$1="5.9.",$A$1="5.10.",$A$1="5.11."),'L Tab'!DC17,IF(OR($A$1="5.12.",$A$1="5.13.",$A$1="5.14.",$A$1="5.15.",$A$1="5.16.",$A$1="5.17.",$A$1="5.18.",$A$1="5.19.",$A$1="5.20.",$A$1="5.21.",$A$1="5.22."),'L Tab'!DK17,IF(OR($A$1="5.23.",$A$1="5.24.",$A$1="5.25.",$A$1="5.26.",$A$1="5.27.",$A$1="5.28.",$A$1="5.29.",$A$1="5.30.",$A$1="5.31.",$A$1="5.32.",$A$1="5.33."),'L Tab'!DS17,IF(Kalk!$B$4=7,Z50,"")))))))</f>
        <v/>
      </c>
      <c r="N18" s="335" t="str">
        <f>IF(Umse!$C$24=0,0,IF(OR($A$1="10.1.",$A$1="10.2.",$A$1="10.3."),T50,IF(OR($A$1="9.1.",$A$1="9.2.",$A$1="9.3.",$A$1="9.4."),T18,IF(OR($A$1="5.1.",$A$1="5.2.",$A$1="5.3.",$A$1="5.4.",$A$1="5.5.",$A$1="5.6.",$A$1="5.7.",$A$1="5.8.",$A$1="5.9.",$A$1="5.10.",$A$1="5.11."),'L Tab'!DD17,IF(OR($A$1="5.12.",$A$1="5.13.",$A$1="5.14.",$A$1="5.15.",$A$1="5.16.",$A$1="5.17.",$A$1="5.18.",$A$1="5.19.",$A$1="5.20.",$A$1="5.21.",$A$1="5.22."),'L Tab'!DL17,IF(OR($A$1="5.23.",$A$1="5.24.",$A$1="5.25.",$A$1="5.26.",$A$1="5.27.",$A$1="5.28.",$A$1="5.29.",$A$1="5.30.",$A$1="5.31.",$A$1="5.32.",$A$1="5.33."),'L Tab'!DT17,IF(Kalk!$B$4=7,AA50,"")))))))</f>
        <v/>
      </c>
      <c r="O18" s="335" t="str">
        <f>IF(Umse!$C$24=0,0,IF(OR($A$1="10.1.",$A$1="10.2.",$A$1="10.3."),U50,IF(OR($A$1="9.1.",$A$1="9.2.",$A$1="9.3.",$A$1="9.4."),U18,IF(OR($A$1="5.1.",$A$1="5.2.",$A$1="5.3.",$A$1="5.4.",$A$1="5.5.",$A$1="5.6.",$A$1="5.7.",$A$1="5.8.",$A$1="5.9.",$A$1="5.10.",$A$1="5.11."),'L Tab'!DE17,IF(OR($A$1="5.12.",$A$1="5.13.",$A$1="5.14.",$A$1="5.15.",$A$1="5.16.",$A$1="5.17.",$A$1="5.18.",$A$1="5.19.",$A$1="5.20.",$A$1="5.21.",$A$1="5.22."),'L Tab'!DM17,IF(OR($A$1="5.23.",$A$1="5.24.",$A$1="5.25.",$A$1="5.26.",$A$1="5.27.",$A$1="5.28.",$A$1="5.29.",$A$1="5.30.",$A$1="5.31.",$A$1="5.32.",$A$1="5.33."),'L Tab'!DU17,IF(Kalk!$B$4=7,AB50,"")))))))</f>
        <v/>
      </c>
      <c r="P18" s="335" t="str">
        <f>IF(Umse!$C$24=0,0,IF(OR($A$1="10.1.",$A$1="10.2.",$A$1="10.3."),V50,IF(OR($A$1="9.1.",$A$1="9.2.",$A$1="9.3.",$A$1="9.4."),V18,IF(OR($A$1="5.1.",$A$1="5.2.",$A$1="5.3.",$A$1="5.4.",$A$1="5.5.",$A$1="5.6.",$A$1="5.7.",$A$1="5.8.",$A$1="5.9.",$A$1="5.10.",$A$1="5.11."),'L Tab'!DF17,IF(OR($A$1="5.12.",$A$1="5.13.",$A$1="5.14.",$A$1="5.15.",$A$1="5.16.",$A$1="5.17.",$A$1="5.18.",$A$1="5.19.",$A$1="5.20.",$A$1="5.21.",$A$1="5.22."),'L Tab'!DN17,IF(OR($A$1="5.23.",$A$1="5.24.",$A$1="5.25.",$A$1="5.26.",$A$1="5.27.",$A$1="5.28.",$A$1="5.29.",$A$1="5.30.",$A$1="5.31.",$A$1="5.32.",$A$1="5.33."),'L Tab'!DV17,IF(Kalk!$B$4=7,AC50,"")))))))</f>
        <v/>
      </c>
      <c r="Q18" s="335" t="str">
        <f>IF(Umse!$C$24=0,0,IF(OR($A$1="10.1.",$A$1="10.2.",$A$1="10.3."),W50,IF(OR($A$1="9.1.",$A$1="9.2.",$A$1="9.3.",$A$1="9.4."),W18,IF(OR($A$1="5.1.",$A$1="5.2.",$A$1="5.3.",$A$1="5.4.",$A$1="5.5.",$A$1="5.6.",$A$1="5.7.",$A$1="5.8.",$A$1="5.9.",$A$1="5.10.",$A$1="5.11."),'L Tab'!DG17,IF(OR($A$1="5.12.",$A$1="5.13.",$A$1="5.14.",$A$1="5.15.",$A$1="5.16.",$A$1="5.17.",$A$1="5.18.",$A$1="5.19.",$A$1="5.20.",$A$1="5.21.",$A$1="5.22."),'L Tab'!DO17,IF(OR($A$1="5.23.",$A$1="5.24.",$A$1="5.25.",$A$1="5.26.",$A$1="5.27.",$A$1="5.28.",$A$1="5.29.",$A$1="5.30.",$A$1="5.31.",$A$1="5.32.",$A$1="5.33."),'L Tab'!DW17,IF(Kalk!$B$4=7,AD50,"")))))))</f>
        <v/>
      </c>
      <c r="R18" s="335" t="str">
        <f>IF(Umse!$C$24=0,0,IF(OR($A$1="10.1.",$A$1="10.2.",$A$1="10.3."),X50,IF(OR($A$1="9.1.",$A$1="9.2.",$A$1="9.3.",$A$1="9.4."),X18,IF(OR($A$1="5.1.",$A$1="5.2.",$A$1="5.3.",$A$1="5.4.",$A$1="5.5.",$A$1="5.6.",$A$1="5.7.",$A$1="5.8.",$A$1="5.9.",$A$1="5.10.",$A$1="5.11."),'L Tab'!DH17,IF(OR($A$1="5.12.",$A$1="5.13.",$A$1="5.14.",$A$1="5.15.",$A$1="5.16.",$A$1="5.17.",$A$1="5.18.",$A$1="5.19.",$A$1="5.20.",$A$1="5.21.",$A$1="5.22."),'L Tab'!DP17,IF(OR($A$1="5.23.",$A$1="5.24.",$A$1="5.25.",$A$1="5.26.",$A$1="5.27.",$A$1="5.28.",$A$1="5.29.",$A$1="5.30.",$A$1="5.31.",$A$1="5.32.",$A$1="5.33."),'L Tab'!DX17,IF(Kalk!$B$4=7,AE50,"")))))))</f>
        <v/>
      </c>
      <c r="S18" s="589" t="str">
        <f>IF(Umse!$C$24=0,0,IF($A$1="9.1.",'L Tab'!DK65,IF($A$1="9.2.",'L Tab'!DS65,IF($A$1="9.3.",'L Tab'!EA65,IF($A$1="9.4.",'L Tab'!EI65,"")))))</f>
        <v/>
      </c>
      <c r="T18" s="335" t="str">
        <f>IF(Umse!$C$24=0,0,IF($A$1="9.1.",'L Tab'!DL65,IF($A$1="9.2.",'L Tab'!DT65,IF($A$1="9.3.",'L Tab'!EB65,IF($A$1="9.4.",'L Tab'!EJ65,"")))))</f>
        <v/>
      </c>
      <c r="U18" s="335" t="str">
        <f>IF(Umse!$C$24=0,0,IF($A$1="9.1.",'L Tab'!DM65,IF($A$1="9.2.",'L Tab'!DU65,IF($A$1="9.3.",'L Tab'!EC65,IF($A$1="9.4.",'L Tab'!EK65,"")))))</f>
        <v/>
      </c>
      <c r="V18" s="335" t="str">
        <f>IF(Umse!$C$24=0,0,IF($A$1="9.1.",'L Tab'!DN65,IF($A$1="9.2.",'L Tab'!DV65,IF($A$1="9.3.",'L Tab'!ED65,IF($A$1="9.4.",'L Tab'!EL65,"")))))</f>
        <v/>
      </c>
      <c r="W18" s="335" t="str">
        <f>IF(Umse!$C$24=0,0,IF($A$1="9.1.",'L Tab'!DO65,IF($A$1="9.2.",'L Tab'!DW65,IF($A$1="9.3.",'L Tab'!EE65,IF($A$1="9.4.",'L Tab'!EM65,"")))))</f>
        <v/>
      </c>
      <c r="X18" s="590" t="str">
        <f>IF(Umse!$C$24=0,0,IF($A$1="9.1.",'L Tab'!DP65,IF($A$1="9.2.",'L Tab'!DX65,IF($A$1="9.3.",'L Tab'!EF65,IF($A$1="9.4.",'L Tab'!EN65,"")))))</f>
        <v/>
      </c>
      <c r="Y18" s="346"/>
      <c r="Z18" s="370" t="s">
        <v>6</v>
      </c>
      <c r="AA18" s="371">
        <v>3</v>
      </c>
      <c r="AC18" s="370" t="s">
        <v>6</v>
      </c>
      <c r="AD18" s="371">
        <v>2</v>
      </c>
      <c r="AF18" s="583" t="s">
        <v>274</v>
      </c>
      <c r="AG18" s="584">
        <v>2</v>
      </c>
    </row>
    <row r="19" spans="2:33">
      <c r="B19" s="332" t="str">
        <f t="shared" si="1"/>
        <v/>
      </c>
      <c r="C19" s="367" t="str">
        <f t="shared" si="2"/>
        <v/>
      </c>
      <c r="D19" s="335" t="str">
        <f t="shared" si="4"/>
        <v/>
      </c>
      <c r="E19" s="335" t="str">
        <f t="shared" si="5"/>
        <v/>
      </c>
      <c r="F19" s="335" t="str">
        <f t="shared" si="6"/>
        <v/>
      </c>
      <c r="G19" s="335" t="str">
        <f t="shared" si="7"/>
        <v/>
      </c>
      <c r="H19" s="335" t="str">
        <f t="shared" si="8"/>
        <v/>
      </c>
      <c r="I19" s="335" t="str">
        <f t="shared" si="9"/>
        <v/>
      </c>
      <c r="J19" s="333" t="str">
        <f>""</f>
        <v/>
      </c>
      <c r="K19" s="332" t="str">
        <f>IF(Umse!$C$24=0,0,IF(Kalk!$B$5=7,AF19,IF(OR(Kalk!$B$5=5,Kalk!$B$5=9),Z19,IF(Kalk!$B$5=10,AC19,""))))</f>
        <v/>
      </c>
      <c r="L19" s="367" t="str">
        <f>IF(Umse!$C$24=0,0,IF(Kalk!$B$5=7,AG19,IF(OR(Kalk!$B$5=5,Kalk!$B$5=9),AA19,IF(Kalk!$B$5=10,AD19,""))))</f>
        <v/>
      </c>
      <c r="M19" s="335" t="str">
        <f>IF(Umse!$C$24=0,0,IF(OR($A$1="10.1.",$A$1="10.2.",$A$1="10.3."),S51,IF(OR($A$1="9.1.",$A$1="9.2.",$A$1="9.3.",$A$1="9.4."),S19,IF(OR($A$1="5.1.",$A$1="5.2.",$A$1="5.3.",$A$1="5.4.",$A$1="5.5.",$A$1="5.6.",$A$1="5.7.",$A$1="5.8.",$A$1="5.9.",$A$1="5.10.",$A$1="5.11."),'L Tab'!DC18,IF(OR($A$1="5.12.",$A$1="5.13.",$A$1="5.14.",$A$1="5.15.",$A$1="5.16.",$A$1="5.17.",$A$1="5.18.",$A$1="5.19.",$A$1="5.20.",$A$1="5.21.",$A$1="5.22."),'L Tab'!DK18,IF(OR($A$1="5.23.",$A$1="5.24.",$A$1="5.25.",$A$1="5.26.",$A$1="5.27.",$A$1="5.28.",$A$1="5.29.",$A$1="5.30.",$A$1="5.31.",$A$1="5.32.",$A$1="5.33."),'L Tab'!DS18,IF(Kalk!$B$4=7,Z51,"")))))))</f>
        <v/>
      </c>
      <c r="N19" s="335" t="str">
        <f>IF(Umse!$C$24=0,0,IF(OR($A$1="10.1.",$A$1="10.2.",$A$1="10.3."),T51,IF(OR($A$1="9.1.",$A$1="9.2.",$A$1="9.3.",$A$1="9.4."),T19,IF(OR($A$1="5.1.",$A$1="5.2.",$A$1="5.3.",$A$1="5.4.",$A$1="5.5.",$A$1="5.6.",$A$1="5.7.",$A$1="5.8.",$A$1="5.9.",$A$1="5.10.",$A$1="5.11."),'L Tab'!DD18,IF(OR($A$1="5.12.",$A$1="5.13.",$A$1="5.14.",$A$1="5.15.",$A$1="5.16.",$A$1="5.17.",$A$1="5.18.",$A$1="5.19.",$A$1="5.20.",$A$1="5.21.",$A$1="5.22."),'L Tab'!DL18,IF(OR($A$1="5.23.",$A$1="5.24.",$A$1="5.25.",$A$1="5.26.",$A$1="5.27.",$A$1="5.28.",$A$1="5.29.",$A$1="5.30.",$A$1="5.31.",$A$1="5.32.",$A$1="5.33."),'L Tab'!DT18,IF(Kalk!$B$4=7,AA51,"")))))))</f>
        <v/>
      </c>
      <c r="O19" s="335" t="str">
        <f>IF(Umse!$C$24=0,0,IF(OR($A$1="10.1.",$A$1="10.2.",$A$1="10.3."),U51,IF(OR($A$1="9.1.",$A$1="9.2.",$A$1="9.3.",$A$1="9.4."),U19,IF(OR($A$1="5.1.",$A$1="5.2.",$A$1="5.3.",$A$1="5.4.",$A$1="5.5.",$A$1="5.6.",$A$1="5.7.",$A$1="5.8.",$A$1="5.9.",$A$1="5.10.",$A$1="5.11."),'L Tab'!DE18,IF(OR($A$1="5.12.",$A$1="5.13.",$A$1="5.14.",$A$1="5.15.",$A$1="5.16.",$A$1="5.17.",$A$1="5.18.",$A$1="5.19.",$A$1="5.20.",$A$1="5.21.",$A$1="5.22."),'L Tab'!DM18,IF(OR($A$1="5.23.",$A$1="5.24.",$A$1="5.25.",$A$1="5.26.",$A$1="5.27.",$A$1="5.28.",$A$1="5.29.",$A$1="5.30.",$A$1="5.31.",$A$1="5.32.",$A$1="5.33."),'L Tab'!DU18,IF(Kalk!$B$4=7,AB51,"")))))))</f>
        <v/>
      </c>
      <c r="P19" s="335" t="str">
        <f>IF(Umse!$C$24=0,0,IF(OR($A$1="10.1.",$A$1="10.2.",$A$1="10.3."),V51,IF(OR($A$1="9.1.",$A$1="9.2.",$A$1="9.3.",$A$1="9.4."),V19,IF(OR($A$1="5.1.",$A$1="5.2.",$A$1="5.3.",$A$1="5.4.",$A$1="5.5.",$A$1="5.6.",$A$1="5.7.",$A$1="5.8.",$A$1="5.9.",$A$1="5.10.",$A$1="5.11."),'L Tab'!DF18,IF(OR($A$1="5.12.",$A$1="5.13.",$A$1="5.14.",$A$1="5.15.",$A$1="5.16.",$A$1="5.17.",$A$1="5.18.",$A$1="5.19.",$A$1="5.20.",$A$1="5.21.",$A$1="5.22."),'L Tab'!DN18,IF(OR($A$1="5.23.",$A$1="5.24.",$A$1="5.25.",$A$1="5.26.",$A$1="5.27.",$A$1="5.28.",$A$1="5.29.",$A$1="5.30.",$A$1="5.31.",$A$1="5.32.",$A$1="5.33."),'L Tab'!DV18,IF(Kalk!$B$4=7,AC51,"")))))))</f>
        <v/>
      </c>
      <c r="Q19" s="335" t="str">
        <f>IF(Umse!$C$24=0,0,IF(OR($A$1="10.1.",$A$1="10.2.",$A$1="10.3."),W51,IF(OR($A$1="9.1.",$A$1="9.2.",$A$1="9.3.",$A$1="9.4."),W19,IF(OR($A$1="5.1.",$A$1="5.2.",$A$1="5.3.",$A$1="5.4.",$A$1="5.5.",$A$1="5.6.",$A$1="5.7.",$A$1="5.8.",$A$1="5.9.",$A$1="5.10.",$A$1="5.11."),'L Tab'!DG18,IF(OR($A$1="5.12.",$A$1="5.13.",$A$1="5.14.",$A$1="5.15.",$A$1="5.16.",$A$1="5.17.",$A$1="5.18.",$A$1="5.19.",$A$1="5.20.",$A$1="5.21.",$A$1="5.22."),'L Tab'!DO18,IF(OR($A$1="5.23.",$A$1="5.24.",$A$1="5.25.",$A$1="5.26.",$A$1="5.27.",$A$1="5.28.",$A$1="5.29.",$A$1="5.30.",$A$1="5.31.",$A$1="5.32.",$A$1="5.33."),'L Tab'!DW18,IF(Kalk!$B$4=7,AD51,"")))))))</f>
        <v/>
      </c>
      <c r="R19" s="335" t="str">
        <f>IF(Umse!$C$24=0,0,IF(OR($A$1="10.1.",$A$1="10.2.",$A$1="10.3."),X51,IF(OR($A$1="9.1.",$A$1="9.2.",$A$1="9.3.",$A$1="9.4."),X19,IF(OR($A$1="5.1.",$A$1="5.2.",$A$1="5.3.",$A$1="5.4.",$A$1="5.5.",$A$1="5.6.",$A$1="5.7.",$A$1="5.8.",$A$1="5.9.",$A$1="5.10.",$A$1="5.11."),'L Tab'!DH18,IF(OR($A$1="5.12.",$A$1="5.13.",$A$1="5.14.",$A$1="5.15.",$A$1="5.16.",$A$1="5.17.",$A$1="5.18.",$A$1="5.19.",$A$1="5.20.",$A$1="5.21.",$A$1="5.22."),'L Tab'!DP18,IF(OR($A$1="5.23.",$A$1="5.24.",$A$1="5.25.",$A$1="5.26.",$A$1="5.27.",$A$1="5.28.",$A$1="5.29.",$A$1="5.30.",$A$1="5.31.",$A$1="5.32.",$A$1="5.33."),'L Tab'!DX18,IF(Kalk!$B$4=7,AE51,"")))))))</f>
        <v/>
      </c>
      <c r="S19" s="589" t="str">
        <f>IF(Umse!$C$24=0,0,IF($A$1="9.1.",'L Tab'!DK66,IF($A$1="9.2.",'L Tab'!DS66,IF($A$1="9.3.",'L Tab'!EA66,IF($A$1="9.4.",'L Tab'!EI66,"")))))</f>
        <v/>
      </c>
      <c r="T19" s="335" t="str">
        <f>IF(Umse!$C$24=0,0,IF($A$1="9.1.",'L Tab'!DL66,IF($A$1="9.2.",'L Tab'!DT66,IF($A$1="9.3.",'L Tab'!EB66,IF($A$1="9.4.",'L Tab'!EJ66,"")))))</f>
        <v/>
      </c>
      <c r="U19" s="335" t="str">
        <f>IF(Umse!$C$24=0,0,IF($A$1="9.1.",'L Tab'!DM66,IF($A$1="9.2.",'L Tab'!DU66,IF($A$1="9.3.",'L Tab'!EC66,IF($A$1="9.4.",'L Tab'!EK66,"")))))</f>
        <v/>
      </c>
      <c r="V19" s="335" t="str">
        <f>IF(Umse!$C$24=0,0,IF($A$1="9.1.",'L Tab'!DN66,IF($A$1="9.2.",'L Tab'!DV66,IF($A$1="9.3.",'L Tab'!ED66,IF($A$1="9.4.",'L Tab'!EL66,"")))))</f>
        <v/>
      </c>
      <c r="W19" s="335" t="str">
        <f>IF(Umse!$C$24=0,0,IF($A$1="9.1.",'L Tab'!DO66,IF($A$1="9.2.",'L Tab'!DW66,IF($A$1="9.3.",'L Tab'!EE66,IF($A$1="9.4.",'L Tab'!EM66,"")))))</f>
        <v/>
      </c>
      <c r="X19" s="590" t="str">
        <f>IF(Umse!$C$24=0,0,IF($A$1="9.1.",'L Tab'!DP66,IF($A$1="9.2.",'L Tab'!DX66,IF($A$1="9.3.",'L Tab'!EF66,IF($A$1="9.4.",'L Tab'!EN66,"")))))</f>
        <v/>
      </c>
      <c r="Y19" s="346"/>
      <c r="Z19" s="370" t="s">
        <v>6</v>
      </c>
      <c r="AA19" s="371" t="s">
        <v>14</v>
      </c>
      <c r="AC19" s="370" t="s">
        <v>6</v>
      </c>
      <c r="AD19" s="371">
        <v>1</v>
      </c>
      <c r="AF19" s="348" t="str">
        <f>""</f>
        <v/>
      </c>
      <c r="AG19" s="548" t="str">
        <f>""</f>
        <v/>
      </c>
    </row>
    <row r="20" spans="2:33">
      <c r="B20" s="332" t="str">
        <f t="shared" si="1"/>
        <v/>
      </c>
      <c r="C20" s="367" t="str">
        <f t="shared" si="2"/>
        <v/>
      </c>
      <c r="D20" s="335" t="str">
        <f>IF(M20=0,0,IF(M20="-","-",IF(M20="","",FIXED(ROUND(M20/$A$5,2),2))))</f>
        <v/>
      </c>
      <c r="E20" s="335" t="str">
        <f t="shared" si="5"/>
        <v/>
      </c>
      <c r="F20" s="335" t="str">
        <f>IF(O20=0,0,IF(O20="-","-",IF(O20="","",FIXED(ROUND(O20/$A$5,2),2))))</f>
        <v/>
      </c>
      <c r="G20" s="335" t="str">
        <f t="shared" si="7"/>
        <v/>
      </c>
      <c r="H20" s="335" t="str">
        <f t="shared" si="8"/>
        <v/>
      </c>
      <c r="I20" s="335" t="str">
        <f t="shared" si="9"/>
        <v/>
      </c>
      <c r="J20" s="333" t="str">
        <f>""</f>
        <v/>
      </c>
      <c r="K20" s="332" t="str">
        <f>IF(Umse!$C$24=0,0,IF(Kalk!$B$5=7,AF20,IF(OR(Kalk!$B$5=5,Kalk!$B$5=9),Z20,IF(Kalk!$B$5=10,AC20,""))))</f>
        <v/>
      </c>
      <c r="L20" s="367" t="str">
        <f>IF(Umse!$C$24=0,0,IF(Kalk!$B$5=7,AG20,IF(OR(Kalk!$B$5=5,Kalk!$B$5=9),AA20,IF(Kalk!$B$5=10,AD20,""))))</f>
        <v/>
      </c>
      <c r="M20" s="335" t="str">
        <f>IF(Umse!$C$24=0,0,IF(OR($A$1="10.1.",$A$1="10.2.",$A$1="10.3."),S52,IF(OR($A$1="9.1.",$A$1="9.2.",$A$1="9.3.",$A$1="9.4."),S20,IF(OR($A$1="5.1.",$A$1="5.2.",$A$1="5.3.",$A$1="5.4.",$A$1="5.5.",$A$1="5.6.",$A$1="5.7.",$A$1="5.8.",$A$1="5.9.",$A$1="5.10.",$A$1="5.11."),'L Tab'!DC19,IF(OR($A$1="5.12.",$A$1="5.13.",$A$1="5.14.",$A$1="5.15.",$A$1="5.16.",$A$1="5.17.",$A$1="5.18.",$A$1="5.19.",$A$1="5.20.",$A$1="5.21.",$A$1="5.22."),'L Tab'!DK19,IF(OR($A$1="5.23.",$A$1="5.24.",$A$1="5.25.",$A$1="5.26.",$A$1="5.27.",$A$1="5.28.",$A$1="5.29.",$A$1="5.30.",$A$1="5.31.",$A$1="5.32.",$A$1="5.33."),'L Tab'!DS19,IF(Kalk!$B$4=7,Z52,"")))))))</f>
        <v/>
      </c>
      <c r="N20" s="335" t="str">
        <f>IF(Umse!$C$24=0,0,IF(OR($A$1="10.1.",$A$1="10.2.",$A$1="10.3."),T52,IF(OR($A$1="9.1.",$A$1="9.2.",$A$1="9.3.",$A$1="9.4."),T20,IF(OR($A$1="5.1.",$A$1="5.2.",$A$1="5.3.",$A$1="5.4.",$A$1="5.5.",$A$1="5.6.",$A$1="5.7.",$A$1="5.8.",$A$1="5.9.",$A$1="5.10.",$A$1="5.11."),'L Tab'!DD19,IF(OR($A$1="5.12.",$A$1="5.13.",$A$1="5.14.",$A$1="5.15.",$A$1="5.16.",$A$1="5.17.",$A$1="5.18.",$A$1="5.19.",$A$1="5.20.",$A$1="5.21.",$A$1="5.22."),'L Tab'!DL19,IF(OR($A$1="5.23.",$A$1="5.24.",$A$1="5.25.",$A$1="5.26.",$A$1="5.27.",$A$1="5.28.",$A$1="5.29.",$A$1="5.30.",$A$1="5.31.",$A$1="5.32.",$A$1="5.33."),'L Tab'!DT19,IF(Kalk!$B$4=7,AA52,"")))))))</f>
        <v/>
      </c>
      <c r="O20" s="335" t="str">
        <f>IF(Umse!$C$24=0,0,IF(OR($A$1="10.1.",$A$1="10.2.",$A$1="10.3."),U52,IF(OR($A$1="9.1.",$A$1="9.2.",$A$1="9.3.",$A$1="9.4."),U20,IF(OR($A$1="5.1.",$A$1="5.2.",$A$1="5.3.",$A$1="5.4.",$A$1="5.5.",$A$1="5.6.",$A$1="5.7.",$A$1="5.8.",$A$1="5.9.",$A$1="5.10.",$A$1="5.11."),'L Tab'!DE19,IF(OR($A$1="5.12.",$A$1="5.13.",$A$1="5.14.",$A$1="5.15.",$A$1="5.16.",$A$1="5.17.",$A$1="5.18.",$A$1="5.19.",$A$1="5.20.",$A$1="5.21.",$A$1="5.22."),'L Tab'!DM19,IF(OR($A$1="5.23.",$A$1="5.24.",$A$1="5.25.",$A$1="5.26.",$A$1="5.27.",$A$1="5.28.",$A$1="5.29.",$A$1="5.30.",$A$1="5.31.",$A$1="5.32.",$A$1="5.33."),'L Tab'!DU19,IF(Kalk!$B$4=7,AB52,"")))))))</f>
        <v/>
      </c>
      <c r="P20" s="335" t="str">
        <f>IF(Umse!$C$24=0,0,IF(OR($A$1="10.1.",$A$1="10.2.",$A$1="10.3."),V52,IF(OR($A$1="9.1.",$A$1="9.2.",$A$1="9.3.",$A$1="9.4."),V20,IF(OR($A$1="5.1.",$A$1="5.2.",$A$1="5.3.",$A$1="5.4.",$A$1="5.5.",$A$1="5.6.",$A$1="5.7.",$A$1="5.8.",$A$1="5.9.",$A$1="5.10.",$A$1="5.11."),'L Tab'!DF19,IF(OR($A$1="5.12.",$A$1="5.13.",$A$1="5.14.",$A$1="5.15.",$A$1="5.16.",$A$1="5.17.",$A$1="5.18.",$A$1="5.19.",$A$1="5.20.",$A$1="5.21.",$A$1="5.22."),'L Tab'!DN19,IF(OR($A$1="5.23.",$A$1="5.24.",$A$1="5.25.",$A$1="5.26.",$A$1="5.27.",$A$1="5.28.",$A$1="5.29.",$A$1="5.30.",$A$1="5.31.",$A$1="5.32.",$A$1="5.33."),'L Tab'!DV19,IF(Kalk!$B$4=7,AC52,"")))))))</f>
        <v/>
      </c>
      <c r="Q20" s="335" t="str">
        <f>IF(Umse!$C$24=0,0,IF(OR($A$1="10.1.",$A$1="10.2.",$A$1="10.3."),W52,IF(OR($A$1="9.1.",$A$1="9.2.",$A$1="9.3.",$A$1="9.4."),W20,IF(OR($A$1="5.1.",$A$1="5.2.",$A$1="5.3.",$A$1="5.4.",$A$1="5.5.",$A$1="5.6.",$A$1="5.7.",$A$1="5.8.",$A$1="5.9.",$A$1="5.10.",$A$1="5.11."),'L Tab'!DG19,IF(OR($A$1="5.12.",$A$1="5.13.",$A$1="5.14.",$A$1="5.15.",$A$1="5.16.",$A$1="5.17.",$A$1="5.18.",$A$1="5.19.",$A$1="5.20.",$A$1="5.21.",$A$1="5.22."),'L Tab'!DO19,IF(OR($A$1="5.23.",$A$1="5.24.",$A$1="5.25.",$A$1="5.26.",$A$1="5.27.",$A$1="5.28.",$A$1="5.29.",$A$1="5.30.",$A$1="5.31.",$A$1="5.32.",$A$1="5.33."),'L Tab'!DW19,IF(Kalk!$B$4=7,AD52,"")))))))</f>
        <v/>
      </c>
      <c r="R20" s="335" t="str">
        <f>IF(Umse!$C$24=0,0,IF(OR($A$1="10.1.",$A$1="10.2.",$A$1="10.3."),X52,IF(OR($A$1="9.1.",$A$1="9.2.",$A$1="9.3.",$A$1="9.4."),X20,IF(OR($A$1="5.1.",$A$1="5.2.",$A$1="5.3.",$A$1="5.4.",$A$1="5.5.",$A$1="5.6.",$A$1="5.7.",$A$1="5.8.",$A$1="5.9.",$A$1="5.10.",$A$1="5.11."),'L Tab'!DH19,IF(OR($A$1="5.12.",$A$1="5.13.",$A$1="5.14.",$A$1="5.15.",$A$1="5.16.",$A$1="5.17.",$A$1="5.18.",$A$1="5.19.",$A$1="5.20.",$A$1="5.21.",$A$1="5.22."),'L Tab'!DP19,IF(OR($A$1="5.23.",$A$1="5.24.",$A$1="5.25.",$A$1="5.26.",$A$1="5.27.",$A$1="5.28.",$A$1="5.29.",$A$1="5.30.",$A$1="5.31.",$A$1="5.32.",$A$1="5.33."),'L Tab'!DX19,IF(Kalk!$B$4=7,AE52,"")))))))</f>
        <v/>
      </c>
      <c r="S20" s="589" t="str">
        <f>IF(Umse!$C$24=0,0,IF($A$1="9.1.",'L Tab'!DK67,IF($A$1="9.2.",'L Tab'!DS67,IF($A$1="9.3.",'L Tab'!EA67,IF($A$1="9.4.",'L Tab'!EI67,"")))))</f>
        <v/>
      </c>
      <c r="T20" s="335" t="str">
        <f>IF(Umse!$C$24=0,0,IF($A$1="9.1.",'L Tab'!DL67,IF($A$1="9.2.",'L Tab'!DT67,IF($A$1="9.3.",'L Tab'!EB67,IF($A$1="9.4.",'L Tab'!EJ67,"")))))</f>
        <v/>
      </c>
      <c r="U20" s="335" t="str">
        <f>IF(Umse!$C$24=0,0,IF($A$1="9.1.",'L Tab'!DM67,IF($A$1="9.2.",'L Tab'!DU67,IF($A$1="9.3.",'L Tab'!EC67,IF($A$1="9.4.",'L Tab'!EK67,"")))))</f>
        <v/>
      </c>
      <c r="V20" s="335" t="str">
        <f>IF(Umse!$C$24=0,0,IF($A$1="9.1.",'L Tab'!DN67,IF($A$1="9.2.",'L Tab'!DV67,IF($A$1="9.3.",'L Tab'!ED67,IF($A$1="9.4.",'L Tab'!EL67,"")))))</f>
        <v/>
      </c>
      <c r="W20" s="335" t="str">
        <f>IF(Umse!$C$24=0,0,IF($A$1="9.1.",'L Tab'!DO67,IF($A$1="9.2.",'L Tab'!DW67,IF($A$1="9.3.",'L Tab'!EE67,IF($A$1="9.4.",'L Tab'!EM67,"")))))</f>
        <v/>
      </c>
      <c r="X20" s="590" t="str">
        <f>IF(Umse!$C$24=0,0,IF($A$1="9.1.",'L Tab'!DP67,IF($A$1="9.2.",'L Tab'!DX67,IF($A$1="9.3.",'L Tab'!EF67,IF($A$1="9.4.",'L Tab'!EN67,"")))))</f>
        <v/>
      </c>
      <c r="Y20" s="346"/>
      <c r="Z20" s="370" t="s">
        <v>6</v>
      </c>
      <c r="AA20" s="371">
        <v>2</v>
      </c>
      <c r="AC20" s="348" t="str">
        <f>""</f>
        <v/>
      </c>
      <c r="AD20" s="548" t="str">
        <f>""</f>
        <v/>
      </c>
      <c r="AF20" s="348" t="str">
        <f>""</f>
        <v/>
      </c>
      <c r="AG20" s="548" t="str">
        <f>""</f>
        <v/>
      </c>
    </row>
    <row r="21" spans="2:33">
      <c r="B21" s="332" t="str">
        <f t="shared" si="1"/>
        <v/>
      </c>
      <c r="C21" s="367" t="str">
        <f t="shared" si="2"/>
        <v/>
      </c>
      <c r="D21" s="335" t="str">
        <f t="shared" si="4"/>
        <v/>
      </c>
      <c r="E21" s="335" t="str">
        <f t="shared" si="5"/>
        <v/>
      </c>
      <c r="F21" s="335" t="str">
        <f t="shared" si="6"/>
        <v/>
      </c>
      <c r="G21" s="335" t="str">
        <f t="shared" si="7"/>
        <v/>
      </c>
      <c r="H21" s="335" t="str">
        <f t="shared" si="8"/>
        <v/>
      </c>
      <c r="I21" s="335" t="str">
        <f t="shared" si="9"/>
        <v/>
      </c>
      <c r="J21" s="333" t="str">
        <f>""</f>
        <v/>
      </c>
      <c r="K21" s="332" t="str">
        <f>IF(Umse!$C$24=0,0,IF(Kalk!$B$5=7,AF21,IF(OR(Kalk!$B$5=5,Kalk!$B$5=9),Z21,IF(Kalk!$B$5=10,AC21,""))))</f>
        <v/>
      </c>
      <c r="L21" s="367" t="str">
        <f>IF(Umse!$C$24=0,0,IF(Kalk!$B$5=7,AG21,IF(OR(Kalk!$B$5=5,Kalk!$B$5=9),AA21,IF(Kalk!$B$5=10,AD21,""))))</f>
        <v/>
      </c>
      <c r="M21" s="335" t="str">
        <f>IF(Umse!$C$24=0,0,IF(OR($A$1="10.1.",$A$1="10.2.",$A$1="10.3."),S53,IF(OR($A$1="9.1.",$A$1="9.2.",$A$1="9.3.",$A$1="9.4."),S21,IF(OR($A$1="5.1.",$A$1="5.2.",$A$1="5.3.",$A$1="5.4.",$A$1="5.5.",$A$1="5.6.",$A$1="5.7.",$A$1="5.8.",$A$1="5.9.",$A$1="5.10.",$A$1="5.11."),'L Tab'!DC20,IF(OR($A$1="5.12.",$A$1="5.13.",$A$1="5.14.",$A$1="5.15.",$A$1="5.16.",$A$1="5.17.",$A$1="5.18.",$A$1="5.19.",$A$1="5.20.",$A$1="5.21.",$A$1="5.22."),'L Tab'!DK20,IF(OR($A$1="5.23.",$A$1="5.24.",$A$1="5.25.",$A$1="5.26.",$A$1="5.27.",$A$1="5.28.",$A$1="5.29.",$A$1="5.30.",$A$1="5.31.",$A$1="5.32.",$A$1="5.33."),'L Tab'!DS20,IF(Kalk!$B$4=7,Z53,"")))))))</f>
        <v/>
      </c>
      <c r="N21" s="335" t="str">
        <f>IF(Umse!$C$24=0,0,IF(OR($A$1="10.1.",$A$1="10.2.",$A$1="10.3."),T53,IF(OR($A$1="9.1.",$A$1="9.2.",$A$1="9.3.",$A$1="9.4."),T21,IF(OR($A$1="5.1.",$A$1="5.2.",$A$1="5.3.",$A$1="5.4.",$A$1="5.5.",$A$1="5.6.",$A$1="5.7.",$A$1="5.8.",$A$1="5.9.",$A$1="5.10.",$A$1="5.11."),'L Tab'!DD20,IF(OR($A$1="5.12.",$A$1="5.13.",$A$1="5.14.",$A$1="5.15.",$A$1="5.16.",$A$1="5.17.",$A$1="5.18.",$A$1="5.19.",$A$1="5.20.",$A$1="5.21.",$A$1="5.22."),'L Tab'!DL20,IF(OR($A$1="5.23.",$A$1="5.24.",$A$1="5.25.",$A$1="5.26.",$A$1="5.27.",$A$1="5.28.",$A$1="5.29.",$A$1="5.30.",$A$1="5.31.",$A$1="5.32.",$A$1="5.33."),'L Tab'!DT20,IF(Kalk!$B$4=7,AA53,"")))))))</f>
        <v/>
      </c>
      <c r="O21" s="335" t="str">
        <f>IF(Umse!$C$24=0,0,IF(OR($A$1="10.1.",$A$1="10.2.",$A$1="10.3."),U53,IF(OR($A$1="9.1.",$A$1="9.2.",$A$1="9.3.",$A$1="9.4."),U21,IF(OR($A$1="5.1.",$A$1="5.2.",$A$1="5.3.",$A$1="5.4.",$A$1="5.5.",$A$1="5.6.",$A$1="5.7.",$A$1="5.8.",$A$1="5.9.",$A$1="5.10.",$A$1="5.11."),'L Tab'!DE20,IF(OR($A$1="5.12.",$A$1="5.13.",$A$1="5.14.",$A$1="5.15.",$A$1="5.16.",$A$1="5.17.",$A$1="5.18.",$A$1="5.19.",$A$1="5.20.",$A$1="5.21.",$A$1="5.22."),'L Tab'!DM20,IF(OR($A$1="5.23.",$A$1="5.24.",$A$1="5.25.",$A$1="5.26.",$A$1="5.27.",$A$1="5.28.",$A$1="5.29.",$A$1="5.30.",$A$1="5.31.",$A$1="5.32.",$A$1="5.33."),'L Tab'!DU20,IF(Kalk!$B$4=7,AB53,"")))))))</f>
        <v/>
      </c>
      <c r="P21" s="335" t="str">
        <f>IF(Umse!$C$24=0,0,IF(OR($A$1="10.1.",$A$1="10.2.",$A$1="10.3."),V53,IF(OR($A$1="9.1.",$A$1="9.2.",$A$1="9.3.",$A$1="9.4."),V21,IF(OR($A$1="5.1.",$A$1="5.2.",$A$1="5.3.",$A$1="5.4.",$A$1="5.5.",$A$1="5.6.",$A$1="5.7.",$A$1="5.8.",$A$1="5.9.",$A$1="5.10.",$A$1="5.11."),'L Tab'!DF20,IF(OR($A$1="5.12.",$A$1="5.13.",$A$1="5.14.",$A$1="5.15.",$A$1="5.16.",$A$1="5.17.",$A$1="5.18.",$A$1="5.19.",$A$1="5.20.",$A$1="5.21.",$A$1="5.22."),'L Tab'!DN20,IF(OR($A$1="5.23.",$A$1="5.24.",$A$1="5.25.",$A$1="5.26.",$A$1="5.27.",$A$1="5.28.",$A$1="5.29.",$A$1="5.30.",$A$1="5.31.",$A$1="5.32.",$A$1="5.33."),'L Tab'!DV20,IF(Kalk!$B$4=7,AC53,"")))))))</f>
        <v/>
      </c>
      <c r="Q21" s="335" t="str">
        <f>IF(Umse!$C$24=0,0,IF(OR($A$1="10.1.",$A$1="10.2.",$A$1="10.3."),W53,IF(OR($A$1="9.1.",$A$1="9.2.",$A$1="9.3.",$A$1="9.4."),W21,IF(OR($A$1="5.1.",$A$1="5.2.",$A$1="5.3.",$A$1="5.4.",$A$1="5.5.",$A$1="5.6.",$A$1="5.7.",$A$1="5.8.",$A$1="5.9.",$A$1="5.10.",$A$1="5.11."),'L Tab'!DG20,IF(OR($A$1="5.12.",$A$1="5.13.",$A$1="5.14.",$A$1="5.15.",$A$1="5.16.",$A$1="5.17.",$A$1="5.18.",$A$1="5.19.",$A$1="5.20.",$A$1="5.21.",$A$1="5.22."),'L Tab'!DO20,IF(OR($A$1="5.23.",$A$1="5.24.",$A$1="5.25.",$A$1="5.26.",$A$1="5.27.",$A$1="5.28.",$A$1="5.29.",$A$1="5.30.",$A$1="5.31.",$A$1="5.32.",$A$1="5.33."),'L Tab'!DW20,IF(Kalk!$B$4=7,AD53,"")))))))</f>
        <v/>
      </c>
      <c r="R21" s="335" t="str">
        <f>IF(Umse!$C$24=0,0,IF(OR($A$1="10.1.",$A$1="10.2.",$A$1="10.3."),X53,IF(OR($A$1="9.1.",$A$1="9.2.",$A$1="9.3.",$A$1="9.4."),X21,IF(OR($A$1="5.1.",$A$1="5.2.",$A$1="5.3.",$A$1="5.4.",$A$1="5.5.",$A$1="5.6.",$A$1="5.7.",$A$1="5.8.",$A$1="5.9.",$A$1="5.10.",$A$1="5.11."),'L Tab'!DH20,IF(OR($A$1="5.12.",$A$1="5.13.",$A$1="5.14.",$A$1="5.15.",$A$1="5.16.",$A$1="5.17.",$A$1="5.18.",$A$1="5.19.",$A$1="5.20.",$A$1="5.21.",$A$1="5.22."),'L Tab'!DP20,IF(OR($A$1="5.23.",$A$1="5.24.",$A$1="5.25.",$A$1="5.26.",$A$1="5.27.",$A$1="5.28.",$A$1="5.29.",$A$1="5.30.",$A$1="5.31.",$A$1="5.32.",$A$1="5.33."),'L Tab'!DX20,IF(Kalk!$B$4=7,AE53,"")))))))</f>
        <v/>
      </c>
      <c r="S21" s="591" t="str">
        <f>IF(Umse!$C$24=0,0,IF($A$1="9.1.",'L Tab'!DK68,IF($A$1="9.2.",'L Tab'!DS68,IF($A$1="9.3.",'L Tab'!EA68,IF($A$1="9.4.",'L Tab'!EI68,"")))))</f>
        <v/>
      </c>
      <c r="T21" s="592" t="str">
        <f>IF(Umse!$C$24=0,0,IF($A$1="9.1.",'L Tab'!DL68,IF($A$1="9.2.",'L Tab'!DT68,IF($A$1="9.3.",'L Tab'!EB68,IF($A$1="9.4.",'L Tab'!EJ68,"")))))</f>
        <v/>
      </c>
      <c r="U21" s="592" t="str">
        <f>IF(Umse!$C$24=0,0,IF($A$1="9.1.",'L Tab'!DM68,IF($A$1="9.2.",'L Tab'!DU68,IF($A$1="9.3.",'L Tab'!EC68,IF($A$1="9.4.",'L Tab'!EK68,"")))))</f>
        <v/>
      </c>
      <c r="V21" s="592" t="str">
        <f>IF(Umse!$C$24=0,0,IF($A$1="9.1.",'L Tab'!DN68,IF($A$1="9.2.",'L Tab'!DV68,IF($A$1="9.3.",'L Tab'!ED68,IF($A$1="9.4.",'L Tab'!EL68,"")))))</f>
        <v/>
      </c>
      <c r="W21" s="592" t="str">
        <f>IF(Umse!$C$24=0,0,IF($A$1="9.1.",'L Tab'!DO68,IF($A$1="9.2.",'L Tab'!DW68,IF($A$1="9.3.",'L Tab'!EE68,IF($A$1="9.4.",'L Tab'!EM68,"")))))</f>
        <v/>
      </c>
      <c r="X21" s="593" t="str">
        <f>IF(Umse!$C$24=0,0,IF($A$1="9.1.",'L Tab'!DP68,IF($A$1="9.2.",'L Tab'!DX68,IF($A$1="9.3.",'L Tab'!EF68,IF($A$1="9.4.",'L Tab'!EN68,"")))))</f>
        <v/>
      </c>
      <c r="Y21" s="346"/>
      <c r="Z21" s="375" t="s">
        <v>6</v>
      </c>
      <c r="AA21" s="377">
        <v>1</v>
      </c>
      <c r="AC21" s="546" t="str">
        <f>""</f>
        <v/>
      </c>
      <c r="AD21" s="549" t="str">
        <f>""</f>
        <v/>
      </c>
      <c r="AF21" s="546" t="str">
        <f>""</f>
        <v/>
      </c>
      <c r="AG21" s="549" t="str">
        <f>""</f>
        <v/>
      </c>
    </row>
    <row r="22" spans="2:33">
      <c r="B22" s="332"/>
      <c r="C22" s="332"/>
      <c r="D22" s="335"/>
      <c r="E22" s="335"/>
      <c r="F22" s="335"/>
      <c r="G22" s="335"/>
      <c r="H22" s="335"/>
      <c r="I22" s="335"/>
      <c r="K22" s="332"/>
      <c r="L22" s="332"/>
      <c r="M22" s="335"/>
      <c r="N22" s="335"/>
      <c r="O22" s="335"/>
      <c r="P22" s="335"/>
      <c r="Q22" s="335"/>
      <c r="R22" s="335"/>
    </row>
    <row r="23" spans="2:33">
      <c r="B23" s="324"/>
      <c r="C23" s="325"/>
      <c r="D23" s="326" t="s">
        <v>24</v>
      </c>
      <c r="E23" s="325"/>
      <c r="F23" s="325"/>
      <c r="G23" s="325"/>
      <c r="H23" s="325"/>
      <c r="I23" s="327"/>
      <c r="M23" s="335"/>
    </row>
    <row r="24" spans="2:33" ht="11.25" customHeight="1">
      <c r="B24" s="677" t="s">
        <v>192</v>
      </c>
      <c r="C24" s="678"/>
      <c r="D24" s="696" t="str">
        <f>IF(Kalk!B5=7,"Überstunde in EG S 2  -  S 13
Überstunde in EG S 14  -  S 18",IF($A$1="9.1.","Überstunde in EG 1 - 8
Überstunde in EG 9 - 15",IF(OR($A$1="9.2.",$A$1="9.3.",$A$1="9.4."),"Überstunde in EG 1 - 8
Überstunde in EG 9a - 15",IF(Kalk!B5=10,"Überstunde in EG 1 - 9
Überstunde in EG 10 - 15","Überstunde in EG 1 - 9b
Überstunde in EG 10 - 15"))))</f>
        <v>Überstunde in EG 1 - 9b
Überstunde in EG 10 - 15</v>
      </c>
      <c r="E24" s="696" t="str">
        <f>IF(Kalk!B5=10,"Nachtarbeit ( 20 - 06 Uhr )
Samstagsarbeit ( 13 - 20 Uhr )","Nachtarbeit ( 21 - 06 Uhr )
Samstagsarbeit ( 13 - 21 Uhr )")</f>
        <v>Nachtarbeit ( 21 - 06 Uhr )
Samstagsarbeit ( 13 - 21 Uhr )</v>
      </c>
      <c r="F24" s="683" t="s">
        <v>21</v>
      </c>
      <c r="G24" s="683" t="s">
        <v>190</v>
      </c>
      <c r="H24" s="683" t="s">
        <v>191</v>
      </c>
      <c r="I24" s="683" t="s">
        <v>396</v>
      </c>
    </row>
    <row r="25" spans="2:33" ht="11.25" customHeight="1">
      <c r="B25" s="679"/>
      <c r="C25" s="680"/>
      <c r="D25" s="697"/>
      <c r="E25" s="697"/>
      <c r="F25" s="679"/>
      <c r="G25" s="683"/>
      <c r="H25" s="683"/>
      <c r="I25" s="679"/>
    </row>
    <row r="26" spans="2:33" ht="11.25" customHeight="1">
      <c r="B26" s="679"/>
      <c r="C26" s="680"/>
      <c r="D26" s="697"/>
      <c r="E26" s="697"/>
      <c r="F26" s="679"/>
      <c r="G26" s="683"/>
      <c r="H26" s="683"/>
      <c r="I26" s="679"/>
    </row>
    <row r="27" spans="2:33" ht="11.25" customHeight="1">
      <c r="B27" s="679"/>
      <c r="C27" s="680"/>
      <c r="D27" s="697"/>
      <c r="E27" s="697"/>
      <c r="F27" s="679"/>
      <c r="G27" s="683"/>
      <c r="H27" s="683"/>
      <c r="I27" s="679"/>
    </row>
    <row r="28" spans="2:33" ht="11.25" customHeight="1">
      <c r="B28" s="679"/>
      <c r="C28" s="680"/>
      <c r="D28" s="697"/>
      <c r="E28" s="697"/>
      <c r="F28" s="679"/>
      <c r="G28" s="683"/>
      <c r="H28" s="683"/>
      <c r="I28" s="679"/>
    </row>
    <row r="29" spans="2:33" ht="11.25" customHeight="1">
      <c r="B29" s="679"/>
      <c r="C29" s="680"/>
      <c r="D29" s="697"/>
      <c r="E29" s="697"/>
      <c r="F29" s="679"/>
      <c r="G29" s="683"/>
      <c r="H29" s="683"/>
      <c r="I29" s="679"/>
    </row>
    <row r="30" spans="2:33" ht="11.25" customHeight="1">
      <c r="B30" s="679"/>
      <c r="C30" s="680"/>
      <c r="D30" s="697"/>
      <c r="E30" s="697"/>
      <c r="F30" s="679"/>
      <c r="G30" s="683"/>
      <c r="H30" s="683"/>
      <c r="I30" s="679"/>
    </row>
    <row r="31" spans="2:33" ht="11.25" customHeight="1">
      <c r="B31" s="679"/>
      <c r="C31" s="680"/>
      <c r="D31" s="697"/>
      <c r="E31" s="697"/>
      <c r="F31" s="679"/>
      <c r="G31" s="683"/>
      <c r="H31" s="683"/>
      <c r="I31" s="679"/>
    </row>
    <row r="32" spans="2:33" ht="11.25" customHeight="1">
      <c r="B32" s="679"/>
      <c r="C32" s="680"/>
      <c r="D32" s="697"/>
      <c r="E32" s="697"/>
      <c r="F32" s="679"/>
      <c r="G32" s="683"/>
      <c r="H32" s="683"/>
      <c r="I32" s="679"/>
    </row>
    <row r="33" spans="1:31" ht="11.25" customHeight="1">
      <c r="B33" s="679"/>
      <c r="C33" s="680"/>
      <c r="D33" s="697"/>
      <c r="E33" s="697"/>
      <c r="F33" s="679"/>
      <c r="G33" s="683"/>
      <c r="H33" s="683"/>
      <c r="I33" s="679"/>
      <c r="K33" s="339"/>
      <c r="L33" s="340"/>
      <c r="M33" s="341" t="s">
        <v>22</v>
      </c>
      <c r="N33" s="340"/>
      <c r="O33" s="340"/>
      <c r="P33" s="340"/>
      <c r="Q33" s="340"/>
      <c r="R33" s="340"/>
      <c r="S33" s="598" t="str">
        <f>IF(AND(Kalk!B4=10,Kalk!A1=0),"Bitte Tarifgebiet auswählen",IF(AND(Kalk!B4=10,Kalk!A1&gt;0),"TV dataport",""))</f>
        <v/>
      </c>
      <c r="T33" s="599"/>
      <c r="U33" s="600" t="str">
        <f>IF(AND(Kalk!B4=10,Kalk!A1=0),"Bitte Tarifgebiet auswählen",IF(A1="10.1.",Para!G182&amp;" "&amp;Para!H182,IF(A1="10.2.",Para!G183&amp;" "&amp;Para!H183,IF(A1="10.3.",Para!G184&amp;" "&amp;Para!H184,""))))</f>
        <v/>
      </c>
      <c r="V33" s="345"/>
      <c r="W33" s="345"/>
      <c r="X33" s="601"/>
      <c r="Z33" s="598" t="str">
        <f>IF(AND(Kalk!B4=7,Kalk!A1=0),"Bitte Tarifgebiet auswählen",IF(OR($A$1="7.1.",$A$1="7.2.",$A$1="7.3.",$A$1="7.4.",$A$1="7.5.",$A$1="7.6.",$A$1="7.7.",$A$1="7.8.",$A$1="7.9.",$A$1="7.10.",$A$1="7.11."),'L Tab'!DJ117,IF(OR($A$1="7.12.",$A$1="7.13.",$A$1="7.14.",$A$1="7.15.",$A$1="7.16.",$A$1="7.17.",$A$1="7.18.",$A$1="7.19.",$A$1="7.20.",$A$1="7.21.",$A$1="7.22."),'L Tab'!DR117,IF(OR($A$1="7.23.",$A$1="7.24.",$A$1="7.25.",$A$1="7.26.",$A$1="7.27.",$A$1="7.28.",$A$1="7.29.",$A$1="7.30.",$A$1="7.31.",$A$1="7.32.",$A$1="7.33."),'L Tab'!DR117,""))))</f>
        <v/>
      </c>
      <c r="AA33" s="599"/>
      <c r="AB33" s="600" t="str">
        <f>IF(AND(Kalk!B4=7,Kalk!A1=0),"Bitte Tarifgebiet auswählen",IF(OR($A$1="7.1.",$A$1="7.2.",$A$1="7.3.",$A$1="7.4.",$A$1="7.5.",$A$1="7.6.",$A$1="7.7.",$A$1="7.8.",$A$1="7.9.",$A$1="7.10.",$A$1="7.11."),Para!G135&amp;" "&amp;Para!H135,IF(OR($A$1="7.12.",$A$1="7.13.",$A$1="7.14.",$A$1="7.15.",$A$1="7.16.",$A$1="7.17.",$A$1="7.18.",$A$1="7.19.",$A$1="7.20.",$A$1="7.21.",$A$1="7.22."),Para!G136&amp;" "&amp;Para!H136,IF(OR($A$1="7.23.",$A$1="7.24.",$A$1="7.25.",$A$1="7.26.",$A$1="7.27.",$A$1="7.28.",$A$1="7.29.",$A$1="7.30.",$A$1="7.31.",$A$1="7.32.",$A$1="7.33."),Para!G136&amp;" "&amp;Para!H136,""))))</f>
        <v/>
      </c>
      <c r="AC33" s="345"/>
      <c r="AD33" s="345"/>
      <c r="AE33" s="601"/>
    </row>
    <row r="34" spans="1:31" ht="16.5">
      <c r="A34" s="328" t="s">
        <v>9</v>
      </c>
      <c r="B34" s="367" t="str">
        <f t="shared" ref="B34:B53" si="10">B2</f>
        <v/>
      </c>
      <c r="C34" s="331"/>
      <c r="D34" s="574" t="str">
        <f>IF(Kalk!B5=10,"30%
30%","30%
15%")</f>
        <v>30%
15%</v>
      </c>
      <c r="E34" s="350">
        <v>0.2</v>
      </c>
      <c r="F34" s="350">
        <v>0.25</v>
      </c>
      <c r="G34" s="350">
        <v>0.35</v>
      </c>
      <c r="H34" s="350">
        <v>1.35</v>
      </c>
      <c r="I34" s="350">
        <v>0.35</v>
      </c>
      <c r="J34" s="328" t="str">
        <f>IF(OR(Umse!$C$24=0,$A$1=0),"",IF(OR(Kalk!B4=5,Kalk!B4=9,Kalk!B4=10),"Hinweis :",""))</f>
        <v/>
      </c>
      <c r="K34" s="367" t="str">
        <f t="shared" ref="K34:K53" si="11">B2</f>
        <v/>
      </c>
      <c r="L34" s="331"/>
      <c r="M34" s="332" t="s">
        <v>7</v>
      </c>
      <c r="N34" s="332" t="s">
        <v>8</v>
      </c>
      <c r="O34" s="332" t="s">
        <v>9</v>
      </c>
      <c r="P34" s="332" t="s">
        <v>10</v>
      </c>
      <c r="Q34" s="332" t="s">
        <v>11</v>
      </c>
      <c r="R34" s="332" t="s">
        <v>12</v>
      </c>
      <c r="S34" s="348"/>
      <c r="T34" s="346"/>
      <c r="U34" s="346"/>
      <c r="V34" s="346"/>
      <c r="W34" s="346"/>
      <c r="X34" s="347"/>
      <c r="Z34" s="348"/>
      <c r="AA34" s="346"/>
      <c r="AB34" s="346"/>
      <c r="AC34" s="346"/>
      <c r="AD34" s="346"/>
      <c r="AE34" s="347"/>
    </row>
    <row r="35" spans="1:31">
      <c r="A35" s="328" t="str">
        <f t="shared" ref="A35:A53" si="12">IF(O3="-","-",IF(O3="","",FIXED(ROUND(O3/$A$5,2),2)))</f>
        <v/>
      </c>
      <c r="B35" s="332" t="str">
        <f t="shared" si="10"/>
        <v/>
      </c>
      <c r="C35" s="367" t="str">
        <f t="shared" ref="C35:C53" si="13">C3</f>
        <v/>
      </c>
      <c r="D35" s="575" t="str">
        <f>IF(F3="","",IF(Kalk!B5=10,ROUND(F3*0.3,2),ROUND(F3*0.15,2)))</f>
        <v/>
      </c>
      <c r="E35" s="343" t="str">
        <f t="shared" ref="E35:E53" si="14">IF(F3="","",ROUND(F3*$E$34,2))</f>
        <v/>
      </c>
      <c r="F35" s="343" t="str">
        <f t="shared" ref="F35:F53" si="15">IF(F3="","",ROUND(F3*$F$34,2))</f>
        <v/>
      </c>
      <c r="G35" s="343" t="str">
        <f t="shared" ref="G35:G53" si="16">IF(F3="","",ROUND(F3*$G$34,2))</f>
        <v/>
      </c>
      <c r="H35" s="343" t="str">
        <f t="shared" ref="H35:H53" si="17">IF(F3="","",ROUND(F3*$H$34,2))</f>
        <v/>
      </c>
      <c r="I35" s="343" t="str">
        <f>IF(F3="","",ROUND(F3*$I$34,2))</f>
        <v/>
      </c>
      <c r="J35" s="328" t="str">
        <f>""</f>
        <v/>
      </c>
      <c r="K35" s="332" t="str">
        <f t="shared" si="11"/>
        <v/>
      </c>
      <c r="L35" s="367" t="str">
        <f t="shared" ref="L35:L53" si="18">C3</f>
        <v/>
      </c>
      <c r="M35" s="344" t="str">
        <f>IF(M3="-","-",IF(M3="","",D3+D35))</f>
        <v/>
      </c>
      <c r="N35" s="344" t="str">
        <f>IF(N3="-","-",IF(N3="","",E3+D35))</f>
        <v/>
      </c>
      <c r="O35" s="344" t="str">
        <f t="shared" ref="O35:O53" si="19">IF(O3="-","-",IF(O3="","",F3+D35))</f>
        <v/>
      </c>
      <c r="P35" s="344" t="str">
        <f t="shared" ref="P35:P53" si="20">IF(P3="-","-",IF(P3="","",G3+D35))</f>
        <v/>
      </c>
      <c r="Q35" s="351" t="str">
        <f>P35</f>
        <v/>
      </c>
      <c r="R35" s="351" t="str">
        <f t="shared" ref="R35:R44" si="21">IF(R3="-","-",IF(R3="","",P35))</f>
        <v/>
      </c>
      <c r="S35" s="589" t="str">
        <f>IF(Umse!$C$24=0,0,IF($A$1="10.1.",'L Tab'!DK86,IF($A$1="10.2.",'L Tab'!DS86,IF($A$1="10.3.",'L Tab'!EA86,""))))</f>
        <v/>
      </c>
      <c r="T35" s="335" t="str">
        <f>IF(Umse!$C$24=0,0,IF($A$1="10.1.",'L Tab'!DL86,IF($A$1="10.2.",'L Tab'!DT86,IF($A$1="10.3.",'L Tab'!EB86,""))))</f>
        <v/>
      </c>
      <c r="U35" s="335" t="str">
        <f>IF(Umse!$C$24=0,0,IF($A$1="10.1.",'L Tab'!DM86,IF($A$1="10.2.",'L Tab'!DU86,IF($A$1="10.3.",'L Tab'!EC86,""))))</f>
        <v/>
      </c>
      <c r="V35" s="335" t="str">
        <f>IF(Umse!$C$24=0,0,IF($A$1="10.1.",'L Tab'!DN86,IF($A$1="10.2.",'L Tab'!DV86,IF($A$1="10.3.",'L Tab'!ED86,""))))</f>
        <v/>
      </c>
      <c r="W35" s="335" t="str">
        <f>IF(Umse!$C$24=0,0,IF($A$1="10.1.",'L Tab'!DO86,IF($A$1="10.2.",'L Tab'!DW86,IF($A$1="10.3.",'L Tab'!EE86,""))))</f>
        <v/>
      </c>
      <c r="X35" s="590" t="str">
        <f>IF(Umse!$C$24=0,0,IF($A$1="10.1.",'L Tab'!DP86,IF($A$1="10.2.",'L Tab'!DX86,IF($A$1="10.3.",'L Tab'!EF86,""))))</f>
        <v/>
      </c>
      <c r="Z35" s="589" t="str">
        <f>IF(Umse!$C$24=0,0,IF(OR($A$1="7.1.",$A$1="7.2.",$A$1="7.3.",$A$1="7.4.",$A$1="7.5.",$A$1="7.6.",$A$1="7.7.",$A$1="7.8.",$A$1="7.9.",$A$1="7.10.",$A$1="7.11."),'L Tab'!DK122,IF(OR($A$1="7.12.",$A$1="7.13.",$A$1="7.14.",$A$1="7.15.",$A$1="7.16.",$A$1="7.17.",$A$1="7.18.",$A$1="7.19.",$A$1="7.20.",$A$1="7.21.",$A$1="7.22."),'L Tab'!DS122,IF(OR($A$1="7.23.",$A$1="7.24.",$A$1="7.25.",$A$1="7.26.",$A$1="7.27.",$A$1="7.28.",$A$1="7.29.",$A$1="7.30.",$A$1="7.31.",$A$1="7.32.",$A$1="7.33."),'L Tab'!DS122,""))))</f>
        <v/>
      </c>
      <c r="AA35" s="335" t="str">
        <f>IF(Umse!$C$24=0,0,IF(OR($A$1="7.1.",$A$1="7.2.",$A$1="7.3.",$A$1="7.4.",$A$1="7.5.",$A$1="7.6.",$A$1="7.7.",$A$1="7.8.",$A$1="7.9.",$A$1="7.10.",$A$1="7.11."),'L Tab'!DL122,IF(OR($A$1="7.12.",$A$1="7.13.",$A$1="7.14.",$A$1="7.15.",$A$1="7.16.",$A$1="7.17.",$A$1="7.18.",$A$1="7.19.",$A$1="7.20.",$A$1="7.21.",$A$1="7.22."),'L Tab'!DT122,IF(OR($A$1="7.23.",$A$1="7.24.",$A$1="7.25.",$A$1="7.26.",$A$1="7.27.",$A$1="7.28.",$A$1="7.29.",$A$1="7.30.",$A$1="7.31.",$A$1="7.32.",$A$1="7.33."),'L Tab'!DT122,""))))</f>
        <v/>
      </c>
      <c r="AB35" s="335" t="str">
        <f>IF(Umse!$C$24=0,0,IF(OR($A$1="7.1.",$A$1="7.2.",$A$1="7.3.",$A$1="7.4.",$A$1="7.5.",$A$1="7.6.",$A$1="7.7.",$A$1="7.8.",$A$1="7.9.",$A$1="7.10.",$A$1="7.11."),'L Tab'!DM122,IF(OR($A$1="7.12.",$A$1="7.13.",$A$1="7.14.",$A$1="7.15.",$A$1="7.16.",$A$1="7.17.",$A$1="7.18.",$A$1="7.19.",$A$1="7.20.",$A$1="7.21.",$A$1="7.22."),'L Tab'!DU122,IF(OR($A$1="7.23.",$A$1="7.24.",$A$1="7.25.",$A$1="7.26.",$A$1="7.27.",$A$1="7.28.",$A$1="7.29.",$A$1="7.30.",$A$1="7.31.",$A$1="7.32.",$A$1="7.33."),'L Tab'!DU122,""))))</f>
        <v/>
      </c>
      <c r="AC35" s="335" t="str">
        <f>IF(Umse!$C$24=0,0,IF(OR($A$1="7.1.",$A$1="7.2.",$A$1="7.3.",$A$1="7.4.",$A$1="7.5.",$A$1="7.6.",$A$1="7.7.",$A$1="7.8.",$A$1="7.9.",$A$1="7.10.",$A$1="7.11."),'L Tab'!DN122,IF(OR($A$1="7.12.",$A$1="7.13.",$A$1="7.14.",$A$1="7.15.",$A$1="7.16.",$A$1="7.17.",$A$1="7.18.",$A$1="7.19.",$A$1="7.20.",$A$1="7.21.",$A$1="7.22."),'L Tab'!DV122,IF(OR($A$1="7.23.",$A$1="7.24.",$A$1="7.25.",$A$1="7.26.",$A$1="7.27.",$A$1="7.28.",$A$1="7.29.",$A$1="7.30.",$A$1="7.31.",$A$1="7.32.",$A$1="7.33."),'L Tab'!DV122,""))))</f>
        <v/>
      </c>
      <c r="AD35" s="335" t="str">
        <f>IF(Umse!$C$24=0,0,IF(OR($A$1="7.1.",$A$1="7.2.",$A$1="7.3.",$A$1="7.4.",$A$1="7.5.",$A$1="7.6.",$A$1="7.7.",$A$1="7.8.",$A$1="7.9.",$A$1="7.10.",$A$1="7.11."),'L Tab'!DO122,IF(OR($A$1="7.12.",$A$1="7.13.",$A$1="7.14.",$A$1="7.15.",$A$1="7.16.",$A$1="7.17.",$A$1="7.18.",$A$1="7.19.",$A$1="7.20.",$A$1="7.21.",$A$1="7.22."),'L Tab'!DW122,IF(OR($A$1="7.23.",$A$1="7.24.",$A$1="7.25.",$A$1="7.26.",$A$1="7.27.",$A$1="7.28.",$A$1="7.29.",$A$1="7.30.",$A$1="7.31.",$A$1="7.32.",$A$1="7.33."),'L Tab'!DW122,""))))</f>
        <v/>
      </c>
      <c r="AE35" s="590" t="str">
        <f>IF(Umse!$C$24=0,0,IF(OR($A$1="7.1.",$A$1="7.2.",$A$1="7.3.",$A$1="7.4.",$A$1="7.5.",$A$1="7.6.",$A$1="7.7.",$A$1="7.8.",$A$1="7.9.",$A$1="7.10.",$A$1="7.11."),'L Tab'!DP122,IF(OR($A$1="7.12.",$A$1="7.13.",$A$1="7.14.",$A$1="7.15.",$A$1="7.16.",$A$1="7.17.",$A$1="7.18.",$A$1="7.19.",$A$1="7.20.",$A$1="7.21.",$A$1="7.22."),'L Tab'!DX122,IF(OR($A$1="7.23.",$A$1="7.24.",$A$1="7.25.",$A$1="7.26.",$A$1="7.27.",$A$1="7.28.",$A$1="7.29.",$A$1="7.30.",$A$1="7.31.",$A$1="7.32.",$A$1="7.33."),'L Tab'!DX122,""))))</f>
        <v/>
      </c>
    </row>
    <row r="36" spans="1:31">
      <c r="A36" s="328" t="str">
        <f t="shared" si="12"/>
        <v/>
      </c>
      <c r="B36" s="332" t="str">
        <f t="shared" si="10"/>
        <v/>
      </c>
      <c r="C36" s="367" t="str">
        <f t="shared" si="13"/>
        <v/>
      </c>
      <c r="D36" s="575" t="str">
        <f>IF(F4="","",IF(Kalk!B5=10,ROUND(F4*0.3,2),ROUND(F4*0.15,2)))</f>
        <v/>
      </c>
      <c r="E36" s="343" t="str">
        <f t="shared" si="14"/>
        <v/>
      </c>
      <c r="F36" s="343" t="str">
        <f t="shared" si="15"/>
        <v/>
      </c>
      <c r="G36" s="343" t="str">
        <f t="shared" si="16"/>
        <v/>
      </c>
      <c r="H36" s="343" t="str">
        <f t="shared" si="17"/>
        <v/>
      </c>
      <c r="I36" s="343" t="str">
        <f t="shared" ref="I36:I53" si="22">IF(F4="","",ROUND(F4*$I$34,2))</f>
        <v/>
      </c>
      <c r="J36" s="328" t="str">
        <f>IF(OR(Umse!$C$24=0,$A$1=0),"",IF(OR(Kalk!B4=5,Kalk!B4=9,Kalk!B4=10),"In EG 13Ü sind ",""))</f>
        <v/>
      </c>
      <c r="K36" s="332" t="str">
        <f t="shared" si="11"/>
        <v/>
      </c>
      <c r="L36" s="367" t="str">
        <f t="shared" si="18"/>
        <v/>
      </c>
      <c r="M36" s="344" t="str">
        <f t="shared" ref="M36:M53" si="23">IF(M4="-","-",IF(M4="","",D4+D36))</f>
        <v/>
      </c>
      <c r="N36" s="344" t="str">
        <f t="shared" ref="N36:N53" si="24">IF(N4="-","-",IF(N4="","",E4+D36))</f>
        <v/>
      </c>
      <c r="O36" s="344" t="str">
        <f t="shared" si="19"/>
        <v/>
      </c>
      <c r="P36" s="344" t="str">
        <f t="shared" si="20"/>
        <v/>
      </c>
      <c r="Q36" s="351" t="str">
        <f t="shared" ref="Q36:Q53" si="25">P36</f>
        <v/>
      </c>
      <c r="R36" s="351" t="str">
        <f t="shared" si="21"/>
        <v/>
      </c>
      <c r="S36" s="589" t="str">
        <f>IF(Umse!$C$24=0,0,IF($A$1="10.1.",'L Tab'!DK87,IF($A$1="10.2.",'L Tab'!DS87,IF($A$1="10.3.",'L Tab'!EA87,""))))</f>
        <v/>
      </c>
      <c r="T36" s="335" t="str">
        <f>IF(Umse!$C$24=0,0,IF($A$1="10.1.",'L Tab'!DL87,IF($A$1="10.2.",'L Tab'!DT87,IF($A$1="10.3.",'L Tab'!EB87,""))))</f>
        <v/>
      </c>
      <c r="U36" s="335" t="str">
        <f>IF(Umse!$C$24=0,0,IF($A$1="10.1.",'L Tab'!DM87,IF($A$1="10.2.",'L Tab'!DU87,IF($A$1="10.3.",'L Tab'!EC87,""))))</f>
        <v/>
      </c>
      <c r="V36" s="335" t="str">
        <f>IF(Umse!$C$24=0,0,IF($A$1="10.1.",'L Tab'!DN87,IF($A$1="10.2.",'L Tab'!DV87,IF($A$1="10.3.",'L Tab'!ED87,""))))</f>
        <v/>
      </c>
      <c r="W36" s="335" t="str">
        <f>IF(Umse!$C$24=0,0,IF($A$1="10.1.",'L Tab'!DO87,IF($A$1="10.2.",'L Tab'!DW87,IF($A$1="10.3.",'L Tab'!EE87,""))))</f>
        <v/>
      </c>
      <c r="X36" s="590" t="str">
        <f>IF(Umse!$C$24=0,0,IF($A$1="10.1.",'L Tab'!DP87,IF($A$1="10.2.",'L Tab'!DX87,IF($A$1="10.3.",'L Tab'!EF87,""))))</f>
        <v/>
      </c>
      <c r="Z36" s="589" t="str">
        <f>IF(Umse!$C$24=0,0,IF(OR($A$1="7.1.",$A$1="7.2.",$A$1="7.3.",$A$1="7.4.",$A$1="7.5.",$A$1="7.6.",$A$1="7.7.",$A$1="7.8.",$A$1="7.9.",$A$1="7.10.",$A$1="7.11."),'L Tab'!DK123,IF(OR($A$1="7.12.",$A$1="7.13.",$A$1="7.14.",$A$1="7.15.",$A$1="7.16.",$A$1="7.17.",$A$1="7.18.",$A$1="7.19.",$A$1="7.20.",$A$1="7.21.",$A$1="7.22."),'L Tab'!DS123,IF(OR($A$1="7.23.",$A$1="7.24.",$A$1="7.25.",$A$1="7.26.",$A$1="7.27.",$A$1="7.28.",$A$1="7.29.",$A$1="7.30.",$A$1="7.31.",$A$1="7.32.",$A$1="7.33."),'L Tab'!DS123,""))))</f>
        <v/>
      </c>
      <c r="AA36" s="335" t="str">
        <f>IF(Umse!$C$24=0,0,IF(OR($A$1="7.1.",$A$1="7.2.",$A$1="7.3.",$A$1="7.4.",$A$1="7.5.",$A$1="7.6.",$A$1="7.7.",$A$1="7.8.",$A$1="7.9.",$A$1="7.10.",$A$1="7.11."),'L Tab'!DL123,IF(OR($A$1="7.12.",$A$1="7.13.",$A$1="7.14.",$A$1="7.15.",$A$1="7.16.",$A$1="7.17.",$A$1="7.18.",$A$1="7.19.",$A$1="7.20.",$A$1="7.21.",$A$1="7.22."),'L Tab'!DT123,IF(OR($A$1="7.23.",$A$1="7.24.",$A$1="7.25.",$A$1="7.26.",$A$1="7.27.",$A$1="7.28.",$A$1="7.29.",$A$1="7.30.",$A$1="7.31.",$A$1="7.32.",$A$1="7.33."),'L Tab'!DT123,""))))</f>
        <v/>
      </c>
      <c r="AB36" s="335" t="str">
        <f>IF(Umse!$C$24=0,0,IF(OR($A$1="7.1.",$A$1="7.2.",$A$1="7.3.",$A$1="7.4.",$A$1="7.5.",$A$1="7.6.",$A$1="7.7.",$A$1="7.8.",$A$1="7.9.",$A$1="7.10.",$A$1="7.11."),'L Tab'!DM123,IF(OR($A$1="7.12.",$A$1="7.13.",$A$1="7.14.",$A$1="7.15.",$A$1="7.16.",$A$1="7.17.",$A$1="7.18.",$A$1="7.19.",$A$1="7.20.",$A$1="7.21.",$A$1="7.22."),'L Tab'!DU123,IF(OR($A$1="7.23.",$A$1="7.24.",$A$1="7.25.",$A$1="7.26.",$A$1="7.27.",$A$1="7.28.",$A$1="7.29.",$A$1="7.30.",$A$1="7.31.",$A$1="7.32.",$A$1="7.33."),'L Tab'!DU123,""))))</f>
        <v/>
      </c>
      <c r="AC36" s="335" t="str">
        <f>IF(Umse!$C$24=0,0,IF(OR($A$1="7.1.",$A$1="7.2.",$A$1="7.3.",$A$1="7.4.",$A$1="7.5.",$A$1="7.6.",$A$1="7.7.",$A$1="7.8.",$A$1="7.9.",$A$1="7.10.",$A$1="7.11."),'L Tab'!DN123,IF(OR($A$1="7.12.",$A$1="7.13.",$A$1="7.14.",$A$1="7.15.",$A$1="7.16.",$A$1="7.17.",$A$1="7.18.",$A$1="7.19.",$A$1="7.20.",$A$1="7.21.",$A$1="7.22."),'L Tab'!DV123,IF(OR($A$1="7.23.",$A$1="7.24.",$A$1="7.25.",$A$1="7.26.",$A$1="7.27.",$A$1="7.28.",$A$1="7.29.",$A$1="7.30.",$A$1="7.31.",$A$1="7.32.",$A$1="7.33."),'L Tab'!DV123,""))))</f>
        <v/>
      </c>
      <c r="AD36" s="335" t="str">
        <f>IF(Umse!$C$24=0,0,IF(OR($A$1="7.1.",$A$1="7.2.",$A$1="7.3.",$A$1="7.4.",$A$1="7.5.",$A$1="7.6.",$A$1="7.7.",$A$1="7.8.",$A$1="7.9.",$A$1="7.10.",$A$1="7.11."),'L Tab'!DO123,IF(OR($A$1="7.12.",$A$1="7.13.",$A$1="7.14.",$A$1="7.15.",$A$1="7.16.",$A$1="7.17.",$A$1="7.18.",$A$1="7.19.",$A$1="7.20.",$A$1="7.21.",$A$1="7.22."),'L Tab'!DW123,IF(OR($A$1="7.23.",$A$1="7.24.",$A$1="7.25.",$A$1="7.26.",$A$1="7.27.",$A$1="7.28.",$A$1="7.29.",$A$1="7.30.",$A$1="7.31.",$A$1="7.32.",$A$1="7.33."),'L Tab'!DW123,""))))</f>
        <v/>
      </c>
      <c r="AE36" s="590" t="str">
        <f>IF(Umse!$C$24=0,0,IF(OR($A$1="7.1.",$A$1="7.2.",$A$1="7.3.",$A$1="7.4.",$A$1="7.5.",$A$1="7.6.",$A$1="7.7.",$A$1="7.8.",$A$1="7.9.",$A$1="7.10.",$A$1="7.11."),'L Tab'!DP123,IF(OR($A$1="7.12.",$A$1="7.13.",$A$1="7.14.",$A$1="7.15.",$A$1="7.16.",$A$1="7.17.",$A$1="7.18.",$A$1="7.19.",$A$1="7.20.",$A$1="7.21.",$A$1="7.22."),'L Tab'!DX123,IF(OR($A$1="7.23.",$A$1="7.24.",$A$1="7.25.",$A$1="7.26.",$A$1="7.27.",$A$1="7.28.",$A$1="7.29.",$A$1="7.30.",$A$1="7.31.",$A$1="7.32.",$A$1="7.33."),'L Tab'!DX123,""))))</f>
        <v/>
      </c>
    </row>
    <row r="37" spans="1:31">
      <c r="A37" s="328" t="str">
        <f>IF(O5="-","-",IF(O5="","",FIXED(ROUND(O5/$A$5,2),2)))</f>
        <v/>
      </c>
      <c r="B37" s="332" t="str">
        <f t="shared" si="10"/>
        <v/>
      </c>
      <c r="C37" s="367" t="str">
        <f t="shared" si="13"/>
        <v/>
      </c>
      <c r="D37" s="575" t="str">
        <f>IF(F5="","",IF(Kalk!B5=10,ROUND(F5*0.3,2),ROUND(F5*0.15,2)))</f>
        <v/>
      </c>
      <c r="E37" s="343" t="str">
        <f t="shared" si="14"/>
        <v/>
      </c>
      <c r="F37" s="343" t="str">
        <f t="shared" si="15"/>
        <v/>
      </c>
      <c r="G37" s="343" t="str">
        <f t="shared" si="16"/>
        <v/>
      </c>
      <c r="H37" s="343" t="str">
        <f t="shared" si="17"/>
        <v/>
      </c>
      <c r="I37" s="343" t="str">
        <f t="shared" si="22"/>
        <v/>
      </c>
      <c r="J37" s="328" t="str">
        <f>IF(OR(Umse!$C$24=0,$A$1=0),"",IF(OR(Kalk!B4=5,Kalk!B4=9,Kalk!B4=10),"Stufen 2, 3, 4a, 4b",""))</f>
        <v/>
      </c>
      <c r="K37" s="332" t="str">
        <f t="shared" si="11"/>
        <v/>
      </c>
      <c r="L37" s="367" t="str">
        <f t="shared" si="18"/>
        <v/>
      </c>
      <c r="M37" s="344" t="str">
        <f t="shared" si="23"/>
        <v/>
      </c>
      <c r="N37" s="344" t="str">
        <f t="shared" si="24"/>
        <v/>
      </c>
      <c r="O37" s="344" t="str">
        <f t="shared" si="19"/>
        <v/>
      </c>
      <c r="P37" s="344" t="str">
        <f t="shared" si="20"/>
        <v/>
      </c>
      <c r="Q37" s="351" t="str">
        <f t="shared" si="25"/>
        <v/>
      </c>
      <c r="R37" s="351" t="str">
        <f t="shared" si="21"/>
        <v/>
      </c>
      <c r="S37" s="589" t="str">
        <f>IF(Umse!$C$24=0,0,IF($A$1="10.1.",'L Tab'!DK88,IF($A$1="10.2.",'L Tab'!DS88,IF($A$1="10.3.",'L Tab'!EA88,""))))</f>
        <v/>
      </c>
      <c r="T37" s="335" t="str">
        <f>IF(Umse!$C$24=0,0,IF($A$1="10.1.",'L Tab'!DL88,IF($A$1="10.2.",'L Tab'!DT88,IF($A$1="10.3.",'L Tab'!EB88,""))))</f>
        <v/>
      </c>
      <c r="U37" s="335" t="str">
        <f>IF(Umse!$C$24=0,0,IF($A$1="10.1.",'L Tab'!DM88,IF($A$1="10.2.",'L Tab'!DU88,IF($A$1="10.3.",'L Tab'!EC88,""))))</f>
        <v/>
      </c>
      <c r="V37" s="335" t="str">
        <f>IF(Umse!$C$24=0,0,IF($A$1="10.1.",'L Tab'!DN88,IF($A$1="10.2.",'L Tab'!DV88,IF($A$1="10.3.",'L Tab'!ED88,""))))</f>
        <v/>
      </c>
      <c r="W37" s="335" t="str">
        <f>IF(Umse!$C$24=0,0,IF($A$1="10.1.",'L Tab'!DO88,IF($A$1="10.2.",'L Tab'!DW88,IF($A$1="10.3.",'L Tab'!EE88,""))))</f>
        <v/>
      </c>
      <c r="X37" s="590" t="str">
        <f>IF(Umse!$C$24=0,0,IF($A$1="10.1.",'L Tab'!DP88,IF($A$1="10.2.",'L Tab'!DX88,IF($A$1="10.3.",'L Tab'!EF88,""))))</f>
        <v/>
      </c>
      <c r="Z37" s="589" t="str">
        <f>IF(Umse!$C$24=0,0,IF(OR($A$1="7.1.",$A$1="7.2.",$A$1="7.3.",$A$1="7.4.",$A$1="7.5.",$A$1="7.6.",$A$1="7.7.",$A$1="7.8.",$A$1="7.9.",$A$1="7.10.",$A$1="7.11."),'L Tab'!DK124,IF(OR($A$1="7.12.",$A$1="7.13.",$A$1="7.14.",$A$1="7.15.",$A$1="7.16.",$A$1="7.17.",$A$1="7.18.",$A$1="7.19.",$A$1="7.20.",$A$1="7.21.",$A$1="7.22."),'L Tab'!DS124,IF(OR($A$1="7.23.",$A$1="7.24.",$A$1="7.25.",$A$1="7.26.",$A$1="7.27.",$A$1="7.28.",$A$1="7.29.",$A$1="7.30.",$A$1="7.31.",$A$1="7.32.",$A$1="7.33."),'L Tab'!DS124,""))))</f>
        <v/>
      </c>
      <c r="AA37" s="335" t="str">
        <f>IF(Umse!$C$24=0,0,IF(OR($A$1="7.1.",$A$1="7.2.",$A$1="7.3.",$A$1="7.4.",$A$1="7.5.",$A$1="7.6.",$A$1="7.7.",$A$1="7.8.",$A$1="7.9.",$A$1="7.10.",$A$1="7.11."),'L Tab'!DL124,IF(OR($A$1="7.12.",$A$1="7.13.",$A$1="7.14.",$A$1="7.15.",$A$1="7.16.",$A$1="7.17.",$A$1="7.18.",$A$1="7.19.",$A$1="7.20.",$A$1="7.21.",$A$1="7.22."),'L Tab'!DT124,IF(OR($A$1="7.23.",$A$1="7.24.",$A$1="7.25.",$A$1="7.26.",$A$1="7.27.",$A$1="7.28.",$A$1="7.29.",$A$1="7.30.",$A$1="7.31.",$A$1="7.32.",$A$1="7.33."),'L Tab'!DT124,""))))</f>
        <v/>
      </c>
      <c r="AB37" s="335" t="str">
        <f>IF(Umse!$C$24=0,0,IF(OR($A$1="7.1.",$A$1="7.2.",$A$1="7.3.",$A$1="7.4.",$A$1="7.5.",$A$1="7.6.",$A$1="7.7.",$A$1="7.8.",$A$1="7.9.",$A$1="7.10.",$A$1="7.11."),'L Tab'!DM124,IF(OR($A$1="7.12.",$A$1="7.13.",$A$1="7.14.",$A$1="7.15.",$A$1="7.16.",$A$1="7.17.",$A$1="7.18.",$A$1="7.19.",$A$1="7.20.",$A$1="7.21.",$A$1="7.22."),'L Tab'!DU124,IF(OR($A$1="7.23.",$A$1="7.24.",$A$1="7.25.",$A$1="7.26.",$A$1="7.27.",$A$1="7.28.",$A$1="7.29.",$A$1="7.30.",$A$1="7.31.",$A$1="7.32.",$A$1="7.33."),'L Tab'!DU124,""))))</f>
        <v/>
      </c>
      <c r="AC37" s="335" t="str">
        <f>IF(Umse!$C$24=0,0,IF(OR($A$1="7.1.",$A$1="7.2.",$A$1="7.3.",$A$1="7.4.",$A$1="7.5.",$A$1="7.6.",$A$1="7.7.",$A$1="7.8.",$A$1="7.9.",$A$1="7.10.",$A$1="7.11."),'L Tab'!DN124,IF(OR($A$1="7.12.",$A$1="7.13.",$A$1="7.14.",$A$1="7.15.",$A$1="7.16.",$A$1="7.17.",$A$1="7.18.",$A$1="7.19.",$A$1="7.20.",$A$1="7.21.",$A$1="7.22."),'L Tab'!DV124,IF(OR($A$1="7.23.",$A$1="7.24.",$A$1="7.25.",$A$1="7.26.",$A$1="7.27.",$A$1="7.28.",$A$1="7.29.",$A$1="7.30.",$A$1="7.31.",$A$1="7.32.",$A$1="7.33."),'L Tab'!DV124,""))))</f>
        <v/>
      </c>
      <c r="AD37" s="335" t="str">
        <f>IF(Umse!$C$24=0,0,IF(OR($A$1="7.1.",$A$1="7.2.",$A$1="7.3.",$A$1="7.4.",$A$1="7.5.",$A$1="7.6.",$A$1="7.7.",$A$1="7.8.",$A$1="7.9.",$A$1="7.10.",$A$1="7.11."),'L Tab'!DO124,IF(OR($A$1="7.12.",$A$1="7.13.",$A$1="7.14.",$A$1="7.15.",$A$1="7.16.",$A$1="7.17.",$A$1="7.18.",$A$1="7.19.",$A$1="7.20.",$A$1="7.21.",$A$1="7.22."),'L Tab'!DW124,IF(OR($A$1="7.23.",$A$1="7.24.",$A$1="7.25.",$A$1="7.26.",$A$1="7.27.",$A$1="7.28.",$A$1="7.29.",$A$1="7.30.",$A$1="7.31.",$A$1="7.32.",$A$1="7.33."),'L Tab'!DW124,""))))</f>
        <v/>
      </c>
      <c r="AE37" s="590" t="str">
        <f>IF(Umse!$C$24=0,0,IF(OR($A$1="7.1.",$A$1="7.2.",$A$1="7.3.",$A$1="7.4.",$A$1="7.5.",$A$1="7.6.",$A$1="7.7.",$A$1="7.8.",$A$1="7.9.",$A$1="7.10.",$A$1="7.11."),'L Tab'!DP124,IF(OR($A$1="7.12.",$A$1="7.13.",$A$1="7.14.",$A$1="7.15.",$A$1="7.16.",$A$1="7.17.",$A$1="7.18.",$A$1="7.19.",$A$1="7.20.",$A$1="7.21.",$A$1="7.22."),'L Tab'!DX124,IF(OR($A$1="7.23.",$A$1="7.24.",$A$1="7.25.",$A$1="7.26.",$A$1="7.27.",$A$1="7.28.",$A$1="7.29.",$A$1="7.30.",$A$1="7.31.",$A$1="7.32.",$A$1="7.33."),'L Tab'!DX124,""))))</f>
        <v/>
      </c>
    </row>
    <row r="38" spans="1:31">
      <c r="A38" s="607" t="str">
        <f>IF(N6="-","-",IF(N6="","",FIXED(ROUND(N6/$A$5,2),2)))</f>
        <v/>
      </c>
      <c r="B38" s="551" t="str">
        <f t="shared" si="10"/>
        <v/>
      </c>
      <c r="C38" s="552" t="str">
        <f t="shared" si="13"/>
        <v/>
      </c>
      <c r="D38" s="605" t="str">
        <f>IF(E6="","",IF(Kalk!B5=10,ROUND(E6*0.3,2),ROUND(E6*0.15,2)))</f>
        <v/>
      </c>
      <c r="E38" s="550" t="str">
        <f>IF(E6="","",ROUND(E6*$E$34,2))</f>
        <v/>
      </c>
      <c r="F38" s="550" t="str">
        <f>IF(E6="","",ROUND(E6*$F$34,2))</f>
        <v/>
      </c>
      <c r="G38" s="550" t="str">
        <f>IF(E6="","",ROUND(E6*$G$34,2))</f>
        <v/>
      </c>
      <c r="H38" s="550" t="str">
        <f>IF(E6="","",ROUND(E6*$H$34,2))</f>
        <v/>
      </c>
      <c r="I38" s="550" t="str">
        <f>IF(E6="","",ROUND(E6*$I$34,2))</f>
        <v/>
      </c>
      <c r="J38" s="328" t="str">
        <f>IF(OR(Umse!$C$24=0,$A$1=0),"",IF(OR(Kalk!B4=5,Kalk!B4=9,Kalk!B4=10),"      hier in    &gt;",""))</f>
        <v/>
      </c>
      <c r="K38" s="332" t="str">
        <f t="shared" si="11"/>
        <v/>
      </c>
      <c r="L38" s="367" t="str">
        <f t="shared" si="18"/>
        <v/>
      </c>
      <c r="M38" s="344" t="str">
        <f>IF(M6="-","-",IF(M6="","",D6+D38))</f>
        <v/>
      </c>
      <c r="N38" s="344" t="str">
        <f>IF(N6="-","-",IF(N6="","",E6+D38))</f>
        <v/>
      </c>
      <c r="O38" s="344" t="str">
        <f>IF(O6="-","-",IF(O6="","",F6+D38))</f>
        <v/>
      </c>
      <c r="P38" s="344" t="str">
        <f t="shared" si="20"/>
        <v/>
      </c>
      <c r="Q38" s="351" t="str">
        <f t="shared" si="25"/>
        <v/>
      </c>
      <c r="R38" s="351" t="str">
        <f t="shared" si="21"/>
        <v/>
      </c>
      <c r="S38" s="589" t="str">
        <f>IF(Umse!$C$24=0,0,IF($A$1="10.1.",'L Tab'!DK89,IF($A$1="10.2.",'L Tab'!DS89,IF($A$1="10.3.",'L Tab'!EA89,""))))</f>
        <v/>
      </c>
      <c r="T38" s="335" t="str">
        <f>IF(Umse!$C$24=0,0,IF($A$1="10.1.",'L Tab'!DL89,IF($A$1="10.2.",'L Tab'!DT89,IF($A$1="10.3.",'L Tab'!EB89,""))))</f>
        <v/>
      </c>
      <c r="U38" s="335" t="str">
        <f>IF(Umse!$C$24=0,0,IF($A$1="10.1.",'L Tab'!DM89,IF($A$1="10.2.",'L Tab'!DU89,IF($A$1="10.3.",'L Tab'!EC89,""))))</f>
        <v/>
      </c>
      <c r="V38" s="335" t="str">
        <f>IF(Umse!$C$24=0,0,IF($A$1="10.1.",'L Tab'!DN89,IF($A$1="10.2.",'L Tab'!DV89,IF($A$1="10.3.",'L Tab'!ED89,""))))</f>
        <v/>
      </c>
      <c r="W38" s="335" t="str">
        <f>IF(Umse!$C$24=0,0,IF($A$1="10.1.",'L Tab'!DO89,IF($A$1="10.2.",'L Tab'!DW89,IF($A$1="10.3.",'L Tab'!EE89,""))))</f>
        <v/>
      </c>
      <c r="X38" s="590" t="str">
        <f>IF(Umse!$C$24=0,0,IF($A$1="10.1.",'L Tab'!DP89,IF($A$1="10.2.",'L Tab'!DX89,IF($A$1="10.3.",'L Tab'!EF89,""))))</f>
        <v/>
      </c>
      <c r="Z38" s="589" t="str">
        <f>IF(Umse!$C$24=0,0,IF(OR($A$1="7.1.",$A$1="7.2.",$A$1="7.3.",$A$1="7.4.",$A$1="7.5.",$A$1="7.6.",$A$1="7.7.",$A$1="7.8.",$A$1="7.9.",$A$1="7.10.",$A$1="7.11."),'L Tab'!DK125,IF(OR($A$1="7.12.",$A$1="7.13.",$A$1="7.14.",$A$1="7.15.",$A$1="7.16.",$A$1="7.17.",$A$1="7.18.",$A$1="7.19.",$A$1="7.20.",$A$1="7.21.",$A$1="7.22."),'L Tab'!DS125,IF(OR($A$1="7.23.",$A$1="7.24.",$A$1="7.25.",$A$1="7.26.",$A$1="7.27.",$A$1="7.28.",$A$1="7.29.",$A$1="7.30.",$A$1="7.31.",$A$1="7.32.",$A$1="7.33."),'L Tab'!DS125,""))))</f>
        <v/>
      </c>
      <c r="AA38" s="335" t="str">
        <f>IF(Umse!$C$24=0,0,IF(OR($A$1="7.1.",$A$1="7.2.",$A$1="7.3.",$A$1="7.4.",$A$1="7.5.",$A$1="7.6.",$A$1="7.7.",$A$1="7.8.",$A$1="7.9.",$A$1="7.10.",$A$1="7.11."),'L Tab'!DL125,IF(OR($A$1="7.12.",$A$1="7.13.",$A$1="7.14.",$A$1="7.15.",$A$1="7.16.",$A$1="7.17.",$A$1="7.18.",$A$1="7.19.",$A$1="7.20.",$A$1="7.21.",$A$1="7.22."),'L Tab'!DT125,IF(OR($A$1="7.23.",$A$1="7.24.",$A$1="7.25.",$A$1="7.26.",$A$1="7.27.",$A$1="7.28.",$A$1="7.29.",$A$1="7.30.",$A$1="7.31.",$A$1="7.32.",$A$1="7.33."),'L Tab'!DT125,""))))</f>
        <v/>
      </c>
      <c r="AB38" s="335" t="str">
        <f>IF(Umse!$C$24=0,0,IF(OR($A$1="7.1.",$A$1="7.2.",$A$1="7.3.",$A$1="7.4.",$A$1="7.5.",$A$1="7.6.",$A$1="7.7.",$A$1="7.8.",$A$1="7.9.",$A$1="7.10.",$A$1="7.11."),'L Tab'!DM125,IF(OR($A$1="7.12.",$A$1="7.13.",$A$1="7.14.",$A$1="7.15.",$A$1="7.16.",$A$1="7.17.",$A$1="7.18.",$A$1="7.19.",$A$1="7.20.",$A$1="7.21.",$A$1="7.22."),'L Tab'!DU125,IF(OR($A$1="7.23.",$A$1="7.24.",$A$1="7.25.",$A$1="7.26.",$A$1="7.27.",$A$1="7.28.",$A$1="7.29.",$A$1="7.30.",$A$1="7.31.",$A$1="7.32.",$A$1="7.33."),'L Tab'!DU125,""))))</f>
        <v/>
      </c>
      <c r="AC38" s="335" t="str">
        <f>IF(Umse!$C$24=0,0,IF(OR($A$1="7.1.",$A$1="7.2.",$A$1="7.3.",$A$1="7.4.",$A$1="7.5.",$A$1="7.6.",$A$1="7.7.",$A$1="7.8.",$A$1="7.9.",$A$1="7.10.",$A$1="7.11."),'L Tab'!DN125,IF(OR($A$1="7.12.",$A$1="7.13.",$A$1="7.14.",$A$1="7.15.",$A$1="7.16.",$A$1="7.17.",$A$1="7.18.",$A$1="7.19.",$A$1="7.20.",$A$1="7.21.",$A$1="7.22."),'L Tab'!DV125,IF(OR($A$1="7.23.",$A$1="7.24.",$A$1="7.25.",$A$1="7.26.",$A$1="7.27.",$A$1="7.28.",$A$1="7.29.",$A$1="7.30.",$A$1="7.31.",$A$1="7.32.",$A$1="7.33."),'L Tab'!DV125,""))))</f>
        <v/>
      </c>
      <c r="AD38" s="335" t="str">
        <f>IF(Umse!$C$24=0,0,IF(OR($A$1="7.1.",$A$1="7.2.",$A$1="7.3.",$A$1="7.4.",$A$1="7.5.",$A$1="7.6.",$A$1="7.7.",$A$1="7.8.",$A$1="7.9.",$A$1="7.10.",$A$1="7.11."),'L Tab'!DO125,IF(OR($A$1="7.12.",$A$1="7.13.",$A$1="7.14.",$A$1="7.15.",$A$1="7.16.",$A$1="7.17.",$A$1="7.18.",$A$1="7.19.",$A$1="7.20.",$A$1="7.21.",$A$1="7.22."),'L Tab'!DW125,IF(OR($A$1="7.23.",$A$1="7.24.",$A$1="7.25.",$A$1="7.26.",$A$1="7.27.",$A$1="7.28.",$A$1="7.29.",$A$1="7.30.",$A$1="7.31.",$A$1="7.32.",$A$1="7.33."),'L Tab'!DW125,""))))</f>
        <v/>
      </c>
      <c r="AE38" s="590" t="str">
        <f>IF(Umse!$C$24=0,0,IF(OR($A$1="7.1.",$A$1="7.2.",$A$1="7.3.",$A$1="7.4.",$A$1="7.5.",$A$1="7.6.",$A$1="7.7.",$A$1="7.8.",$A$1="7.9.",$A$1="7.10.",$A$1="7.11."),'L Tab'!DP125,IF(OR($A$1="7.12.",$A$1="7.13.",$A$1="7.14.",$A$1="7.15.",$A$1="7.16.",$A$1="7.17.",$A$1="7.18.",$A$1="7.19.",$A$1="7.20.",$A$1="7.21.",$A$1="7.22."),'L Tab'!DX125,IF(OR($A$1="7.23.",$A$1="7.24.",$A$1="7.25.",$A$1="7.26.",$A$1="7.27.",$A$1="7.28.",$A$1="7.29.",$A$1="7.30.",$A$1="7.31.",$A$1="7.32.",$A$1="7.33."),'L Tab'!DX125,""))))</f>
        <v/>
      </c>
    </row>
    <row r="39" spans="1:31">
      <c r="A39" s="328" t="str">
        <f t="shared" si="12"/>
        <v/>
      </c>
      <c r="B39" s="332" t="str">
        <f t="shared" si="10"/>
        <v/>
      </c>
      <c r="C39" s="367" t="str">
        <f t="shared" si="13"/>
        <v/>
      </c>
      <c r="D39" s="575" t="str">
        <f>IF(F7="","",IF(Kalk!B5=10,ROUND(F7*0.3,2),ROUND(F7*0.15,2)))</f>
        <v/>
      </c>
      <c r="E39" s="343" t="str">
        <f t="shared" si="14"/>
        <v/>
      </c>
      <c r="F39" s="343" t="str">
        <f t="shared" si="15"/>
        <v/>
      </c>
      <c r="G39" s="343" t="str">
        <f t="shared" si="16"/>
        <v/>
      </c>
      <c r="H39" s="343" t="str">
        <f t="shared" si="17"/>
        <v/>
      </c>
      <c r="I39" s="343" t="str">
        <f t="shared" si="22"/>
        <v/>
      </c>
      <c r="J39" s="328" t="str">
        <f>IF(OR(Umse!$C$24=0,$A$1=0),"",IF(OR(Kalk!B4=5,Kalk!B4=9,Kalk!B4=10),"Stufen 1, 2, 3, 4",""))</f>
        <v/>
      </c>
      <c r="K39" s="332" t="str">
        <f t="shared" si="11"/>
        <v/>
      </c>
      <c r="L39" s="367" t="str">
        <f t="shared" si="18"/>
        <v/>
      </c>
      <c r="M39" s="344" t="str">
        <f t="shared" si="23"/>
        <v/>
      </c>
      <c r="N39" s="344" t="str">
        <f t="shared" si="24"/>
        <v/>
      </c>
      <c r="O39" s="344" t="str">
        <f t="shared" si="19"/>
        <v/>
      </c>
      <c r="P39" s="344" t="str">
        <f t="shared" si="20"/>
        <v/>
      </c>
      <c r="Q39" s="351" t="str">
        <f t="shared" si="25"/>
        <v/>
      </c>
      <c r="R39" s="351" t="str">
        <f t="shared" si="21"/>
        <v/>
      </c>
      <c r="S39" s="589" t="str">
        <f>IF(Umse!$C$24=0,0,IF($A$1="10.1.",'L Tab'!DK90,IF($A$1="10.2.",'L Tab'!DS90,IF($A$1="10.3.",'L Tab'!EA90,""))))</f>
        <v/>
      </c>
      <c r="T39" s="335" t="str">
        <f>IF(Umse!$C$24=0,0,IF($A$1="10.1.",'L Tab'!DL90,IF($A$1="10.2.",'L Tab'!DT90,IF($A$1="10.3.",'L Tab'!EB90,""))))</f>
        <v/>
      </c>
      <c r="U39" s="335" t="str">
        <f>IF(Umse!$C$24=0,0,IF($A$1="10.1.",'L Tab'!DM90,IF($A$1="10.2.",'L Tab'!DU90,IF($A$1="10.3.",'L Tab'!EC90,""))))</f>
        <v/>
      </c>
      <c r="V39" s="335" t="str">
        <f>IF(Umse!$C$24=0,0,IF($A$1="10.1.",'L Tab'!DN90,IF($A$1="10.2.",'L Tab'!DV90,IF($A$1="10.3.",'L Tab'!ED90,""))))</f>
        <v/>
      </c>
      <c r="W39" s="335" t="str">
        <f>IF(Umse!$C$24=0,0,IF($A$1="10.1.",'L Tab'!DO90,IF($A$1="10.2.",'L Tab'!DW90,IF($A$1="10.3.",'L Tab'!EE90,""))))</f>
        <v/>
      </c>
      <c r="X39" s="590" t="str">
        <f>IF(Umse!$C$24=0,0,IF($A$1="10.1.",'L Tab'!DP90,IF($A$1="10.2.",'L Tab'!DX90,IF($A$1="10.3.",'L Tab'!EF90,""))))</f>
        <v/>
      </c>
      <c r="Z39" s="589" t="str">
        <f>IF(Umse!$C$24=0,0,IF(OR($A$1="7.1.",$A$1="7.2.",$A$1="7.3.",$A$1="7.4.",$A$1="7.5.",$A$1="7.6.",$A$1="7.7.",$A$1="7.8.",$A$1="7.9.",$A$1="7.10.",$A$1="7.11."),'L Tab'!DK126,IF(OR($A$1="7.12.",$A$1="7.13.",$A$1="7.14.",$A$1="7.15.",$A$1="7.16.",$A$1="7.17.",$A$1="7.18.",$A$1="7.19.",$A$1="7.20.",$A$1="7.21.",$A$1="7.22."),'L Tab'!DS126,IF(OR($A$1="7.23.",$A$1="7.24.",$A$1="7.25.",$A$1="7.26.",$A$1="7.27.",$A$1="7.28.",$A$1="7.29.",$A$1="7.30.",$A$1="7.31.",$A$1="7.32.",$A$1="7.33."),'L Tab'!DS126,""))))</f>
        <v/>
      </c>
      <c r="AA39" s="335" t="str">
        <f>IF(Umse!$C$24=0,0,IF(OR($A$1="7.1.",$A$1="7.2.",$A$1="7.3.",$A$1="7.4.",$A$1="7.5.",$A$1="7.6.",$A$1="7.7.",$A$1="7.8.",$A$1="7.9.",$A$1="7.10.",$A$1="7.11."),'L Tab'!DL126,IF(OR($A$1="7.12.",$A$1="7.13.",$A$1="7.14.",$A$1="7.15.",$A$1="7.16.",$A$1="7.17.",$A$1="7.18.",$A$1="7.19.",$A$1="7.20.",$A$1="7.21.",$A$1="7.22."),'L Tab'!DT126,IF(OR($A$1="7.23.",$A$1="7.24.",$A$1="7.25.",$A$1="7.26.",$A$1="7.27.",$A$1="7.28.",$A$1="7.29.",$A$1="7.30.",$A$1="7.31.",$A$1="7.32.",$A$1="7.33."),'L Tab'!DT126,""))))</f>
        <v/>
      </c>
      <c r="AB39" s="335" t="str">
        <f>IF(Umse!$C$24=0,0,IF(OR($A$1="7.1.",$A$1="7.2.",$A$1="7.3.",$A$1="7.4.",$A$1="7.5.",$A$1="7.6.",$A$1="7.7.",$A$1="7.8.",$A$1="7.9.",$A$1="7.10.",$A$1="7.11."),'L Tab'!DM126,IF(OR($A$1="7.12.",$A$1="7.13.",$A$1="7.14.",$A$1="7.15.",$A$1="7.16.",$A$1="7.17.",$A$1="7.18.",$A$1="7.19.",$A$1="7.20.",$A$1="7.21.",$A$1="7.22."),'L Tab'!DU126,IF(OR($A$1="7.23.",$A$1="7.24.",$A$1="7.25.",$A$1="7.26.",$A$1="7.27.",$A$1="7.28.",$A$1="7.29.",$A$1="7.30.",$A$1="7.31.",$A$1="7.32.",$A$1="7.33."),'L Tab'!DU126,""))))</f>
        <v/>
      </c>
      <c r="AC39" s="335" t="str">
        <f>IF(Umse!$C$24=0,0,IF(OR($A$1="7.1.",$A$1="7.2.",$A$1="7.3.",$A$1="7.4.",$A$1="7.5.",$A$1="7.6.",$A$1="7.7.",$A$1="7.8.",$A$1="7.9.",$A$1="7.10.",$A$1="7.11."),'L Tab'!DN126,IF(OR($A$1="7.12.",$A$1="7.13.",$A$1="7.14.",$A$1="7.15.",$A$1="7.16.",$A$1="7.17.",$A$1="7.18.",$A$1="7.19.",$A$1="7.20.",$A$1="7.21.",$A$1="7.22."),'L Tab'!DV126,IF(OR($A$1="7.23.",$A$1="7.24.",$A$1="7.25.",$A$1="7.26.",$A$1="7.27.",$A$1="7.28.",$A$1="7.29.",$A$1="7.30.",$A$1="7.31.",$A$1="7.32.",$A$1="7.33."),'L Tab'!DV126,""))))</f>
        <v/>
      </c>
      <c r="AD39" s="335" t="str">
        <f>IF(Umse!$C$24=0,0,IF(OR($A$1="7.1.",$A$1="7.2.",$A$1="7.3.",$A$1="7.4.",$A$1="7.5.",$A$1="7.6.",$A$1="7.7.",$A$1="7.8.",$A$1="7.9.",$A$1="7.10.",$A$1="7.11."),'L Tab'!DO126,IF(OR($A$1="7.12.",$A$1="7.13.",$A$1="7.14.",$A$1="7.15.",$A$1="7.16.",$A$1="7.17.",$A$1="7.18.",$A$1="7.19.",$A$1="7.20.",$A$1="7.21.",$A$1="7.22."),'L Tab'!DW126,IF(OR($A$1="7.23.",$A$1="7.24.",$A$1="7.25.",$A$1="7.26.",$A$1="7.27.",$A$1="7.28.",$A$1="7.29.",$A$1="7.30.",$A$1="7.31.",$A$1="7.32.",$A$1="7.33."),'L Tab'!DW126,""))))</f>
        <v/>
      </c>
      <c r="AE39" s="590" t="str">
        <f>IF(Umse!$C$24=0,0,IF(OR($A$1="7.1.",$A$1="7.2.",$A$1="7.3.",$A$1="7.4.",$A$1="7.5.",$A$1="7.6.",$A$1="7.7.",$A$1="7.8.",$A$1="7.9.",$A$1="7.10.",$A$1="7.11."),'L Tab'!DP126,IF(OR($A$1="7.12.",$A$1="7.13.",$A$1="7.14.",$A$1="7.15.",$A$1="7.16.",$A$1="7.17.",$A$1="7.18.",$A$1="7.19.",$A$1="7.20.",$A$1="7.21.",$A$1="7.22."),'L Tab'!DX126,IF(OR($A$1="7.23.",$A$1="7.24.",$A$1="7.25.",$A$1="7.26.",$A$1="7.27.",$A$1="7.28.",$A$1="7.29.",$A$1="7.30.",$A$1="7.31.",$A$1="7.32.",$A$1="7.33."),'L Tab'!DX126,""))))</f>
        <v/>
      </c>
    </row>
    <row r="40" spans="1:31">
      <c r="A40" s="328" t="str">
        <f t="shared" si="12"/>
        <v/>
      </c>
      <c r="B40" s="332" t="str">
        <f t="shared" si="10"/>
        <v/>
      </c>
      <c r="C40" s="367" t="str">
        <f t="shared" si="13"/>
        <v/>
      </c>
      <c r="D40" s="575" t="str">
        <f>IF(F8="","",IF(Kalk!B5=7,ROUND(F8*0.3,2),IF(Kalk!B5=10,ROUND(F8*0.3,2),ROUND(F8*0.15,2))))</f>
        <v/>
      </c>
      <c r="E40" s="343" t="str">
        <f t="shared" si="14"/>
        <v/>
      </c>
      <c r="F40" s="343" t="str">
        <f t="shared" si="15"/>
        <v/>
      </c>
      <c r="G40" s="343" t="str">
        <f t="shared" si="16"/>
        <v/>
      </c>
      <c r="H40" s="343" t="str">
        <f t="shared" si="17"/>
        <v/>
      </c>
      <c r="I40" s="343" t="str">
        <f t="shared" si="22"/>
        <v/>
      </c>
      <c r="J40" s="328" t="str">
        <f>IF(OR(Umse!$C$24=0,$A$1=0),"",IF(OR(Kalk!B4=5,Kalk!B4=9,Kalk!B4=10),"abgebildet",""))</f>
        <v/>
      </c>
      <c r="K40" s="332" t="str">
        <f t="shared" si="11"/>
        <v/>
      </c>
      <c r="L40" s="367" t="str">
        <f t="shared" si="18"/>
        <v/>
      </c>
      <c r="M40" s="344" t="str">
        <f t="shared" si="23"/>
        <v/>
      </c>
      <c r="N40" s="344" t="str">
        <f t="shared" si="24"/>
        <v/>
      </c>
      <c r="O40" s="344" t="str">
        <f t="shared" si="19"/>
        <v/>
      </c>
      <c r="P40" s="344" t="str">
        <f t="shared" si="20"/>
        <v/>
      </c>
      <c r="Q40" s="351" t="str">
        <f t="shared" si="25"/>
        <v/>
      </c>
      <c r="R40" s="351" t="str">
        <f t="shared" si="21"/>
        <v/>
      </c>
      <c r="S40" s="589" t="str">
        <f>IF(Umse!$C$24=0,0,IF($A$1="10.1.",'L Tab'!DK91,IF($A$1="10.2.",'L Tab'!DS91,IF($A$1="10.3.",'L Tab'!EA91,""))))</f>
        <v/>
      </c>
      <c r="T40" s="335" t="str">
        <f>IF(Umse!$C$24=0,0,IF($A$1="10.1.",'L Tab'!DL91,IF($A$1="10.2.",'L Tab'!DT91,IF($A$1="10.3.",'L Tab'!EB91,""))))</f>
        <v/>
      </c>
      <c r="U40" s="335" t="str">
        <f>IF(Umse!$C$24=0,0,IF($A$1="10.1.",'L Tab'!DM91,IF($A$1="10.2.",'L Tab'!DU91,IF($A$1="10.3.",'L Tab'!EC91,""))))</f>
        <v/>
      </c>
      <c r="V40" s="335" t="str">
        <f>IF(Umse!$C$24=0,0,IF($A$1="10.1.",'L Tab'!DN91,IF($A$1="10.2.",'L Tab'!DV91,IF($A$1="10.3.",'L Tab'!ED91,""))))</f>
        <v/>
      </c>
      <c r="W40" s="335" t="str">
        <f>IF(Umse!$C$24=0,0,IF($A$1="10.1.",'L Tab'!DO91,IF($A$1="10.2.",'L Tab'!DW91,IF($A$1="10.3.",'L Tab'!EE91,""))))</f>
        <v/>
      </c>
      <c r="X40" s="590" t="str">
        <f>IF(Umse!$C$24=0,0,IF($A$1="10.1.",'L Tab'!DP91,IF($A$1="10.2.",'L Tab'!DX91,IF($A$1="10.3.",'L Tab'!EF91,""))))</f>
        <v/>
      </c>
      <c r="Z40" s="589" t="str">
        <f>IF(Umse!$C$24=0,0,IF(OR($A$1="7.1.",$A$1="7.2.",$A$1="7.3.",$A$1="7.4.",$A$1="7.5.",$A$1="7.6.",$A$1="7.7.",$A$1="7.8.",$A$1="7.9.",$A$1="7.10.",$A$1="7.11."),'L Tab'!DK127,IF(OR($A$1="7.12.",$A$1="7.13.",$A$1="7.14.",$A$1="7.15.",$A$1="7.16.",$A$1="7.17.",$A$1="7.18.",$A$1="7.19.",$A$1="7.20.",$A$1="7.21.",$A$1="7.22."),'L Tab'!DS127,IF(OR($A$1="7.23.",$A$1="7.24.",$A$1="7.25.",$A$1="7.26.",$A$1="7.27.",$A$1="7.28.",$A$1="7.29.",$A$1="7.30.",$A$1="7.31.",$A$1="7.32.",$A$1="7.33."),'L Tab'!DS127,""))))</f>
        <v/>
      </c>
      <c r="AA40" s="335" t="str">
        <f>IF(Umse!$C$24=0,0,IF(OR($A$1="7.1.",$A$1="7.2.",$A$1="7.3.",$A$1="7.4.",$A$1="7.5.",$A$1="7.6.",$A$1="7.7.",$A$1="7.8.",$A$1="7.9.",$A$1="7.10.",$A$1="7.11."),'L Tab'!DL127,IF(OR($A$1="7.12.",$A$1="7.13.",$A$1="7.14.",$A$1="7.15.",$A$1="7.16.",$A$1="7.17.",$A$1="7.18.",$A$1="7.19.",$A$1="7.20.",$A$1="7.21.",$A$1="7.22."),'L Tab'!DT127,IF(OR($A$1="7.23.",$A$1="7.24.",$A$1="7.25.",$A$1="7.26.",$A$1="7.27.",$A$1="7.28.",$A$1="7.29.",$A$1="7.30.",$A$1="7.31.",$A$1="7.32.",$A$1="7.33."),'L Tab'!DT127,""))))</f>
        <v/>
      </c>
      <c r="AB40" s="335" t="str">
        <f>IF(Umse!$C$24=0,0,IF(OR($A$1="7.1.",$A$1="7.2.",$A$1="7.3.",$A$1="7.4.",$A$1="7.5.",$A$1="7.6.",$A$1="7.7.",$A$1="7.8.",$A$1="7.9.",$A$1="7.10.",$A$1="7.11."),'L Tab'!DM127,IF(OR($A$1="7.12.",$A$1="7.13.",$A$1="7.14.",$A$1="7.15.",$A$1="7.16.",$A$1="7.17.",$A$1="7.18.",$A$1="7.19.",$A$1="7.20.",$A$1="7.21.",$A$1="7.22."),'L Tab'!DU127,IF(OR($A$1="7.23.",$A$1="7.24.",$A$1="7.25.",$A$1="7.26.",$A$1="7.27.",$A$1="7.28.",$A$1="7.29.",$A$1="7.30.",$A$1="7.31.",$A$1="7.32.",$A$1="7.33."),'L Tab'!DU127,""))))</f>
        <v/>
      </c>
      <c r="AC40" s="335" t="str">
        <f>IF(Umse!$C$24=0,0,IF(OR($A$1="7.1.",$A$1="7.2.",$A$1="7.3.",$A$1="7.4.",$A$1="7.5.",$A$1="7.6.",$A$1="7.7.",$A$1="7.8.",$A$1="7.9.",$A$1="7.10.",$A$1="7.11."),'L Tab'!DN127,IF(OR($A$1="7.12.",$A$1="7.13.",$A$1="7.14.",$A$1="7.15.",$A$1="7.16.",$A$1="7.17.",$A$1="7.18.",$A$1="7.19.",$A$1="7.20.",$A$1="7.21.",$A$1="7.22."),'L Tab'!DV127,IF(OR($A$1="7.23.",$A$1="7.24.",$A$1="7.25.",$A$1="7.26.",$A$1="7.27.",$A$1="7.28.",$A$1="7.29.",$A$1="7.30.",$A$1="7.31.",$A$1="7.32.",$A$1="7.33."),'L Tab'!DV127,""))))</f>
        <v/>
      </c>
      <c r="AD40" s="335" t="str">
        <f>IF(Umse!$C$24=0,0,IF(OR($A$1="7.1.",$A$1="7.2.",$A$1="7.3.",$A$1="7.4.",$A$1="7.5.",$A$1="7.6.",$A$1="7.7.",$A$1="7.8.",$A$1="7.9.",$A$1="7.10.",$A$1="7.11."),'L Tab'!DO127,IF(OR($A$1="7.12.",$A$1="7.13.",$A$1="7.14.",$A$1="7.15.",$A$1="7.16.",$A$1="7.17.",$A$1="7.18.",$A$1="7.19.",$A$1="7.20.",$A$1="7.21.",$A$1="7.22."),'L Tab'!DW127,IF(OR($A$1="7.23.",$A$1="7.24.",$A$1="7.25.",$A$1="7.26.",$A$1="7.27.",$A$1="7.28.",$A$1="7.29.",$A$1="7.30.",$A$1="7.31.",$A$1="7.32.",$A$1="7.33."),'L Tab'!DW127,""))))</f>
        <v/>
      </c>
      <c r="AE40" s="590" t="str">
        <f>IF(Umse!$C$24=0,0,IF(OR($A$1="7.1.",$A$1="7.2.",$A$1="7.3.",$A$1="7.4.",$A$1="7.5.",$A$1="7.6.",$A$1="7.7.",$A$1="7.8.",$A$1="7.9.",$A$1="7.10.",$A$1="7.11."),'L Tab'!DP127,IF(OR($A$1="7.12.",$A$1="7.13.",$A$1="7.14.",$A$1="7.15.",$A$1="7.16.",$A$1="7.17.",$A$1="7.18.",$A$1="7.19.",$A$1="7.20.",$A$1="7.21.",$A$1="7.22."),'L Tab'!DX127,IF(OR($A$1="7.23.",$A$1="7.24.",$A$1="7.25.",$A$1="7.26.",$A$1="7.27.",$A$1="7.28.",$A$1="7.29.",$A$1="7.30.",$A$1="7.31.",$A$1="7.32.",$A$1="7.33."),'L Tab'!DX127,""))))</f>
        <v/>
      </c>
    </row>
    <row r="41" spans="1:31">
      <c r="A41" s="328" t="str">
        <f t="shared" si="12"/>
        <v/>
      </c>
      <c r="B41" s="332" t="str">
        <f t="shared" si="10"/>
        <v/>
      </c>
      <c r="C41" s="367" t="str">
        <f t="shared" si="13"/>
        <v/>
      </c>
      <c r="D41" s="575" t="str">
        <f>IF(F9="","",IF(Kalk!B5=7,ROUND(F9*0.3,2),IF(Kalk!B5=10,ROUND(F9*0.3,2),ROUND(F9*0.15,2))))</f>
        <v/>
      </c>
      <c r="E41" s="343" t="str">
        <f t="shared" si="14"/>
        <v/>
      </c>
      <c r="F41" s="343" t="str">
        <f t="shared" si="15"/>
        <v/>
      </c>
      <c r="G41" s="343" t="str">
        <f t="shared" si="16"/>
        <v/>
      </c>
      <c r="H41" s="343" t="str">
        <f t="shared" si="17"/>
        <v/>
      </c>
      <c r="I41" s="343" t="str">
        <f t="shared" si="22"/>
        <v/>
      </c>
      <c r="J41" s="328" t="str">
        <f>""</f>
        <v/>
      </c>
      <c r="K41" s="332" t="str">
        <f t="shared" si="11"/>
        <v/>
      </c>
      <c r="L41" s="367" t="str">
        <f t="shared" si="18"/>
        <v/>
      </c>
      <c r="M41" s="344" t="str">
        <f t="shared" si="23"/>
        <v/>
      </c>
      <c r="N41" s="344" t="str">
        <f t="shared" si="24"/>
        <v/>
      </c>
      <c r="O41" s="344" t="str">
        <f t="shared" si="19"/>
        <v/>
      </c>
      <c r="P41" s="344" t="str">
        <f t="shared" si="20"/>
        <v/>
      </c>
      <c r="Q41" s="351" t="str">
        <f t="shared" si="25"/>
        <v/>
      </c>
      <c r="R41" s="351" t="str">
        <f t="shared" si="21"/>
        <v/>
      </c>
      <c r="S41" s="589" t="str">
        <f>IF(Umse!$C$24=0,0,IF($A$1="10.1.",'L Tab'!DK92,IF($A$1="10.2.",'L Tab'!DS92,IF($A$1="10.3.",'L Tab'!EA92,""))))</f>
        <v/>
      </c>
      <c r="T41" s="335" t="str">
        <f>IF(Umse!$C$24=0,0,IF($A$1="10.1.",'L Tab'!DL92,IF($A$1="10.2.",'L Tab'!DT92,IF($A$1="10.3.",'L Tab'!EB92,""))))</f>
        <v/>
      </c>
      <c r="U41" s="335" t="str">
        <f>IF(Umse!$C$24=0,0,IF($A$1="10.1.",'L Tab'!DM92,IF($A$1="10.2.",'L Tab'!DU92,IF($A$1="10.3.",'L Tab'!EC92,""))))</f>
        <v/>
      </c>
      <c r="V41" s="335" t="str">
        <f>IF(Umse!$C$24=0,0,IF($A$1="10.1.",'L Tab'!DN92,IF($A$1="10.2.",'L Tab'!DV92,IF($A$1="10.3.",'L Tab'!ED92,""))))</f>
        <v/>
      </c>
      <c r="W41" s="335" t="str">
        <f>IF(Umse!$C$24=0,0,IF($A$1="10.1.",'L Tab'!DO92,IF($A$1="10.2.",'L Tab'!DW92,IF($A$1="10.3.",'L Tab'!EE92,""))))</f>
        <v/>
      </c>
      <c r="X41" s="590" t="str">
        <f>IF(Umse!$C$24=0,0,IF($A$1="10.1.",'L Tab'!DP92,IF($A$1="10.2.",'L Tab'!DX92,IF($A$1="10.3.",'L Tab'!EF92,""))))</f>
        <v/>
      </c>
      <c r="Z41" s="589" t="str">
        <f>IF(Umse!$C$24=0,0,IF(OR($A$1="7.1.",$A$1="7.2.",$A$1="7.3.",$A$1="7.4.",$A$1="7.5.",$A$1="7.6.",$A$1="7.7.",$A$1="7.8.",$A$1="7.9.",$A$1="7.10.",$A$1="7.11."),'L Tab'!DK128,IF(OR($A$1="7.12.",$A$1="7.13.",$A$1="7.14.",$A$1="7.15.",$A$1="7.16.",$A$1="7.17.",$A$1="7.18.",$A$1="7.19.",$A$1="7.20.",$A$1="7.21.",$A$1="7.22."),'L Tab'!DS128,IF(OR($A$1="7.23.",$A$1="7.24.",$A$1="7.25.",$A$1="7.26.",$A$1="7.27.",$A$1="7.28.",$A$1="7.29.",$A$1="7.30.",$A$1="7.31.",$A$1="7.32.",$A$1="7.33."),'L Tab'!DS128,""))))</f>
        <v/>
      </c>
      <c r="AA41" s="335" t="str">
        <f>IF(Umse!$C$24=0,0,IF(OR($A$1="7.1.",$A$1="7.2.",$A$1="7.3.",$A$1="7.4.",$A$1="7.5.",$A$1="7.6.",$A$1="7.7.",$A$1="7.8.",$A$1="7.9.",$A$1="7.10.",$A$1="7.11."),'L Tab'!DL128,IF(OR($A$1="7.12.",$A$1="7.13.",$A$1="7.14.",$A$1="7.15.",$A$1="7.16.",$A$1="7.17.",$A$1="7.18.",$A$1="7.19.",$A$1="7.20.",$A$1="7.21.",$A$1="7.22."),'L Tab'!DT128,IF(OR($A$1="7.23.",$A$1="7.24.",$A$1="7.25.",$A$1="7.26.",$A$1="7.27.",$A$1="7.28.",$A$1="7.29.",$A$1="7.30.",$A$1="7.31.",$A$1="7.32.",$A$1="7.33."),'L Tab'!DT128,""))))</f>
        <v/>
      </c>
      <c r="AB41" s="335" t="str">
        <f>IF(Umse!$C$24=0,0,IF(OR($A$1="7.1.",$A$1="7.2.",$A$1="7.3.",$A$1="7.4.",$A$1="7.5.",$A$1="7.6.",$A$1="7.7.",$A$1="7.8.",$A$1="7.9.",$A$1="7.10.",$A$1="7.11."),'L Tab'!DM128,IF(OR($A$1="7.12.",$A$1="7.13.",$A$1="7.14.",$A$1="7.15.",$A$1="7.16.",$A$1="7.17.",$A$1="7.18.",$A$1="7.19.",$A$1="7.20.",$A$1="7.21.",$A$1="7.22."),'L Tab'!DU128,IF(OR($A$1="7.23.",$A$1="7.24.",$A$1="7.25.",$A$1="7.26.",$A$1="7.27.",$A$1="7.28.",$A$1="7.29.",$A$1="7.30.",$A$1="7.31.",$A$1="7.32.",$A$1="7.33."),'L Tab'!DU128,""))))</f>
        <v/>
      </c>
      <c r="AC41" s="335" t="str">
        <f>IF(Umse!$C$24=0,0,IF(OR($A$1="7.1.",$A$1="7.2.",$A$1="7.3.",$A$1="7.4.",$A$1="7.5.",$A$1="7.6.",$A$1="7.7.",$A$1="7.8.",$A$1="7.9.",$A$1="7.10.",$A$1="7.11."),'L Tab'!DN128,IF(OR($A$1="7.12.",$A$1="7.13.",$A$1="7.14.",$A$1="7.15.",$A$1="7.16.",$A$1="7.17.",$A$1="7.18.",$A$1="7.19.",$A$1="7.20.",$A$1="7.21.",$A$1="7.22."),'L Tab'!DV128,IF(OR($A$1="7.23.",$A$1="7.24.",$A$1="7.25.",$A$1="7.26.",$A$1="7.27.",$A$1="7.28.",$A$1="7.29.",$A$1="7.30.",$A$1="7.31.",$A$1="7.32.",$A$1="7.33."),'L Tab'!DV128,""))))</f>
        <v/>
      </c>
      <c r="AD41" s="335" t="str">
        <f>IF(Umse!$C$24=0,0,IF(OR($A$1="7.1.",$A$1="7.2.",$A$1="7.3.",$A$1="7.4.",$A$1="7.5.",$A$1="7.6.",$A$1="7.7.",$A$1="7.8.",$A$1="7.9.",$A$1="7.10.",$A$1="7.11."),'L Tab'!DO128,IF(OR($A$1="7.12.",$A$1="7.13.",$A$1="7.14.",$A$1="7.15.",$A$1="7.16.",$A$1="7.17.",$A$1="7.18.",$A$1="7.19.",$A$1="7.20.",$A$1="7.21.",$A$1="7.22."),'L Tab'!DW128,IF(OR($A$1="7.23.",$A$1="7.24.",$A$1="7.25.",$A$1="7.26.",$A$1="7.27.",$A$1="7.28.",$A$1="7.29.",$A$1="7.30.",$A$1="7.31.",$A$1="7.32.",$A$1="7.33."),'L Tab'!DW128,""))))</f>
        <v/>
      </c>
      <c r="AE41" s="590" t="str">
        <f>IF(Umse!$C$24=0,0,IF(OR($A$1="7.1.",$A$1="7.2.",$A$1="7.3.",$A$1="7.4.",$A$1="7.5.",$A$1="7.6.",$A$1="7.7.",$A$1="7.8.",$A$1="7.9.",$A$1="7.10.",$A$1="7.11."),'L Tab'!DP128,IF(OR($A$1="7.12.",$A$1="7.13.",$A$1="7.14.",$A$1="7.15.",$A$1="7.16.",$A$1="7.17.",$A$1="7.18.",$A$1="7.19.",$A$1="7.20.",$A$1="7.21.",$A$1="7.22."),'L Tab'!DX128,IF(OR($A$1="7.23.",$A$1="7.24.",$A$1="7.25.",$A$1="7.26.",$A$1="7.27.",$A$1="7.28.",$A$1="7.29.",$A$1="7.30.",$A$1="7.31.",$A$1="7.32.",$A$1="7.33."),'L Tab'!DX128,""))))</f>
        <v/>
      </c>
    </row>
    <row r="42" spans="1:31">
      <c r="A42" s="328" t="str">
        <f t="shared" si="12"/>
        <v/>
      </c>
      <c r="B42" s="332" t="str">
        <f t="shared" si="10"/>
        <v/>
      </c>
      <c r="C42" s="367" t="str">
        <f t="shared" si="13"/>
        <v/>
      </c>
      <c r="D42" s="606" t="str">
        <f>IF(F10="","",IF(Kalk!B5=7,ROUND(F10*0.3,2),IF(Kalk!B5=10,ROUND(F10*0.3,2),ROUND(F10*0.15,2))))</f>
        <v/>
      </c>
      <c r="E42" s="343" t="str">
        <f t="shared" si="14"/>
        <v/>
      </c>
      <c r="F42" s="343" t="str">
        <f t="shared" si="15"/>
        <v/>
      </c>
      <c r="G42" s="343" t="str">
        <f t="shared" si="16"/>
        <v/>
      </c>
      <c r="H42" s="343" t="str">
        <f t="shared" si="17"/>
        <v/>
      </c>
      <c r="I42" s="343" t="str">
        <f t="shared" si="22"/>
        <v/>
      </c>
      <c r="J42" s="328" t="str">
        <f>""</f>
        <v/>
      </c>
      <c r="K42" s="332" t="str">
        <f t="shared" si="11"/>
        <v/>
      </c>
      <c r="L42" s="367" t="str">
        <f t="shared" si="18"/>
        <v/>
      </c>
      <c r="M42" s="344" t="str">
        <f t="shared" si="23"/>
        <v/>
      </c>
      <c r="N42" s="344" t="str">
        <f t="shared" si="24"/>
        <v/>
      </c>
      <c r="O42" s="344" t="str">
        <f t="shared" si="19"/>
        <v/>
      </c>
      <c r="P42" s="344" t="str">
        <f t="shared" si="20"/>
        <v/>
      </c>
      <c r="Q42" s="351" t="str">
        <f t="shared" si="25"/>
        <v/>
      </c>
      <c r="R42" s="351" t="str">
        <f t="shared" si="21"/>
        <v/>
      </c>
      <c r="S42" s="589" t="str">
        <f>IF(Umse!$C$24=0,0,IF($A$1="10.1.",'L Tab'!DK93,IF($A$1="10.2.",'L Tab'!DS93,IF($A$1="10.3.",'L Tab'!EA93,""))))</f>
        <v/>
      </c>
      <c r="T42" s="335" t="str">
        <f>IF(Umse!$C$24=0,0,IF($A$1="10.1.",'L Tab'!DL93,IF($A$1="10.2.",'L Tab'!DT93,IF($A$1="10.3.",'L Tab'!EB93,""))))</f>
        <v/>
      </c>
      <c r="U42" s="335" t="str">
        <f>IF(Umse!$C$24=0,0,IF($A$1="10.1.",'L Tab'!DM93,IF($A$1="10.2.",'L Tab'!DU93,IF($A$1="10.3.",'L Tab'!EC93,""))))</f>
        <v/>
      </c>
      <c r="V42" s="335" t="str">
        <f>IF(Umse!$C$24=0,0,IF($A$1="10.1.",'L Tab'!DN93,IF($A$1="10.2.",'L Tab'!DV93,IF($A$1="10.3.",'L Tab'!ED93,""))))</f>
        <v/>
      </c>
      <c r="W42" s="335" t="str">
        <f>IF(Umse!$C$24=0,0,IF($A$1="10.1.",'L Tab'!DO93,IF($A$1="10.2.",'L Tab'!DW93,IF($A$1="10.3.",'L Tab'!EE93,""))))</f>
        <v/>
      </c>
      <c r="X42" s="590" t="str">
        <f>IF(Umse!$C$24=0,0,IF($A$1="10.1.",'L Tab'!DP93,IF($A$1="10.2.",'L Tab'!DX93,IF($A$1="10.3.",'L Tab'!EF93,""))))</f>
        <v/>
      </c>
      <c r="Z42" s="589" t="str">
        <f>IF(Umse!$C$24=0,0,IF(OR($A$1="7.1.",$A$1="7.2.",$A$1="7.3.",$A$1="7.4.",$A$1="7.5.",$A$1="7.6.",$A$1="7.7.",$A$1="7.8.",$A$1="7.9.",$A$1="7.10.",$A$1="7.11."),'L Tab'!DK129,IF(OR($A$1="7.12.",$A$1="7.13.",$A$1="7.14.",$A$1="7.15.",$A$1="7.16.",$A$1="7.17.",$A$1="7.18.",$A$1="7.19.",$A$1="7.20.",$A$1="7.21.",$A$1="7.22."),'L Tab'!DS129,IF(OR($A$1="7.23.",$A$1="7.24.",$A$1="7.25.",$A$1="7.26.",$A$1="7.27.",$A$1="7.28.",$A$1="7.29.",$A$1="7.30.",$A$1="7.31.",$A$1="7.32.",$A$1="7.33."),'L Tab'!DS129,""))))</f>
        <v/>
      </c>
      <c r="AA42" s="335" t="str">
        <f>IF(Umse!$C$24=0,0,IF(OR($A$1="7.1.",$A$1="7.2.",$A$1="7.3.",$A$1="7.4.",$A$1="7.5.",$A$1="7.6.",$A$1="7.7.",$A$1="7.8.",$A$1="7.9.",$A$1="7.10.",$A$1="7.11."),'L Tab'!DL129,IF(OR($A$1="7.12.",$A$1="7.13.",$A$1="7.14.",$A$1="7.15.",$A$1="7.16.",$A$1="7.17.",$A$1="7.18.",$A$1="7.19.",$A$1="7.20.",$A$1="7.21.",$A$1="7.22."),'L Tab'!DT129,IF(OR($A$1="7.23.",$A$1="7.24.",$A$1="7.25.",$A$1="7.26.",$A$1="7.27.",$A$1="7.28.",$A$1="7.29.",$A$1="7.30.",$A$1="7.31.",$A$1="7.32.",$A$1="7.33."),'L Tab'!DT129,""))))</f>
        <v/>
      </c>
      <c r="AB42" s="335" t="str">
        <f>IF(Umse!$C$24=0,0,IF(OR($A$1="7.1.",$A$1="7.2.",$A$1="7.3.",$A$1="7.4.",$A$1="7.5.",$A$1="7.6.",$A$1="7.7.",$A$1="7.8.",$A$1="7.9.",$A$1="7.10.",$A$1="7.11."),'L Tab'!DM129,IF(OR($A$1="7.12.",$A$1="7.13.",$A$1="7.14.",$A$1="7.15.",$A$1="7.16.",$A$1="7.17.",$A$1="7.18.",$A$1="7.19.",$A$1="7.20.",$A$1="7.21.",$A$1="7.22."),'L Tab'!DU129,IF(OR($A$1="7.23.",$A$1="7.24.",$A$1="7.25.",$A$1="7.26.",$A$1="7.27.",$A$1="7.28.",$A$1="7.29.",$A$1="7.30.",$A$1="7.31.",$A$1="7.32.",$A$1="7.33."),'L Tab'!DU129,""))))</f>
        <v/>
      </c>
      <c r="AC42" s="335" t="str">
        <f>IF(Umse!$C$24=0,0,IF(OR($A$1="7.1.",$A$1="7.2.",$A$1="7.3.",$A$1="7.4.",$A$1="7.5.",$A$1="7.6.",$A$1="7.7.",$A$1="7.8.",$A$1="7.9.",$A$1="7.10.",$A$1="7.11."),'L Tab'!DN129,IF(OR($A$1="7.12.",$A$1="7.13.",$A$1="7.14.",$A$1="7.15.",$A$1="7.16.",$A$1="7.17.",$A$1="7.18.",$A$1="7.19.",$A$1="7.20.",$A$1="7.21.",$A$1="7.22."),'L Tab'!DV129,IF(OR($A$1="7.23.",$A$1="7.24.",$A$1="7.25.",$A$1="7.26.",$A$1="7.27.",$A$1="7.28.",$A$1="7.29.",$A$1="7.30.",$A$1="7.31.",$A$1="7.32.",$A$1="7.33."),'L Tab'!DV129,""))))</f>
        <v/>
      </c>
      <c r="AD42" s="335" t="str">
        <f>IF(Umse!$C$24=0,0,IF(OR($A$1="7.1.",$A$1="7.2.",$A$1="7.3.",$A$1="7.4.",$A$1="7.5.",$A$1="7.6.",$A$1="7.7.",$A$1="7.8.",$A$1="7.9.",$A$1="7.10.",$A$1="7.11."),'L Tab'!DO129,IF(OR($A$1="7.12.",$A$1="7.13.",$A$1="7.14.",$A$1="7.15.",$A$1="7.16.",$A$1="7.17.",$A$1="7.18.",$A$1="7.19.",$A$1="7.20.",$A$1="7.21.",$A$1="7.22."),'L Tab'!DW129,IF(OR($A$1="7.23.",$A$1="7.24.",$A$1="7.25.",$A$1="7.26.",$A$1="7.27.",$A$1="7.28.",$A$1="7.29.",$A$1="7.30.",$A$1="7.31.",$A$1="7.32.",$A$1="7.33."),'L Tab'!DW129,""))))</f>
        <v/>
      </c>
      <c r="AE42" s="590" t="str">
        <f>IF(Umse!$C$24=0,0,IF(OR($A$1="7.1.",$A$1="7.2.",$A$1="7.3.",$A$1="7.4.",$A$1="7.5.",$A$1="7.6.",$A$1="7.7.",$A$1="7.8.",$A$1="7.9.",$A$1="7.10.",$A$1="7.11."),'L Tab'!DP129,IF(OR($A$1="7.12.",$A$1="7.13.",$A$1="7.14.",$A$1="7.15.",$A$1="7.16.",$A$1="7.17.",$A$1="7.18.",$A$1="7.19.",$A$1="7.20.",$A$1="7.21.",$A$1="7.22."),'L Tab'!DX129,IF(OR($A$1="7.23.",$A$1="7.24.",$A$1="7.25.",$A$1="7.26.",$A$1="7.27.",$A$1="7.28.",$A$1="7.29.",$A$1="7.30.",$A$1="7.31.",$A$1="7.32.",$A$1="7.33."),'L Tab'!DX129,""))))</f>
        <v/>
      </c>
    </row>
    <row r="43" spans="1:31">
      <c r="A43" s="328" t="str">
        <f t="shared" si="12"/>
        <v/>
      </c>
      <c r="B43" s="332" t="str">
        <f t="shared" si="10"/>
        <v/>
      </c>
      <c r="C43" s="367" t="str">
        <f t="shared" si="13"/>
        <v/>
      </c>
      <c r="D43" s="606" t="str">
        <f>IF(F11="","",IF(Kalk!B5=9,ROUND(F11*0.15,2),ROUND(F11*0.3,2)))</f>
        <v/>
      </c>
      <c r="E43" s="343" t="str">
        <f t="shared" si="14"/>
        <v/>
      </c>
      <c r="F43" s="343" t="str">
        <f t="shared" si="15"/>
        <v/>
      </c>
      <c r="G43" s="343" t="str">
        <f t="shared" si="16"/>
        <v/>
      </c>
      <c r="H43" s="343" t="str">
        <f t="shared" si="17"/>
        <v/>
      </c>
      <c r="I43" s="343" t="str">
        <f t="shared" si="22"/>
        <v/>
      </c>
      <c r="J43" s="328" t="str">
        <f>""</f>
        <v/>
      </c>
      <c r="K43" s="332" t="str">
        <f t="shared" si="11"/>
        <v/>
      </c>
      <c r="L43" s="367" t="str">
        <f t="shared" si="18"/>
        <v/>
      </c>
      <c r="M43" s="344" t="str">
        <f t="shared" si="23"/>
        <v/>
      </c>
      <c r="N43" s="344" t="str">
        <f t="shared" si="24"/>
        <v/>
      </c>
      <c r="O43" s="344" t="str">
        <f t="shared" si="19"/>
        <v/>
      </c>
      <c r="P43" s="344" t="str">
        <f t="shared" si="20"/>
        <v/>
      </c>
      <c r="Q43" s="351" t="str">
        <f t="shared" si="25"/>
        <v/>
      </c>
      <c r="R43" s="351" t="str">
        <f t="shared" si="21"/>
        <v/>
      </c>
      <c r="S43" s="589" t="str">
        <f>IF(Umse!$C$24=0,0,IF($A$1="10.1.",'L Tab'!DK94,IF($A$1="10.2.",'L Tab'!DS94,IF($A$1="10.3.",'L Tab'!EA94,""))))</f>
        <v/>
      </c>
      <c r="T43" s="335" t="str">
        <f>IF(Umse!$C$24=0,0,IF($A$1="10.1.",'L Tab'!DL94,IF($A$1="10.2.",'L Tab'!DT94,IF($A$1="10.3.",'L Tab'!EB94,""))))</f>
        <v/>
      </c>
      <c r="U43" s="335" t="str">
        <f>IF(Umse!$C$24=0,0,IF($A$1="10.1.",'L Tab'!DM94,IF($A$1="10.2.",'L Tab'!DU94,IF($A$1="10.3.",'L Tab'!EC94,""))))</f>
        <v/>
      </c>
      <c r="V43" s="335" t="str">
        <f>IF(Umse!$C$24=0,0,IF($A$1="10.1.",'L Tab'!DN94,IF($A$1="10.2.",'L Tab'!DV94,IF($A$1="10.3.",'L Tab'!ED94,""))))</f>
        <v/>
      </c>
      <c r="W43" s="335" t="str">
        <f>IF(Umse!$C$24=0,0,IF($A$1="10.1.",'L Tab'!DO94,IF($A$1="10.2.",'L Tab'!DW94,IF($A$1="10.3.",'L Tab'!EE94,""))))</f>
        <v/>
      </c>
      <c r="X43" s="590" t="str">
        <f>IF(Umse!$C$24=0,0,IF($A$1="10.1.",'L Tab'!DP94,IF($A$1="10.2.",'L Tab'!DX94,IF($A$1="10.3.",'L Tab'!EF94,""))))</f>
        <v/>
      </c>
      <c r="Z43" s="589" t="str">
        <f>IF(Umse!$C$24=0,0,IF(OR($A$1="7.1.",$A$1="7.2.",$A$1="7.3.",$A$1="7.4.",$A$1="7.5.",$A$1="7.6.",$A$1="7.7.",$A$1="7.8.",$A$1="7.9.",$A$1="7.10.",$A$1="7.11."),'L Tab'!DK130,IF(OR($A$1="7.12.",$A$1="7.13.",$A$1="7.14.",$A$1="7.15.",$A$1="7.16.",$A$1="7.17.",$A$1="7.18.",$A$1="7.19.",$A$1="7.20.",$A$1="7.21.",$A$1="7.22."),'L Tab'!DS130,IF(OR($A$1="7.23.",$A$1="7.24.",$A$1="7.25.",$A$1="7.26.",$A$1="7.27.",$A$1="7.28.",$A$1="7.29.",$A$1="7.30.",$A$1="7.31.",$A$1="7.32.",$A$1="7.33."),'L Tab'!DS130,""))))</f>
        <v/>
      </c>
      <c r="AA43" s="335" t="str">
        <f>IF(Umse!$C$24=0,0,IF(OR($A$1="7.1.",$A$1="7.2.",$A$1="7.3.",$A$1="7.4.",$A$1="7.5.",$A$1="7.6.",$A$1="7.7.",$A$1="7.8.",$A$1="7.9.",$A$1="7.10.",$A$1="7.11."),'L Tab'!DL130,IF(OR($A$1="7.12.",$A$1="7.13.",$A$1="7.14.",$A$1="7.15.",$A$1="7.16.",$A$1="7.17.",$A$1="7.18.",$A$1="7.19.",$A$1="7.20.",$A$1="7.21.",$A$1="7.22."),'L Tab'!DT130,IF(OR($A$1="7.23.",$A$1="7.24.",$A$1="7.25.",$A$1="7.26.",$A$1="7.27.",$A$1="7.28.",$A$1="7.29.",$A$1="7.30.",$A$1="7.31.",$A$1="7.32.",$A$1="7.33."),'L Tab'!DT130,""))))</f>
        <v/>
      </c>
      <c r="AB43" s="335" t="str">
        <f>IF(Umse!$C$24=0,0,IF(OR($A$1="7.1.",$A$1="7.2.",$A$1="7.3.",$A$1="7.4.",$A$1="7.5.",$A$1="7.6.",$A$1="7.7.",$A$1="7.8.",$A$1="7.9.",$A$1="7.10.",$A$1="7.11."),'L Tab'!DM130,IF(OR($A$1="7.12.",$A$1="7.13.",$A$1="7.14.",$A$1="7.15.",$A$1="7.16.",$A$1="7.17.",$A$1="7.18.",$A$1="7.19.",$A$1="7.20.",$A$1="7.21.",$A$1="7.22."),'L Tab'!DU130,IF(OR($A$1="7.23.",$A$1="7.24.",$A$1="7.25.",$A$1="7.26.",$A$1="7.27.",$A$1="7.28.",$A$1="7.29.",$A$1="7.30.",$A$1="7.31.",$A$1="7.32.",$A$1="7.33."),'L Tab'!DU130,""))))</f>
        <v/>
      </c>
      <c r="AC43" s="335" t="str">
        <f>IF(Umse!$C$24=0,0,IF(OR($A$1="7.1.",$A$1="7.2.",$A$1="7.3.",$A$1="7.4.",$A$1="7.5.",$A$1="7.6.",$A$1="7.7.",$A$1="7.8.",$A$1="7.9.",$A$1="7.10.",$A$1="7.11."),'L Tab'!DN130,IF(OR($A$1="7.12.",$A$1="7.13.",$A$1="7.14.",$A$1="7.15.",$A$1="7.16.",$A$1="7.17.",$A$1="7.18.",$A$1="7.19.",$A$1="7.20.",$A$1="7.21.",$A$1="7.22."),'L Tab'!DV130,IF(OR($A$1="7.23.",$A$1="7.24.",$A$1="7.25.",$A$1="7.26.",$A$1="7.27.",$A$1="7.28.",$A$1="7.29.",$A$1="7.30.",$A$1="7.31.",$A$1="7.32.",$A$1="7.33."),'L Tab'!DV130,""))))</f>
        <v/>
      </c>
      <c r="AD43" s="335" t="str">
        <f>IF(Umse!$C$24=0,0,IF(OR($A$1="7.1.",$A$1="7.2.",$A$1="7.3.",$A$1="7.4.",$A$1="7.5.",$A$1="7.6.",$A$1="7.7.",$A$1="7.8.",$A$1="7.9.",$A$1="7.10.",$A$1="7.11."),'L Tab'!DO130,IF(OR($A$1="7.12.",$A$1="7.13.",$A$1="7.14.",$A$1="7.15.",$A$1="7.16.",$A$1="7.17.",$A$1="7.18.",$A$1="7.19.",$A$1="7.20.",$A$1="7.21.",$A$1="7.22."),'L Tab'!DW130,IF(OR($A$1="7.23.",$A$1="7.24.",$A$1="7.25.",$A$1="7.26.",$A$1="7.27.",$A$1="7.28.",$A$1="7.29.",$A$1="7.30.",$A$1="7.31.",$A$1="7.32.",$A$1="7.33."),'L Tab'!DW130,""))))</f>
        <v/>
      </c>
      <c r="AE43" s="590" t="str">
        <f>IF(Umse!$C$24=0,0,IF(OR($A$1="7.1.",$A$1="7.2.",$A$1="7.3.",$A$1="7.4.",$A$1="7.5.",$A$1="7.6.",$A$1="7.7.",$A$1="7.8.",$A$1="7.9.",$A$1="7.10.",$A$1="7.11."),'L Tab'!DP130,IF(OR($A$1="7.12.",$A$1="7.13.",$A$1="7.14.",$A$1="7.15.",$A$1="7.16.",$A$1="7.17.",$A$1="7.18.",$A$1="7.19.",$A$1="7.20.",$A$1="7.21.",$A$1="7.22."),'L Tab'!DX130,IF(OR($A$1="7.23.",$A$1="7.24.",$A$1="7.25.",$A$1="7.26.",$A$1="7.27.",$A$1="7.28.",$A$1="7.29.",$A$1="7.30.",$A$1="7.31.",$A$1="7.32.",$A$1="7.33."),'L Tab'!DX130,""))))</f>
        <v/>
      </c>
    </row>
    <row r="44" spans="1:31">
      <c r="A44" s="328" t="str">
        <f t="shared" si="12"/>
        <v/>
      </c>
      <c r="B44" s="551" t="str">
        <f t="shared" si="10"/>
        <v/>
      </c>
      <c r="C44" s="552" t="str">
        <f t="shared" si="13"/>
        <v/>
      </c>
      <c r="D44" s="606" t="str">
        <f>IF(F12="","",IF(Kalk!B5=9,ROUND(F12*0.15,2),ROUND(F12*0.3,2)))</f>
        <v/>
      </c>
      <c r="E44" s="343" t="str">
        <f t="shared" si="14"/>
        <v/>
      </c>
      <c r="F44" s="343" t="str">
        <f t="shared" si="15"/>
        <v/>
      </c>
      <c r="G44" s="343" t="str">
        <f t="shared" si="16"/>
        <v/>
      </c>
      <c r="H44" s="343" t="str">
        <f t="shared" si="17"/>
        <v/>
      </c>
      <c r="I44" s="343" t="str">
        <f t="shared" si="22"/>
        <v/>
      </c>
      <c r="J44" s="328" t="str">
        <f>""</f>
        <v/>
      </c>
      <c r="K44" s="332" t="str">
        <f t="shared" si="11"/>
        <v/>
      </c>
      <c r="L44" s="367" t="str">
        <f t="shared" si="18"/>
        <v/>
      </c>
      <c r="M44" s="344" t="str">
        <f t="shared" si="23"/>
        <v/>
      </c>
      <c r="N44" s="344" t="str">
        <f t="shared" si="24"/>
        <v/>
      </c>
      <c r="O44" s="344" t="str">
        <f t="shared" si="19"/>
        <v/>
      </c>
      <c r="P44" s="344" t="str">
        <f t="shared" si="20"/>
        <v/>
      </c>
      <c r="Q44" s="576" t="str">
        <f>IF(A1="9.1.","-",P44)</f>
        <v/>
      </c>
      <c r="R44" s="351" t="str">
        <f t="shared" si="21"/>
        <v/>
      </c>
      <c r="S44" s="589" t="str">
        <f>IF(Umse!$C$24=0,0,IF($A$1="10.1.",'L Tab'!DK95,IF($A$1="10.2.",'L Tab'!DS95,IF($A$1="10.3.",'L Tab'!EA95,""))))</f>
        <v/>
      </c>
      <c r="T44" s="335" t="str">
        <f>IF(Umse!$C$24=0,0,IF($A$1="10.1.",'L Tab'!DL95,IF($A$1="10.2.",'L Tab'!DT95,IF($A$1="10.3.",'L Tab'!EB95,""))))</f>
        <v/>
      </c>
      <c r="U44" s="335" t="str">
        <f>IF(Umse!$C$24=0,0,IF($A$1="10.1.",'L Tab'!DM95,IF($A$1="10.2.",'L Tab'!DU95,IF($A$1="10.3.",'L Tab'!EC95,""))))</f>
        <v/>
      </c>
      <c r="V44" s="335" t="str">
        <f>IF(Umse!$C$24=0,0,IF($A$1="10.1.",'L Tab'!DN95,IF($A$1="10.2.",'L Tab'!DV95,IF($A$1="10.3.",'L Tab'!ED95,""))))</f>
        <v/>
      </c>
      <c r="W44" s="335" t="str">
        <f>IF(Umse!$C$24=0,0,IF($A$1="10.1.",'L Tab'!DO95,IF($A$1="10.2.",'L Tab'!DW95,IF($A$1="10.3.",'L Tab'!EE95,""))))</f>
        <v/>
      </c>
      <c r="X44" s="590" t="str">
        <f>IF(Umse!$C$24=0,0,IF($A$1="10.1.",'L Tab'!DP95,IF($A$1="10.2.",'L Tab'!DX95,IF($A$1="10.3.",'L Tab'!EF95,""))))</f>
        <v/>
      </c>
      <c r="Z44" s="589" t="str">
        <f>IF(Umse!$C$24=0,0,IF(OR($A$1="7.1.",$A$1="7.2.",$A$1="7.3.",$A$1="7.4.",$A$1="7.5.",$A$1="7.6.",$A$1="7.7.",$A$1="7.8.",$A$1="7.9.",$A$1="7.10.",$A$1="7.11."),'L Tab'!DK131,IF(OR($A$1="7.12.",$A$1="7.13.",$A$1="7.14.",$A$1="7.15.",$A$1="7.16.",$A$1="7.17.",$A$1="7.18.",$A$1="7.19.",$A$1="7.20.",$A$1="7.21.",$A$1="7.22."),'L Tab'!DS131,IF(OR($A$1="7.23.",$A$1="7.24.",$A$1="7.25.",$A$1="7.26.",$A$1="7.27.",$A$1="7.28.",$A$1="7.29.",$A$1="7.30.",$A$1="7.31.",$A$1="7.32.",$A$1="7.33."),'L Tab'!DS131,""))))</f>
        <v/>
      </c>
      <c r="AA44" s="335" t="str">
        <f>IF(Umse!$C$24=0,0,IF(OR($A$1="7.1.",$A$1="7.2.",$A$1="7.3.",$A$1="7.4.",$A$1="7.5.",$A$1="7.6.",$A$1="7.7.",$A$1="7.8.",$A$1="7.9.",$A$1="7.10.",$A$1="7.11."),'L Tab'!DL131,IF(OR($A$1="7.12.",$A$1="7.13.",$A$1="7.14.",$A$1="7.15.",$A$1="7.16.",$A$1="7.17.",$A$1="7.18.",$A$1="7.19.",$A$1="7.20.",$A$1="7.21.",$A$1="7.22."),'L Tab'!DT131,IF(OR($A$1="7.23.",$A$1="7.24.",$A$1="7.25.",$A$1="7.26.",$A$1="7.27.",$A$1="7.28.",$A$1="7.29.",$A$1="7.30.",$A$1="7.31.",$A$1="7.32.",$A$1="7.33."),'L Tab'!DT131,""))))</f>
        <v/>
      </c>
      <c r="AB44" s="335" t="str">
        <f>IF(Umse!$C$24=0,0,IF(OR($A$1="7.1.",$A$1="7.2.",$A$1="7.3.",$A$1="7.4.",$A$1="7.5.",$A$1="7.6.",$A$1="7.7.",$A$1="7.8.",$A$1="7.9.",$A$1="7.10.",$A$1="7.11."),'L Tab'!DM131,IF(OR($A$1="7.12.",$A$1="7.13.",$A$1="7.14.",$A$1="7.15.",$A$1="7.16.",$A$1="7.17.",$A$1="7.18.",$A$1="7.19.",$A$1="7.20.",$A$1="7.21.",$A$1="7.22."),'L Tab'!DU131,IF(OR($A$1="7.23.",$A$1="7.24.",$A$1="7.25.",$A$1="7.26.",$A$1="7.27.",$A$1="7.28.",$A$1="7.29.",$A$1="7.30.",$A$1="7.31.",$A$1="7.32.",$A$1="7.33."),'L Tab'!DU131,""))))</f>
        <v/>
      </c>
      <c r="AC44" s="335" t="str">
        <f>IF(Umse!$C$24=0,0,IF(OR($A$1="7.1.",$A$1="7.2.",$A$1="7.3.",$A$1="7.4.",$A$1="7.5.",$A$1="7.6.",$A$1="7.7.",$A$1="7.8.",$A$1="7.9.",$A$1="7.10.",$A$1="7.11."),'L Tab'!DN131,IF(OR($A$1="7.12.",$A$1="7.13.",$A$1="7.14.",$A$1="7.15.",$A$1="7.16.",$A$1="7.17.",$A$1="7.18.",$A$1="7.19.",$A$1="7.20.",$A$1="7.21.",$A$1="7.22."),'L Tab'!DV131,IF(OR($A$1="7.23.",$A$1="7.24.",$A$1="7.25.",$A$1="7.26.",$A$1="7.27.",$A$1="7.28.",$A$1="7.29.",$A$1="7.30.",$A$1="7.31.",$A$1="7.32.",$A$1="7.33."),'L Tab'!DV131,""))))</f>
        <v/>
      </c>
      <c r="AD44" s="335" t="str">
        <f>IF(Umse!$C$24=0,0,IF(OR($A$1="7.1.",$A$1="7.2.",$A$1="7.3.",$A$1="7.4.",$A$1="7.5.",$A$1="7.6.",$A$1="7.7.",$A$1="7.8.",$A$1="7.9.",$A$1="7.10.",$A$1="7.11."),'L Tab'!DO131,IF(OR($A$1="7.12.",$A$1="7.13.",$A$1="7.14.",$A$1="7.15.",$A$1="7.16.",$A$1="7.17.",$A$1="7.18.",$A$1="7.19.",$A$1="7.20.",$A$1="7.21.",$A$1="7.22."),'L Tab'!DW131,IF(OR($A$1="7.23.",$A$1="7.24.",$A$1="7.25.",$A$1="7.26.",$A$1="7.27.",$A$1="7.28.",$A$1="7.29.",$A$1="7.30.",$A$1="7.31.",$A$1="7.32.",$A$1="7.33."),'L Tab'!DW131,""))))</f>
        <v/>
      </c>
      <c r="AE44" s="590" t="str">
        <f>IF(Umse!$C$24=0,0,IF(OR($A$1="7.1.",$A$1="7.2.",$A$1="7.3.",$A$1="7.4.",$A$1="7.5.",$A$1="7.6.",$A$1="7.7.",$A$1="7.8.",$A$1="7.9.",$A$1="7.10.",$A$1="7.11."),'L Tab'!DP131,IF(OR($A$1="7.12.",$A$1="7.13.",$A$1="7.14.",$A$1="7.15.",$A$1="7.16.",$A$1="7.17.",$A$1="7.18.",$A$1="7.19.",$A$1="7.20.",$A$1="7.21.",$A$1="7.22."),'L Tab'!DX131,IF(OR($A$1="7.23.",$A$1="7.24.",$A$1="7.25.",$A$1="7.26.",$A$1="7.27.",$A$1="7.28.",$A$1="7.29.",$A$1="7.30.",$A$1="7.31.",$A$1="7.32.",$A$1="7.33."),'L Tab'!DX131,""))))</f>
        <v/>
      </c>
    </row>
    <row r="45" spans="1:31">
      <c r="A45" s="328" t="str">
        <f t="shared" si="12"/>
        <v/>
      </c>
      <c r="B45" s="332" t="str">
        <f t="shared" si="10"/>
        <v/>
      </c>
      <c r="C45" s="367" t="str">
        <f t="shared" si="13"/>
        <v/>
      </c>
      <c r="D45" s="343" t="str">
        <f t="shared" ref="D45:D53" si="26">IF(F13="","",ROUND(F13*0.3,2))</f>
        <v/>
      </c>
      <c r="E45" s="343" t="str">
        <f t="shared" si="14"/>
        <v/>
      </c>
      <c r="F45" s="343" t="str">
        <f t="shared" si="15"/>
        <v/>
      </c>
      <c r="G45" s="343" t="str">
        <f t="shared" si="16"/>
        <v/>
      </c>
      <c r="H45" s="343" t="str">
        <f t="shared" si="17"/>
        <v/>
      </c>
      <c r="I45" s="343" t="str">
        <f t="shared" si="22"/>
        <v/>
      </c>
      <c r="J45" s="328" t="str">
        <f>""</f>
        <v/>
      </c>
      <c r="K45" s="332" t="str">
        <f t="shared" si="11"/>
        <v/>
      </c>
      <c r="L45" s="367" t="str">
        <f t="shared" si="18"/>
        <v/>
      </c>
      <c r="M45" s="344" t="str">
        <f t="shared" si="23"/>
        <v/>
      </c>
      <c r="N45" s="344" t="str">
        <f t="shared" si="24"/>
        <v/>
      </c>
      <c r="O45" s="344" t="str">
        <f t="shared" si="19"/>
        <v/>
      </c>
      <c r="P45" s="344" t="str">
        <f t="shared" si="20"/>
        <v/>
      </c>
      <c r="Q45" s="351" t="str">
        <f t="shared" si="25"/>
        <v/>
      </c>
      <c r="R45" s="576" t="str">
        <f>IF(OR($A$1="5.10.",$A$1="5.11.",$A$1="5.12.",$A$1="5.13.",$A$1="5.14.",$A$1="5.15.",$A$1="5.16.",$A$1="5.17.",$A$1="5.18.",$A$1="5.19."),"-",P45)</f>
        <v/>
      </c>
      <c r="S45" s="589" t="str">
        <f>IF(Umse!$C$24=0,0,IF($A$1="10.1.",'L Tab'!DK96,IF($A$1="10.2.",'L Tab'!DS96,IF($A$1="10.3.",'L Tab'!EA96,""))))</f>
        <v/>
      </c>
      <c r="T45" s="335" t="str">
        <f>IF(Umse!$C$24=0,0,IF($A$1="10.1.",'L Tab'!DL96,IF($A$1="10.2.",'L Tab'!DT96,IF($A$1="10.3.",'L Tab'!EB96,""))))</f>
        <v/>
      </c>
      <c r="U45" s="335" t="str">
        <f>IF(Umse!$C$24=0,0,IF($A$1="10.1.",'L Tab'!DM96,IF($A$1="10.2.",'L Tab'!DU96,IF($A$1="10.3.",'L Tab'!EC96,""))))</f>
        <v/>
      </c>
      <c r="V45" s="335" t="str">
        <f>IF(Umse!$C$24=0,0,IF($A$1="10.1.",'L Tab'!DN96,IF($A$1="10.2.",'L Tab'!DV96,IF($A$1="10.3.",'L Tab'!ED96,""))))</f>
        <v/>
      </c>
      <c r="W45" s="335" t="str">
        <f>IF(Umse!$C$24=0,0,IF($A$1="10.1.",'L Tab'!DO96,IF($A$1="10.2.",'L Tab'!DW96,IF($A$1="10.3.",'L Tab'!EE96,""))))</f>
        <v/>
      </c>
      <c r="X45" s="590" t="str">
        <f>IF(Umse!$C$24=0,0,IF($A$1="10.1.",'L Tab'!DP96,IF($A$1="10.2.",'L Tab'!DX96,IF($A$1="10.3.",'L Tab'!EF96,""))))</f>
        <v/>
      </c>
      <c r="Z45" s="589" t="str">
        <f>IF(Umse!$C$24=0,0,IF(OR($A$1="7.1.",$A$1="7.2.",$A$1="7.3.",$A$1="7.4.",$A$1="7.5.",$A$1="7.6.",$A$1="7.7.",$A$1="7.8.",$A$1="7.9.",$A$1="7.10.",$A$1="7.11."),'L Tab'!DK132,IF(OR($A$1="7.12.",$A$1="7.13.",$A$1="7.14.",$A$1="7.15.",$A$1="7.16.",$A$1="7.17.",$A$1="7.18.",$A$1="7.19.",$A$1="7.20.",$A$1="7.21.",$A$1="7.22."),'L Tab'!DS132,IF(OR($A$1="7.23.",$A$1="7.24.",$A$1="7.25.",$A$1="7.26.",$A$1="7.27.",$A$1="7.28.",$A$1="7.29.",$A$1="7.30.",$A$1="7.31.",$A$1="7.32.",$A$1="7.33."),'L Tab'!DS132,""))))</f>
        <v/>
      </c>
      <c r="AA45" s="335" t="str">
        <f>IF(Umse!$C$24=0,0,IF(OR($A$1="7.1.",$A$1="7.2.",$A$1="7.3.",$A$1="7.4.",$A$1="7.5.",$A$1="7.6.",$A$1="7.7.",$A$1="7.8.",$A$1="7.9.",$A$1="7.10.",$A$1="7.11."),'L Tab'!DL132,IF(OR($A$1="7.12.",$A$1="7.13.",$A$1="7.14.",$A$1="7.15.",$A$1="7.16.",$A$1="7.17.",$A$1="7.18.",$A$1="7.19.",$A$1="7.20.",$A$1="7.21.",$A$1="7.22."),'L Tab'!DT132,IF(OR($A$1="7.23.",$A$1="7.24.",$A$1="7.25.",$A$1="7.26.",$A$1="7.27.",$A$1="7.28.",$A$1="7.29.",$A$1="7.30.",$A$1="7.31.",$A$1="7.32.",$A$1="7.33."),'L Tab'!DT132,""))))</f>
        <v/>
      </c>
      <c r="AB45" s="335" t="str">
        <f>IF(Umse!$C$24=0,0,IF(OR($A$1="7.1.",$A$1="7.2.",$A$1="7.3.",$A$1="7.4.",$A$1="7.5.",$A$1="7.6.",$A$1="7.7.",$A$1="7.8.",$A$1="7.9.",$A$1="7.10.",$A$1="7.11."),'L Tab'!DM132,IF(OR($A$1="7.12.",$A$1="7.13.",$A$1="7.14.",$A$1="7.15.",$A$1="7.16.",$A$1="7.17.",$A$1="7.18.",$A$1="7.19.",$A$1="7.20.",$A$1="7.21.",$A$1="7.22."),'L Tab'!DU132,IF(OR($A$1="7.23.",$A$1="7.24.",$A$1="7.25.",$A$1="7.26.",$A$1="7.27.",$A$1="7.28.",$A$1="7.29.",$A$1="7.30.",$A$1="7.31.",$A$1="7.32.",$A$1="7.33."),'L Tab'!DU132,""))))</f>
        <v/>
      </c>
      <c r="AC45" s="335" t="str">
        <f>IF(Umse!$C$24=0,0,IF(OR($A$1="7.1.",$A$1="7.2.",$A$1="7.3.",$A$1="7.4.",$A$1="7.5.",$A$1="7.6.",$A$1="7.7.",$A$1="7.8.",$A$1="7.9.",$A$1="7.10.",$A$1="7.11."),'L Tab'!DN132,IF(OR($A$1="7.12.",$A$1="7.13.",$A$1="7.14.",$A$1="7.15.",$A$1="7.16.",$A$1="7.17.",$A$1="7.18.",$A$1="7.19.",$A$1="7.20.",$A$1="7.21.",$A$1="7.22."),'L Tab'!DV132,IF(OR($A$1="7.23.",$A$1="7.24.",$A$1="7.25.",$A$1="7.26.",$A$1="7.27.",$A$1="7.28.",$A$1="7.29.",$A$1="7.30.",$A$1="7.31.",$A$1="7.32.",$A$1="7.33."),'L Tab'!DV132,""))))</f>
        <v/>
      </c>
      <c r="AD45" s="335" t="str">
        <f>IF(Umse!$C$24=0,0,IF(OR($A$1="7.1.",$A$1="7.2.",$A$1="7.3.",$A$1="7.4.",$A$1="7.5.",$A$1="7.6.",$A$1="7.7.",$A$1="7.8.",$A$1="7.9.",$A$1="7.10.",$A$1="7.11."),'L Tab'!DO132,IF(OR($A$1="7.12.",$A$1="7.13.",$A$1="7.14.",$A$1="7.15.",$A$1="7.16.",$A$1="7.17.",$A$1="7.18.",$A$1="7.19.",$A$1="7.20.",$A$1="7.21.",$A$1="7.22."),'L Tab'!DW132,IF(OR($A$1="7.23.",$A$1="7.24.",$A$1="7.25.",$A$1="7.26.",$A$1="7.27.",$A$1="7.28.",$A$1="7.29.",$A$1="7.30.",$A$1="7.31.",$A$1="7.32.",$A$1="7.33."),'L Tab'!DW132,""))))</f>
        <v/>
      </c>
      <c r="AE45" s="590" t="str">
        <f>IF(Umse!$C$24=0,0,IF(OR($A$1="7.1.",$A$1="7.2.",$A$1="7.3.",$A$1="7.4.",$A$1="7.5.",$A$1="7.6.",$A$1="7.7.",$A$1="7.8.",$A$1="7.9.",$A$1="7.10.",$A$1="7.11."),'L Tab'!DP132,IF(OR($A$1="7.12.",$A$1="7.13.",$A$1="7.14.",$A$1="7.15.",$A$1="7.16.",$A$1="7.17.",$A$1="7.18.",$A$1="7.19.",$A$1="7.20.",$A$1="7.21.",$A$1="7.22."),'L Tab'!DX132,IF(OR($A$1="7.23.",$A$1="7.24.",$A$1="7.25.",$A$1="7.26.",$A$1="7.27.",$A$1="7.28.",$A$1="7.29.",$A$1="7.30.",$A$1="7.31.",$A$1="7.32.",$A$1="7.33."),'L Tab'!DX132,""))))</f>
        <v/>
      </c>
    </row>
    <row r="46" spans="1:31">
      <c r="A46" s="328" t="str">
        <f t="shared" si="12"/>
        <v/>
      </c>
      <c r="B46" s="332" t="str">
        <f t="shared" si="10"/>
        <v/>
      </c>
      <c r="C46" s="367" t="str">
        <f t="shared" si="13"/>
        <v/>
      </c>
      <c r="D46" s="343" t="str">
        <f t="shared" si="26"/>
        <v/>
      </c>
      <c r="E46" s="343" t="str">
        <f t="shared" si="14"/>
        <v/>
      </c>
      <c r="F46" s="343" t="str">
        <f t="shared" si="15"/>
        <v/>
      </c>
      <c r="G46" s="343" t="str">
        <f t="shared" si="16"/>
        <v/>
      </c>
      <c r="H46" s="343" t="str">
        <f t="shared" si="17"/>
        <v/>
      </c>
      <c r="I46" s="343" t="str">
        <f t="shared" si="22"/>
        <v/>
      </c>
      <c r="J46" s="328" t="str">
        <f>""</f>
        <v/>
      </c>
      <c r="K46" s="332" t="str">
        <f t="shared" si="11"/>
        <v/>
      </c>
      <c r="L46" s="367" t="str">
        <f t="shared" si="18"/>
        <v/>
      </c>
      <c r="M46" s="344" t="str">
        <f t="shared" si="23"/>
        <v/>
      </c>
      <c r="N46" s="344" t="str">
        <f t="shared" si="24"/>
        <v/>
      </c>
      <c r="O46" s="344" t="str">
        <f t="shared" si="19"/>
        <v/>
      </c>
      <c r="P46" s="344" t="str">
        <f t="shared" si="20"/>
        <v/>
      </c>
      <c r="Q46" s="351" t="str">
        <f t="shared" si="25"/>
        <v/>
      </c>
      <c r="R46" s="351" t="str">
        <f t="shared" ref="R46:R52" si="27">P46</f>
        <v/>
      </c>
      <c r="S46" s="589" t="str">
        <f>IF(Umse!$C$24=0,0,IF($A$1="10.1.",'L Tab'!DK97,IF($A$1="10.2.",'L Tab'!DS97,IF($A$1="10.3.",'L Tab'!EA97,""))))</f>
        <v/>
      </c>
      <c r="T46" s="335" t="str">
        <f>IF(Umse!$C$24=0,0,IF($A$1="10.1.",'L Tab'!DL97,IF($A$1="10.2.",'L Tab'!DT97,IF($A$1="10.3.",'L Tab'!EB97,""))))</f>
        <v/>
      </c>
      <c r="U46" s="335" t="str">
        <f>IF(Umse!$C$24=0,0,IF($A$1="10.1.",'L Tab'!DM97,IF($A$1="10.2.",'L Tab'!DU97,IF($A$1="10.3.",'L Tab'!EC97,""))))</f>
        <v/>
      </c>
      <c r="V46" s="335" t="str">
        <f>IF(Umse!$C$24=0,0,IF($A$1="10.1.",'L Tab'!DN97,IF($A$1="10.2.",'L Tab'!DV97,IF($A$1="10.3.",'L Tab'!ED97,""))))</f>
        <v/>
      </c>
      <c r="W46" s="335" t="str">
        <f>IF(Umse!$C$24=0,0,IF($A$1="10.1.",'L Tab'!DO97,IF($A$1="10.2.",'L Tab'!DW97,IF($A$1="10.3.",'L Tab'!EE97,""))))</f>
        <v/>
      </c>
      <c r="X46" s="590" t="str">
        <f>IF(Umse!$C$24=0,0,IF($A$1="10.1.",'L Tab'!DP97,IF($A$1="10.2.",'L Tab'!DX97,IF($A$1="10.3.",'L Tab'!EF97,""))))</f>
        <v/>
      </c>
      <c r="Z46" s="589" t="str">
        <f>IF(Umse!$C$24=0,0,IF(OR($A$1="7.1.",$A$1="7.2.",$A$1="7.3.",$A$1="7.4.",$A$1="7.5.",$A$1="7.6.",$A$1="7.7.",$A$1="7.8.",$A$1="7.9.",$A$1="7.10.",$A$1="7.11."),'L Tab'!DK133,IF(OR($A$1="7.12.",$A$1="7.13.",$A$1="7.14.",$A$1="7.15.",$A$1="7.16.",$A$1="7.17.",$A$1="7.18.",$A$1="7.19.",$A$1="7.20.",$A$1="7.21.",$A$1="7.22."),'L Tab'!DS133,IF(OR($A$1="7.23.",$A$1="7.24.",$A$1="7.25.",$A$1="7.26.",$A$1="7.27.",$A$1="7.28.",$A$1="7.29.",$A$1="7.30.",$A$1="7.31.",$A$1="7.32.",$A$1="7.33."),'L Tab'!DS133,""))))</f>
        <v/>
      </c>
      <c r="AA46" s="335" t="str">
        <f>IF(Umse!$C$24=0,0,IF(OR($A$1="7.1.",$A$1="7.2.",$A$1="7.3.",$A$1="7.4.",$A$1="7.5.",$A$1="7.6.",$A$1="7.7.",$A$1="7.8.",$A$1="7.9.",$A$1="7.10.",$A$1="7.11."),'L Tab'!DL133,IF(OR($A$1="7.12.",$A$1="7.13.",$A$1="7.14.",$A$1="7.15.",$A$1="7.16.",$A$1="7.17.",$A$1="7.18.",$A$1="7.19.",$A$1="7.20.",$A$1="7.21.",$A$1="7.22."),'L Tab'!DT133,IF(OR($A$1="7.23.",$A$1="7.24.",$A$1="7.25.",$A$1="7.26.",$A$1="7.27.",$A$1="7.28.",$A$1="7.29.",$A$1="7.30.",$A$1="7.31.",$A$1="7.32.",$A$1="7.33."),'L Tab'!DT133,""))))</f>
        <v/>
      </c>
      <c r="AB46" s="335" t="str">
        <f>IF(Umse!$C$24=0,0,IF(OR($A$1="7.1.",$A$1="7.2.",$A$1="7.3.",$A$1="7.4.",$A$1="7.5.",$A$1="7.6.",$A$1="7.7.",$A$1="7.8.",$A$1="7.9.",$A$1="7.10.",$A$1="7.11."),'L Tab'!DM133,IF(OR($A$1="7.12.",$A$1="7.13.",$A$1="7.14.",$A$1="7.15.",$A$1="7.16.",$A$1="7.17.",$A$1="7.18.",$A$1="7.19.",$A$1="7.20.",$A$1="7.21.",$A$1="7.22."),'L Tab'!DU133,IF(OR($A$1="7.23.",$A$1="7.24.",$A$1="7.25.",$A$1="7.26.",$A$1="7.27.",$A$1="7.28.",$A$1="7.29.",$A$1="7.30.",$A$1="7.31.",$A$1="7.32.",$A$1="7.33."),'L Tab'!DU133,""))))</f>
        <v/>
      </c>
      <c r="AC46" s="335" t="str">
        <f>IF(Umse!$C$24=0,0,IF(OR($A$1="7.1.",$A$1="7.2.",$A$1="7.3.",$A$1="7.4.",$A$1="7.5.",$A$1="7.6.",$A$1="7.7.",$A$1="7.8.",$A$1="7.9.",$A$1="7.10.",$A$1="7.11."),'L Tab'!DN133,IF(OR($A$1="7.12.",$A$1="7.13.",$A$1="7.14.",$A$1="7.15.",$A$1="7.16.",$A$1="7.17.",$A$1="7.18.",$A$1="7.19.",$A$1="7.20.",$A$1="7.21.",$A$1="7.22."),'L Tab'!DV133,IF(OR($A$1="7.23.",$A$1="7.24.",$A$1="7.25.",$A$1="7.26.",$A$1="7.27.",$A$1="7.28.",$A$1="7.29.",$A$1="7.30.",$A$1="7.31.",$A$1="7.32.",$A$1="7.33."),'L Tab'!DV133,""))))</f>
        <v/>
      </c>
      <c r="AD46" s="335" t="str">
        <f>IF(Umse!$C$24=0,0,IF(OR($A$1="7.1.",$A$1="7.2.",$A$1="7.3.",$A$1="7.4.",$A$1="7.5.",$A$1="7.6.",$A$1="7.7.",$A$1="7.8.",$A$1="7.9.",$A$1="7.10.",$A$1="7.11."),'L Tab'!DO133,IF(OR($A$1="7.12.",$A$1="7.13.",$A$1="7.14.",$A$1="7.15.",$A$1="7.16.",$A$1="7.17.",$A$1="7.18.",$A$1="7.19.",$A$1="7.20.",$A$1="7.21.",$A$1="7.22."),'L Tab'!DW133,IF(OR($A$1="7.23.",$A$1="7.24.",$A$1="7.25.",$A$1="7.26.",$A$1="7.27.",$A$1="7.28.",$A$1="7.29.",$A$1="7.30.",$A$1="7.31.",$A$1="7.32.",$A$1="7.33."),'L Tab'!DW133,""))))</f>
        <v/>
      </c>
      <c r="AE46" s="590" t="str">
        <f>IF(Umse!$C$24=0,0,IF(OR($A$1="7.1.",$A$1="7.2.",$A$1="7.3.",$A$1="7.4.",$A$1="7.5.",$A$1="7.6.",$A$1="7.7.",$A$1="7.8.",$A$1="7.9.",$A$1="7.10.",$A$1="7.11."),'L Tab'!DP133,IF(OR($A$1="7.12.",$A$1="7.13.",$A$1="7.14.",$A$1="7.15.",$A$1="7.16.",$A$1="7.17.",$A$1="7.18.",$A$1="7.19.",$A$1="7.20.",$A$1="7.21.",$A$1="7.22."),'L Tab'!DX133,IF(OR($A$1="7.23.",$A$1="7.24.",$A$1="7.25.",$A$1="7.26.",$A$1="7.27.",$A$1="7.28.",$A$1="7.29.",$A$1="7.30.",$A$1="7.31.",$A$1="7.32.",$A$1="7.33."),'L Tab'!DX133,""))))</f>
        <v/>
      </c>
    </row>
    <row r="47" spans="1:31">
      <c r="A47" s="328" t="str">
        <f t="shared" si="12"/>
        <v/>
      </c>
      <c r="B47" s="332" t="str">
        <f t="shared" si="10"/>
        <v/>
      </c>
      <c r="C47" s="367" t="str">
        <f t="shared" si="13"/>
        <v/>
      </c>
      <c r="D47" s="343" t="str">
        <f t="shared" si="26"/>
        <v/>
      </c>
      <c r="E47" s="343" t="str">
        <f t="shared" si="14"/>
        <v/>
      </c>
      <c r="F47" s="343" t="str">
        <f t="shared" si="15"/>
        <v/>
      </c>
      <c r="G47" s="343" t="str">
        <f t="shared" si="16"/>
        <v/>
      </c>
      <c r="H47" s="343" t="str">
        <f t="shared" si="17"/>
        <v/>
      </c>
      <c r="I47" s="343" t="str">
        <f t="shared" si="22"/>
        <v/>
      </c>
      <c r="J47" s="328" t="str">
        <f>""</f>
        <v/>
      </c>
      <c r="K47" s="332" t="str">
        <f t="shared" si="11"/>
        <v/>
      </c>
      <c r="L47" s="367" t="str">
        <f t="shared" si="18"/>
        <v/>
      </c>
      <c r="M47" s="344" t="str">
        <f t="shared" si="23"/>
        <v/>
      </c>
      <c r="N47" s="344" t="str">
        <f t="shared" si="24"/>
        <v/>
      </c>
      <c r="O47" s="344" t="str">
        <f t="shared" si="19"/>
        <v/>
      </c>
      <c r="P47" s="344" t="str">
        <f t="shared" si="20"/>
        <v/>
      </c>
      <c r="Q47" s="351" t="str">
        <f t="shared" si="25"/>
        <v/>
      </c>
      <c r="R47" s="351" t="str">
        <f t="shared" si="27"/>
        <v/>
      </c>
      <c r="S47" s="589" t="str">
        <f>IF(Umse!$C$24=0,0,IF($A$1="10.1.",'L Tab'!DK98,IF($A$1="10.2.",'L Tab'!DS98,IF($A$1="10.3.",'L Tab'!EA98,""))))</f>
        <v/>
      </c>
      <c r="T47" s="335" t="str">
        <f>IF(Umse!$C$24=0,0,IF($A$1="10.1.",'L Tab'!DL98,IF($A$1="10.2.",'L Tab'!DT98,IF($A$1="10.3.",'L Tab'!EB98,""))))</f>
        <v/>
      </c>
      <c r="U47" s="335" t="str">
        <f>IF(Umse!$C$24=0,0,IF($A$1="10.1.",'L Tab'!DM98,IF($A$1="10.2.",'L Tab'!DU98,IF($A$1="10.3.",'L Tab'!EC98,""))))</f>
        <v/>
      </c>
      <c r="V47" s="335" t="str">
        <f>IF(Umse!$C$24=0,0,IF($A$1="10.1.",'L Tab'!DN98,IF($A$1="10.2.",'L Tab'!DV98,IF($A$1="10.3.",'L Tab'!ED98,""))))</f>
        <v/>
      </c>
      <c r="W47" s="335" t="str">
        <f>IF(Umse!$C$24=0,0,IF($A$1="10.1.",'L Tab'!DO98,IF($A$1="10.2.",'L Tab'!DW98,IF($A$1="10.3.",'L Tab'!EE98,""))))</f>
        <v/>
      </c>
      <c r="X47" s="590" t="str">
        <f>IF(Umse!$C$24=0,0,IF($A$1="10.1.",'L Tab'!DP98,IF($A$1="10.2.",'L Tab'!DX98,IF($A$1="10.3.",'L Tab'!EF98,""))))</f>
        <v/>
      </c>
      <c r="Z47" s="589" t="str">
        <f>IF(Umse!$C$24=0,0,IF(OR($A$1="7.1.",$A$1="7.2.",$A$1="7.3.",$A$1="7.4.",$A$1="7.5.",$A$1="7.6.",$A$1="7.7.",$A$1="7.8.",$A$1="7.9.",$A$1="7.10.",$A$1="7.11."),'L Tab'!DK134,IF(OR($A$1="7.12.",$A$1="7.13.",$A$1="7.14.",$A$1="7.15.",$A$1="7.16.",$A$1="7.17.",$A$1="7.18.",$A$1="7.19.",$A$1="7.20.",$A$1="7.21.",$A$1="7.22."),'L Tab'!DS134,IF(OR($A$1="7.23.",$A$1="7.24.",$A$1="7.25.",$A$1="7.26.",$A$1="7.27.",$A$1="7.28.",$A$1="7.29.",$A$1="7.30.",$A$1="7.31.",$A$1="7.32.",$A$1="7.33."),'L Tab'!DS134,""))))</f>
        <v/>
      </c>
      <c r="AA47" s="335" t="str">
        <f>IF(Umse!$C$24=0,0,IF(OR($A$1="7.1.",$A$1="7.2.",$A$1="7.3.",$A$1="7.4.",$A$1="7.5.",$A$1="7.6.",$A$1="7.7.",$A$1="7.8.",$A$1="7.9.",$A$1="7.10.",$A$1="7.11."),'L Tab'!DL134,IF(OR($A$1="7.12.",$A$1="7.13.",$A$1="7.14.",$A$1="7.15.",$A$1="7.16.",$A$1="7.17.",$A$1="7.18.",$A$1="7.19.",$A$1="7.20.",$A$1="7.21.",$A$1="7.22."),'L Tab'!DT134,IF(OR($A$1="7.23.",$A$1="7.24.",$A$1="7.25.",$A$1="7.26.",$A$1="7.27.",$A$1="7.28.",$A$1="7.29.",$A$1="7.30.",$A$1="7.31.",$A$1="7.32.",$A$1="7.33."),'L Tab'!DT134,""))))</f>
        <v/>
      </c>
      <c r="AB47" s="335" t="str">
        <f>IF(Umse!$C$24=0,0,IF(OR($A$1="7.1.",$A$1="7.2.",$A$1="7.3.",$A$1="7.4.",$A$1="7.5.",$A$1="7.6.",$A$1="7.7.",$A$1="7.8.",$A$1="7.9.",$A$1="7.10.",$A$1="7.11."),'L Tab'!DM134,IF(OR($A$1="7.12.",$A$1="7.13.",$A$1="7.14.",$A$1="7.15.",$A$1="7.16.",$A$1="7.17.",$A$1="7.18.",$A$1="7.19.",$A$1="7.20.",$A$1="7.21.",$A$1="7.22."),'L Tab'!DU134,IF(OR($A$1="7.23.",$A$1="7.24.",$A$1="7.25.",$A$1="7.26.",$A$1="7.27.",$A$1="7.28.",$A$1="7.29.",$A$1="7.30.",$A$1="7.31.",$A$1="7.32.",$A$1="7.33."),'L Tab'!DU134,""))))</f>
        <v/>
      </c>
      <c r="AC47" s="335" t="str">
        <f>IF(Umse!$C$24=0,0,IF(OR($A$1="7.1.",$A$1="7.2.",$A$1="7.3.",$A$1="7.4.",$A$1="7.5.",$A$1="7.6.",$A$1="7.7.",$A$1="7.8.",$A$1="7.9.",$A$1="7.10.",$A$1="7.11."),'L Tab'!DN134,IF(OR($A$1="7.12.",$A$1="7.13.",$A$1="7.14.",$A$1="7.15.",$A$1="7.16.",$A$1="7.17.",$A$1="7.18.",$A$1="7.19.",$A$1="7.20.",$A$1="7.21.",$A$1="7.22."),'L Tab'!DV134,IF(OR($A$1="7.23.",$A$1="7.24.",$A$1="7.25.",$A$1="7.26.",$A$1="7.27.",$A$1="7.28.",$A$1="7.29.",$A$1="7.30.",$A$1="7.31.",$A$1="7.32.",$A$1="7.33."),'L Tab'!DV134,""))))</f>
        <v/>
      </c>
      <c r="AD47" s="335" t="str">
        <f>IF(Umse!$C$24=0,0,IF(OR($A$1="7.1.",$A$1="7.2.",$A$1="7.3.",$A$1="7.4.",$A$1="7.5.",$A$1="7.6.",$A$1="7.7.",$A$1="7.8.",$A$1="7.9.",$A$1="7.10.",$A$1="7.11."),'L Tab'!DO134,IF(OR($A$1="7.12.",$A$1="7.13.",$A$1="7.14.",$A$1="7.15.",$A$1="7.16.",$A$1="7.17.",$A$1="7.18.",$A$1="7.19.",$A$1="7.20.",$A$1="7.21.",$A$1="7.22."),'L Tab'!DW134,IF(OR($A$1="7.23.",$A$1="7.24.",$A$1="7.25.",$A$1="7.26.",$A$1="7.27.",$A$1="7.28.",$A$1="7.29.",$A$1="7.30.",$A$1="7.31.",$A$1="7.32.",$A$1="7.33."),'L Tab'!DW134,""))))</f>
        <v/>
      </c>
      <c r="AE47" s="590" t="str">
        <f>IF(Umse!$C$24=0,0,IF(OR($A$1="7.1.",$A$1="7.2.",$A$1="7.3.",$A$1="7.4.",$A$1="7.5.",$A$1="7.6.",$A$1="7.7.",$A$1="7.8.",$A$1="7.9.",$A$1="7.10.",$A$1="7.11."),'L Tab'!DP134,IF(OR($A$1="7.12.",$A$1="7.13.",$A$1="7.14.",$A$1="7.15.",$A$1="7.16.",$A$1="7.17.",$A$1="7.18.",$A$1="7.19.",$A$1="7.20.",$A$1="7.21.",$A$1="7.22."),'L Tab'!DX134,IF(OR($A$1="7.23.",$A$1="7.24.",$A$1="7.25.",$A$1="7.26.",$A$1="7.27.",$A$1="7.28.",$A$1="7.29.",$A$1="7.30.",$A$1="7.31.",$A$1="7.32.",$A$1="7.33."),'L Tab'!DX134,""))))</f>
        <v/>
      </c>
    </row>
    <row r="48" spans="1:31">
      <c r="A48" s="328" t="str">
        <f t="shared" si="12"/>
        <v/>
      </c>
      <c r="B48" s="332" t="str">
        <f t="shared" si="10"/>
        <v/>
      </c>
      <c r="C48" s="367" t="str">
        <f t="shared" si="13"/>
        <v/>
      </c>
      <c r="D48" s="343" t="str">
        <f t="shared" si="26"/>
        <v/>
      </c>
      <c r="E48" s="343" t="str">
        <f t="shared" si="14"/>
        <v/>
      </c>
      <c r="F48" s="343" t="str">
        <f t="shared" si="15"/>
        <v/>
      </c>
      <c r="G48" s="343" t="str">
        <f t="shared" si="16"/>
        <v/>
      </c>
      <c r="H48" s="343" t="str">
        <f t="shared" si="17"/>
        <v/>
      </c>
      <c r="I48" s="343" t="str">
        <f t="shared" si="22"/>
        <v/>
      </c>
      <c r="J48" s="328" t="str">
        <f>""</f>
        <v/>
      </c>
      <c r="K48" s="332" t="str">
        <f t="shared" si="11"/>
        <v/>
      </c>
      <c r="L48" s="367" t="str">
        <f t="shared" si="18"/>
        <v/>
      </c>
      <c r="M48" s="344" t="str">
        <f t="shared" si="23"/>
        <v/>
      </c>
      <c r="N48" s="344" t="str">
        <f t="shared" si="24"/>
        <v/>
      </c>
      <c r="O48" s="344" t="str">
        <f t="shared" si="19"/>
        <v/>
      </c>
      <c r="P48" s="344" t="str">
        <f t="shared" si="20"/>
        <v/>
      </c>
      <c r="Q48" s="351" t="str">
        <f t="shared" si="25"/>
        <v/>
      </c>
      <c r="R48" s="351" t="str">
        <f t="shared" si="27"/>
        <v/>
      </c>
      <c r="S48" s="589" t="str">
        <f>IF(Umse!$C$24=0,0,IF($A$1="10.1.",'L Tab'!DK99,IF($A$1="10.2.",'L Tab'!DS99,IF($A$1="10.3.",'L Tab'!EA99,""))))</f>
        <v/>
      </c>
      <c r="T48" s="335" t="str">
        <f>IF(Umse!$C$24=0,0,IF($A$1="10.1.",'L Tab'!DL99,IF($A$1="10.2.",'L Tab'!DT99,IF($A$1="10.3.",'L Tab'!EB99,""))))</f>
        <v/>
      </c>
      <c r="U48" s="335" t="str">
        <f>IF(Umse!$C$24=0,0,IF($A$1="10.1.",'L Tab'!DM99,IF($A$1="10.2.",'L Tab'!DU99,IF($A$1="10.3.",'L Tab'!EC99,""))))</f>
        <v/>
      </c>
      <c r="V48" s="335" t="str">
        <f>IF(Umse!$C$24=0,0,IF($A$1="10.1.",'L Tab'!DN99,IF($A$1="10.2.",'L Tab'!DV99,IF($A$1="10.3.",'L Tab'!ED99,""))))</f>
        <v/>
      </c>
      <c r="W48" s="335" t="str">
        <f>IF(Umse!$C$24=0,0,IF($A$1="10.1.",'L Tab'!DO99,IF($A$1="10.2.",'L Tab'!DW99,IF($A$1="10.3.",'L Tab'!EE99,""))))</f>
        <v/>
      </c>
      <c r="X48" s="590" t="str">
        <f>IF(Umse!$C$24=0,0,IF($A$1="10.1.",'L Tab'!DP99,IF($A$1="10.2.",'L Tab'!DX99,IF($A$1="10.3.",'L Tab'!EF99,""))))</f>
        <v/>
      </c>
      <c r="Z48" s="589" t="str">
        <f>IF(Umse!$C$24=0,0,IF(OR($A$1="7.1.",$A$1="7.2.",$A$1="7.3.",$A$1="7.4.",$A$1="7.5.",$A$1="7.6.",$A$1="7.7.",$A$1="7.8.",$A$1="7.9.",$A$1="7.10.",$A$1="7.11."),'L Tab'!DK135,IF(OR($A$1="7.12.",$A$1="7.13.",$A$1="7.14.",$A$1="7.15.",$A$1="7.16.",$A$1="7.17.",$A$1="7.18.",$A$1="7.19.",$A$1="7.20.",$A$1="7.21.",$A$1="7.22."),'L Tab'!DS135,IF(OR($A$1="7.23.",$A$1="7.24.",$A$1="7.25.",$A$1="7.26.",$A$1="7.27.",$A$1="7.28.",$A$1="7.29.",$A$1="7.30.",$A$1="7.31.",$A$1="7.32.",$A$1="7.33."),'L Tab'!DS135,""))))</f>
        <v/>
      </c>
      <c r="AA48" s="335" t="str">
        <f>IF(Umse!$C$24=0,0,IF(OR($A$1="7.1.",$A$1="7.2.",$A$1="7.3.",$A$1="7.4.",$A$1="7.5.",$A$1="7.6.",$A$1="7.7.",$A$1="7.8.",$A$1="7.9.",$A$1="7.10.",$A$1="7.11."),'L Tab'!DL135,IF(OR($A$1="7.12.",$A$1="7.13.",$A$1="7.14.",$A$1="7.15.",$A$1="7.16.",$A$1="7.17.",$A$1="7.18.",$A$1="7.19.",$A$1="7.20.",$A$1="7.21.",$A$1="7.22."),'L Tab'!DT135,IF(OR($A$1="7.23.",$A$1="7.24.",$A$1="7.25.",$A$1="7.26.",$A$1="7.27.",$A$1="7.28.",$A$1="7.29.",$A$1="7.30.",$A$1="7.31.",$A$1="7.32.",$A$1="7.33."),'L Tab'!DT135,""))))</f>
        <v/>
      </c>
      <c r="AB48" s="335" t="str">
        <f>IF(Umse!$C$24=0,0,IF(OR($A$1="7.1.",$A$1="7.2.",$A$1="7.3.",$A$1="7.4.",$A$1="7.5.",$A$1="7.6.",$A$1="7.7.",$A$1="7.8.",$A$1="7.9.",$A$1="7.10.",$A$1="7.11."),'L Tab'!DM135,IF(OR($A$1="7.12.",$A$1="7.13.",$A$1="7.14.",$A$1="7.15.",$A$1="7.16.",$A$1="7.17.",$A$1="7.18.",$A$1="7.19.",$A$1="7.20.",$A$1="7.21.",$A$1="7.22."),'L Tab'!DU135,IF(OR($A$1="7.23.",$A$1="7.24.",$A$1="7.25.",$A$1="7.26.",$A$1="7.27.",$A$1="7.28.",$A$1="7.29.",$A$1="7.30.",$A$1="7.31.",$A$1="7.32.",$A$1="7.33."),'L Tab'!DU135,""))))</f>
        <v/>
      </c>
      <c r="AC48" s="335" t="str">
        <f>IF(Umse!$C$24=0,0,IF(OR($A$1="7.1.",$A$1="7.2.",$A$1="7.3.",$A$1="7.4.",$A$1="7.5.",$A$1="7.6.",$A$1="7.7.",$A$1="7.8.",$A$1="7.9.",$A$1="7.10.",$A$1="7.11."),'L Tab'!DN135,IF(OR($A$1="7.12.",$A$1="7.13.",$A$1="7.14.",$A$1="7.15.",$A$1="7.16.",$A$1="7.17.",$A$1="7.18.",$A$1="7.19.",$A$1="7.20.",$A$1="7.21.",$A$1="7.22."),'L Tab'!DV135,IF(OR($A$1="7.23.",$A$1="7.24.",$A$1="7.25.",$A$1="7.26.",$A$1="7.27.",$A$1="7.28.",$A$1="7.29.",$A$1="7.30.",$A$1="7.31.",$A$1="7.32.",$A$1="7.33."),'L Tab'!DV135,""))))</f>
        <v/>
      </c>
      <c r="AD48" s="335" t="str">
        <f>IF(Umse!$C$24=0,0,IF(OR($A$1="7.1.",$A$1="7.2.",$A$1="7.3.",$A$1="7.4.",$A$1="7.5.",$A$1="7.6.",$A$1="7.7.",$A$1="7.8.",$A$1="7.9.",$A$1="7.10.",$A$1="7.11."),'L Tab'!DO135,IF(OR($A$1="7.12.",$A$1="7.13.",$A$1="7.14.",$A$1="7.15.",$A$1="7.16.",$A$1="7.17.",$A$1="7.18.",$A$1="7.19.",$A$1="7.20.",$A$1="7.21.",$A$1="7.22."),'L Tab'!DW135,IF(OR($A$1="7.23.",$A$1="7.24.",$A$1="7.25.",$A$1="7.26.",$A$1="7.27.",$A$1="7.28.",$A$1="7.29.",$A$1="7.30.",$A$1="7.31.",$A$1="7.32.",$A$1="7.33."),'L Tab'!DW135,""))))</f>
        <v/>
      </c>
      <c r="AE48" s="590" t="str">
        <f>IF(Umse!$C$24=0,0,IF(OR($A$1="7.1.",$A$1="7.2.",$A$1="7.3.",$A$1="7.4.",$A$1="7.5.",$A$1="7.6.",$A$1="7.7.",$A$1="7.8.",$A$1="7.9.",$A$1="7.10.",$A$1="7.11."),'L Tab'!DP135,IF(OR($A$1="7.12.",$A$1="7.13.",$A$1="7.14.",$A$1="7.15.",$A$1="7.16.",$A$1="7.17.",$A$1="7.18.",$A$1="7.19.",$A$1="7.20.",$A$1="7.21.",$A$1="7.22."),'L Tab'!DX135,IF(OR($A$1="7.23.",$A$1="7.24.",$A$1="7.25.",$A$1="7.26.",$A$1="7.27.",$A$1="7.28.",$A$1="7.29.",$A$1="7.30.",$A$1="7.31.",$A$1="7.32.",$A$1="7.33."),'L Tab'!DX135,""))))</f>
        <v/>
      </c>
    </row>
    <row r="49" spans="1:31">
      <c r="A49" s="328" t="str">
        <f t="shared" si="12"/>
        <v/>
      </c>
      <c r="B49" s="332" t="str">
        <f t="shared" si="10"/>
        <v/>
      </c>
      <c r="C49" s="367" t="str">
        <f t="shared" si="13"/>
        <v/>
      </c>
      <c r="D49" s="343" t="str">
        <f t="shared" si="26"/>
        <v/>
      </c>
      <c r="E49" s="343" t="str">
        <f t="shared" si="14"/>
        <v/>
      </c>
      <c r="F49" s="343" t="str">
        <f t="shared" si="15"/>
        <v/>
      </c>
      <c r="G49" s="343" t="str">
        <f t="shared" si="16"/>
        <v/>
      </c>
      <c r="H49" s="343" t="str">
        <f t="shared" si="17"/>
        <v/>
      </c>
      <c r="I49" s="343" t="str">
        <f t="shared" si="22"/>
        <v/>
      </c>
      <c r="J49" s="328" t="str">
        <f>""</f>
        <v/>
      </c>
      <c r="K49" s="332" t="str">
        <f t="shared" si="11"/>
        <v/>
      </c>
      <c r="L49" s="367" t="str">
        <f t="shared" si="18"/>
        <v/>
      </c>
      <c r="M49" s="344" t="str">
        <f t="shared" si="23"/>
        <v/>
      </c>
      <c r="N49" s="344" t="str">
        <f t="shared" si="24"/>
        <v/>
      </c>
      <c r="O49" s="344" t="str">
        <f t="shared" si="19"/>
        <v/>
      </c>
      <c r="P49" s="344" t="str">
        <f t="shared" si="20"/>
        <v/>
      </c>
      <c r="Q49" s="351" t="str">
        <f t="shared" si="25"/>
        <v/>
      </c>
      <c r="R49" s="351" t="str">
        <f t="shared" si="27"/>
        <v/>
      </c>
      <c r="S49" s="589" t="str">
        <f>IF(Umse!$C$24=0,0,IF($A$1="10.1.",'L Tab'!DK100,IF($A$1="10.2.",'L Tab'!DS100,IF($A$1="10.3.",'L Tab'!EA100,""))))</f>
        <v/>
      </c>
      <c r="T49" s="335" t="str">
        <f>IF(Umse!$C$24=0,0,IF($A$1="10.1.",'L Tab'!DL100,IF($A$1="10.2.",'L Tab'!DT100,IF($A$1="10.3.",'L Tab'!EB100,""))))</f>
        <v/>
      </c>
      <c r="U49" s="335" t="str">
        <f>IF(Umse!$C$24=0,0,IF($A$1="10.1.",'L Tab'!DM100,IF($A$1="10.2.",'L Tab'!DU100,IF($A$1="10.3.",'L Tab'!EC100,""))))</f>
        <v/>
      </c>
      <c r="V49" s="335" t="str">
        <f>IF(Umse!$C$24=0,0,IF($A$1="10.1.",'L Tab'!DN100,IF($A$1="10.2.",'L Tab'!DV100,IF($A$1="10.3.",'L Tab'!ED100,""))))</f>
        <v/>
      </c>
      <c r="W49" s="335" t="str">
        <f>IF(Umse!$C$24=0,0,IF($A$1="10.1.",'L Tab'!DO100,IF($A$1="10.2.",'L Tab'!DW100,IF($A$1="10.3.",'L Tab'!EE100,""))))</f>
        <v/>
      </c>
      <c r="X49" s="590" t="str">
        <f>IF(Umse!$C$24=0,0,IF($A$1="10.1.",'L Tab'!DP100,IF($A$1="10.2.",'L Tab'!DX100,IF($A$1="10.3.",'L Tab'!EF100,""))))</f>
        <v/>
      </c>
      <c r="Z49" s="589" t="str">
        <f>IF(Umse!$C$24=0,0,IF(OR($A$1="7.1.",$A$1="7.2.",$A$1="7.3.",$A$1="7.4.",$A$1="7.5.",$A$1="7.6.",$A$1="7.7.",$A$1="7.8.",$A$1="7.9.",$A$1="7.10.",$A$1="7.11."),'L Tab'!DK136,IF(OR($A$1="7.12.",$A$1="7.13.",$A$1="7.14.",$A$1="7.15.",$A$1="7.16.",$A$1="7.17.",$A$1="7.18.",$A$1="7.19.",$A$1="7.20.",$A$1="7.21.",$A$1="7.22."),'L Tab'!DS136,IF(OR($A$1="7.23.",$A$1="7.24.",$A$1="7.25.",$A$1="7.26.",$A$1="7.27.",$A$1="7.28.",$A$1="7.29.",$A$1="7.30.",$A$1="7.31.",$A$1="7.32.",$A$1="7.33."),'L Tab'!DS136,""))))</f>
        <v/>
      </c>
      <c r="AA49" s="335" t="str">
        <f>IF(Umse!$C$24=0,0,IF(OR($A$1="7.1.",$A$1="7.2.",$A$1="7.3.",$A$1="7.4.",$A$1="7.5.",$A$1="7.6.",$A$1="7.7.",$A$1="7.8.",$A$1="7.9.",$A$1="7.10.",$A$1="7.11."),'L Tab'!DL136,IF(OR($A$1="7.12.",$A$1="7.13.",$A$1="7.14.",$A$1="7.15.",$A$1="7.16.",$A$1="7.17.",$A$1="7.18.",$A$1="7.19.",$A$1="7.20.",$A$1="7.21.",$A$1="7.22."),'L Tab'!DT136,IF(OR($A$1="7.23.",$A$1="7.24.",$A$1="7.25.",$A$1="7.26.",$A$1="7.27.",$A$1="7.28.",$A$1="7.29.",$A$1="7.30.",$A$1="7.31.",$A$1="7.32.",$A$1="7.33."),'L Tab'!DT136,""))))</f>
        <v/>
      </c>
      <c r="AB49" s="335" t="str">
        <f>IF(Umse!$C$24=0,0,IF(OR($A$1="7.1.",$A$1="7.2.",$A$1="7.3.",$A$1="7.4.",$A$1="7.5.",$A$1="7.6.",$A$1="7.7.",$A$1="7.8.",$A$1="7.9.",$A$1="7.10.",$A$1="7.11."),'L Tab'!DM136,IF(OR($A$1="7.12.",$A$1="7.13.",$A$1="7.14.",$A$1="7.15.",$A$1="7.16.",$A$1="7.17.",$A$1="7.18.",$A$1="7.19.",$A$1="7.20.",$A$1="7.21.",$A$1="7.22."),'L Tab'!DU136,IF(OR($A$1="7.23.",$A$1="7.24.",$A$1="7.25.",$A$1="7.26.",$A$1="7.27.",$A$1="7.28.",$A$1="7.29.",$A$1="7.30.",$A$1="7.31.",$A$1="7.32.",$A$1="7.33."),'L Tab'!DU136,""))))</f>
        <v/>
      </c>
      <c r="AC49" s="335" t="str">
        <f>IF(Umse!$C$24=0,0,IF(OR($A$1="7.1.",$A$1="7.2.",$A$1="7.3.",$A$1="7.4.",$A$1="7.5.",$A$1="7.6.",$A$1="7.7.",$A$1="7.8.",$A$1="7.9.",$A$1="7.10.",$A$1="7.11."),'L Tab'!DN136,IF(OR($A$1="7.12.",$A$1="7.13.",$A$1="7.14.",$A$1="7.15.",$A$1="7.16.",$A$1="7.17.",$A$1="7.18.",$A$1="7.19.",$A$1="7.20.",$A$1="7.21.",$A$1="7.22."),'L Tab'!DV136,IF(OR($A$1="7.23.",$A$1="7.24.",$A$1="7.25.",$A$1="7.26.",$A$1="7.27.",$A$1="7.28.",$A$1="7.29.",$A$1="7.30.",$A$1="7.31.",$A$1="7.32.",$A$1="7.33."),'L Tab'!DV136,""))))</f>
        <v/>
      </c>
      <c r="AD49" s="335" t="str">
        <f>IF(Umse!$C$24=0,0,IF(OR($A$1="7.1.",$A$1="7.2.",$A$1="7.3.",$A$1="7.4.",$A$1="7.5.",$A$1="7.6.",$A$1="7.7.",$A$1="7.8.",$A$1="7.9.",$A$1="7.10.",$A$1="7.11."),'L Tab'!DO136,IF(OR($A$1="7.12.",$A$1="7.13.",$A$1="7.14.",$A$1="7.15.",$A$1="7.16.",$A$1="7.17.",$A$1="7.18.",$A$1="7.19.",$A$1="7.20.",$A$1="7.21.",$A$1="7.22."),'L Tab'!DW136,IF(OR($A$1="7.23.",$A$1="7.24.",$A$1="7.25.",$A$1="7.26.",$A$1="7.27.",$A$1="7.28.",$A$1="7.29.",$A$1="7.30.",$A$1="7.31.",$A$1="7.32.",$A$1="7.33."),'L Tab'!DW136,""))))</f>
        <v/>
      </c>
      <c r="AE49" s="590" t="str">
        <f>IF(Umse!$C$24=0,0,IF(OR($A$1="7.1.",$A$1="7.2.",$A$1="7.3.",$A$1="7.4.",$A$1="7.5.",$A$1="7.6.",$A$1="7.7.",$A$1="7.8.",$A$1="7.9.",$A$1="7.10.",$A$1="7.11."),'L Tab'!DP136,IF(OR($A$1="7.12.",$A$1="7.13.",$A$1="7.14.",$A$1="7.15.",$A$1="7.16.",$A$1="7.17.",$A$1="7.18.",$A$1="7.19.",$A$1="7.20.",$A$1="7.21.",$A$1="7.22."),'L Tab'!DX136,IF(OR($A$1="7.23.",$A$1="7.24.",$A$1="7.25.",$A$1="7.26.",$A$1="7.27.",$A$1="7.28.",$A$1="7.29.",$A$1="7.30.",$A$1="7.31.",$A$1="7.32.",$A$1="7.33."),'L Tab'!DX136,""))))</f>
        <v/>
      </c>
    </row>
    <row r="50" spans="1:31">
      <c r="A50" s="328" t="str">
        <f t="shared" si="12"/>
        <v/>
      </c>
      <c r="B50" s="332" t="str">
        <f t="shared" si="10"/>
        <v/>
      </c>
      <c r="C50" s="367" t="str">
        <f t="shared" si="13"/>
        <v/>
      </c>
      <c r="D50" s="343" t="str">
        <f t="shared" si="26"/>
        <v/>
      </c>
      <c r="E50" s="343" t="str">
        <f t="shared" si="14"/>
        <v/>
      </c>
      <c r="F50" s="343" t="str">
        <f t="shared" si="15"/>
        <v/>
      </c>
      <c r="G50" s="343" t="str">
        <f t="shared" si="16"/>
        <v/>
      </c>
      <c r="H50" s="343" t="str">
        <f t="shared" si="17"/>
        <v/>
      </c>
      <c r="I50" s="343" t="str">
        <f t="shared" si="22"/>
        <v/>
      </c>
      <c r="J50" s="328" t="str">
        <f>""</f>
        <v/>
      </c>
      <c r="K50" s="332" t="str">
        <f t="shared" si="11"/>
        <v/>
      </c>
      <c r="L50" s="367" t="str">
        <f t="shared" si="18"/>
        <v/>
      </c>
      <c r="M50" s="344" t="str">
        <f t="shared" si="23"/>
        <v/>
      </c>
      <c r="N50" s="344" t="str">
        <f t="shared" si="24"/>
        <v/>
      </c>
      <c r="O50" s="344" t="str">
        <f t="shared" si="19"/>
        <v/>
      </c>
      <c r="P50" s="344" t="str">
        <f t="shared" si="20"/>
        <v/>
      </c>
      <c r="Q50" s="351" t="str">
        <f t="shared" si="25"/>
        <v/>
      </c>
      <c r="R50" s="351" t="str">
        <f t="shared" si="27"/>
        <v/>
      </c>
      <c r="S50" s="589" t="str">
        <f>IF(Umse!$C$24=0,0,IF($A$1="10.1.",'L Tab'!DK101,IF($A$1="10.2.",'L Tab'!DS101,IF($A$1="10.3.",'L Tab'!EA101,""))))</f>
        <v/>
      </c>
      <c r="T50" s="335" t="str">
        <f>IF(Umse!$C$24=0,0,IF($A$1="10.1.",'L Tab'!DL101,IF($A$1="10.2.",'L Tab'!DT101,IF($A$1="10.3.",'L Tab'!EB101,""))))</f>
        <v/>
      </c>
      <c r="U50" s="335" t="str">
        <f>IF(Umse!$C$24=0,0,IF($A$1="10.1.",'L Tab'!DM101,IF($A$1="10.2.",'L Tab'!DU101,IF($A$1="10.3.",'L Tab'!EC101,""))))</f>
        <v/>
      </c>
      <c r="V50" s="335" t="str">
        <f>IF(Umse!$C$24=0,0,IF($A$1="10.1.",'L Tab'!DN101,IF($A$1="10.2.",'L Tab'!DV101,IF($A$1="10.3.",'L Tab'!ED101,""))))</f>
        <v/>
      </c>
      <c r="W50" s="335" t="str">
        <f>IF(Umse!$C$24=0,0,IF($A$1="10.1.",'L Tab'!DO101,IF($A$1="10.2.",'L Tab'!DW101,IF($A$1="10.3.",'L Tab'!EE101,""))))</f>
        <v/>
      </c>
      <c r="X50" s="590" t="str">
        <f>IF(Umse!$C$24=0,0,IF($A$1="10.1.",'L Tab'!DP101,IF($A$1="10.2.",'L Tab'!DX101,IF($A$1="10.3.",'L Tab'!EF101,""))))</f>
        <v/>
      </c>
      <c r="Z50" s="589" t="str">
        <f>IF(Umse!$C$24=0,0,IF(OR($A$1="7.1.",$A$1="7.2.",$A$1="7.3.",$A$1="7.4.",$A$1="7.5.",$A$1="7.6.",$A$1="7.7.",$A$1="7.8.",$A$1="7.9.",$A$1="7.10.",$A$1="7.11."),'L Tab'!DK137,IF(OR($A$1="7.12.",$A$1="7.13.",$A$1="7.14.",$A$1="7.15.",$A$1="7.16.",$A$1="7.17.",$A$1="7.18.",$A$1="7.19.",$A$1="7.20.",$A$1="7.21.",$A$1="7.22."),'L Tab'!DS137,IF(OR($A$1="7.23.",$A$1="7.24.",$A$1="7.25.",$A$1="7.26.",$A$1="7.27.",$A$1="7.28.",$A$1="7.29.",$A$1="7.30.",$A$1="7.31.",$A$1="7.32.",$A$1="7.33."),'L Tab'!DS137,""))))</f>
        <v/>
      </c>
      <c r="AA50" s="335" t="str">
        <f>IF(Umse!$C$24=0,0,IF(OR($A$1="7.1.",$A$1="7.2.",$A$1="7.3.",$A$1="7.4.",$A$1="7.5.",$A$1="7.6.",$A$1="7.7.",$A$1="7.8.",$A$1="7.9.",$A$1="7.10.",$A$1="7.11."),'L Tab'!DL137,IF(OR($A$1="7.12.",$A$1="7.13.",$A$1="7.14.",$A$1="7.15.",$A$1="7.16.",$A$1="7.17.",$A$1="7.18.",$A$1="7.19.",$A$1="7.20.",$A$1="7.21.",$A$1="7.22."),'L Tab'!DT137,IF(OR($A$1="7.23.",$A$1="7.24.",$A$1="7.25.",$A$1="7.26.",$A$1="7.27.",$A$1="7.28.",$A$1="7.29.",$A$1="7.30.",$A$1="7.31.",$A$1="7.32.",$A$1="7.33."),'L Tab'!DT137,""))))</f>
        <v/>
      </c>
      <c r="AB50" s="335" t="str">
        <f>IF(Umse!$C$24=0,0,IF(OR($A$1="7.1.",$A$1="7.2.",$A$1="7.3.",$A$1="7.4.",$A$1="7.5.",$A$1="7.6.",$A$1="7.7.",$A$1="7.8.",$A$1="7.9.",$A$1="7.10.",$A$1="7.11."),'L Tab'!DM137,IF(OR($A$1="7.12.",$A$1="7.13.",$A$1="7.14.",$A$1="7.15.",$A$1="7.16.",$A$1="7.17.",$A$1="7.18.",$A$1="7.19.",$A$1="7.20.",$A$1="7.21.",$A$1="7.22."),'L Tab'!DU137,IF(OR($A$1="7.23.",$A$1="7.24.",$A$1="7.25.",$A$1="7.26.",$A$1="7.27.",$A$1="7.28.",$A$1="7.29.",$A$1="7.30.",$A$1="7.31.",$A$1="7.32.",$A$1="7.33."),'L Tab'!DU137,""))))</f>
        <v/>
      </c>
      <c r="AC50" s="335" t="str">
        <f>IF(Umse!$C$24=0,0,IF(OR($A$1="7.1.",$A$1="7.2.",$A$1="7.3.",$A$1="7.4.",$A$1="7.5.",$A$1="7.6.",$A$1="7.7.",$A$1="7.8.",$A$1="7.9.",$A$1="7.10.",$A$1="7.11."),'L Tab'!DN137,IF(OR($A$1="7.12.",$A$1="7.13.",$A$1="7.14.",$A$1="7.15.",$A$1="7.16.",$A$1="7.17.",$A$1="7.18.",$A$1="7.19.",$A$1="7.20.",$A$1="7.21.",$A$1="7.22."),'L Tab'!DV137,IF(OR($A$1="7.23.",$A$1="7.24.",$A$1="7.25.",$A$1="7.26.",$A$1="7.27.",$A$1="7.28.",$A$1="7.29.",$A$1="7.30.",$A$1="7.31.",$A$1="7.32.",$A$1="7.33."),'L Tab'!DV137,""))))</f>
        <v/>
      </c>
      <c r="AD50" s="335" t="str">
        <f>IF(Umse!$C$24=0,0,IF(OR($A$1="7.1.",$A$1="7.2.",$A$1="7.3.",$A$1="7.4.",$A$1="7.5.",$A$1="7.6.",$A$1="7.7.",$A$1="7.8.",$A$1="7.9.",$A$1="7.10.",$A$1="7.11."),'L Tab'!DO137,IF(OR($A$1="7.12.",$A$1="7.13.",$A$1="7.14.",$A$1="7.15.",$A$1="7.16.",$A$1="7.17.",$A$1="7.18.",$A$1="7.19.",$A$1="7.20.",$A$1="7.21.",$A$1="7.22."),'L Tab'!DW137,IF(OR($A$1="7.23.",$A$1="7.24.",$A$1="7.25.",$A$1="7.26.",$A$1="7.27.",$A$1="7.28.",$A$1="7.29.",$A$1="7.30.",$A$1="7.31.",$A$1="7.32.",$A$1="7.33."),'L Tab'!DW137,""))))</f>
        <v/>
      </c>
      <c r="AE50" s="590" t="str">
        <f>IF(Umse!$C$24=0,0,IF(OR($A$1="7.1.",$A$1="7.2.",$A$1="7.3.",$A$1="7.4.",$A$1="7.5.",$A$1="7.6.",$A$1="7.7.",$A$1="7.8.",$A$1="7.9.",$A$1="7.10.",$A$1="7.11."),'L Tab'!DP137,IF(OR($A$1="7.12.",$A$1="7.13.",$A$1="7.14.",$A$1="7.15.",$A$1="7.16.",$A$1="7.17.",$A$1="7.18.",$A$1="7.19.",$A$1="7.20.",$A$1="7.21.",$A$1="7.22."),'L Tab'!DX137,IF(OR($A$1="7.23.",$A$1="7.24.",$A$1="7.25.",$A$1="7.26.",$A$1="7.27.",$A$1="7.28.",$A$1="7.29.",$A$1="7.30.",$A$1="7.31.",$A$1="7.32.",$A$1="7.33."),'L Tab'!DX137,""))))</f>
        <v/>
      </c>
    </row>
    <row r="51" spans="1:31">
      <c r="A51" s="328" t="str">
        <f t="shared" si="12"/>
        <v/>
      </c>
      <c r="B51" s="332" t="str">
        <f t="shared" si="10"/>
        <v/>
      </c>
      <c r="C51" s="367" t="str">
        <f t="shared" si="13"/>
        <v/>
      </c>
      <c r="D51" s="343" t="str">
        <f t="shared" si="26"/>
        <v/>
      </c>
      <c r="E51" s="343" t="str">
        <f t="shared" si="14"/>
        <v/>
      </c>
      <c r="F51" s="343" t="str">
        <f t="shared" si="15"/>
        <v/>
      </c>
      <c r="G51" s="343" t="str">
        <f t="shared" si="16"/>
        <v/>
      </c>
      <c r="H51" s="343" t="str">
        <f t="shared" si="17"/>
        <v/>
      </c>
      <c r="I51" s="343" t="str">
        <f t="shared" si="22"/>
        <v/>
      </c>
      <c r="J51" s="328" t="str">
        <f>""</f>
        <v/>
      </c>
      <c r="K51" s="332" t="str">
        <f t="shared" si="11"/>
        <v/>
      </c>
      <c r="L51" s="367" t="str">
        <f t="shared" si="18"/>
        <v/>
      </c>
      <c r="M51" s="344" t="str">
        <f t="shared" si="23"/>
        <v/>
      </c>
      <c r="N51" s="344" t="str">
        <f t="shared" si="24"/>
        <v/>
      </c>
      <c r="O51" s="344" t="str">
        <f t="shared" si="19"/>
        <v/>
      </c>
      <c r="P51" s="344" t="str">
        <f t="shared" si="20"/>
        <v/>
      </c>
      <c r="Q51" s="351" t="str">
        <f t="shared" si="25"/>
        <v/>
      </c>
      <c r="R51" s="351" t="str">
        <f t="shared" si="27"/>
        <v/>
      </c>
      <c r="S51" s="589" t="str">
        <f>IF(Umse!$C$24=0,0,IF($A$1="10.1.",'L Tab'!DK102,IF($A$1="10.2.",'L Tab'!DS102,IF($A$1="10.3.",'L Tab'!EA102,""))))</f>
        <v/>
      </c>
      <c r="T51" s="335" t="str">
        <f>IF(Umse!$C$24=0,0,IF($A$1="10.1.",'L Tab'!DL102,IF($A$1="10.2.",'L Tab'!DT102,IF($A$1="10.3.",'L Tab'!EB102,""))))</f>
        <v/>
      </c>
      <c r="U51" s="335" t="str">
        <f>IF(Umse!$C$24=0,0,IF($A$1="10.1.",'L Tab'!DM102,IF($A$1="10.2.",'L Tab'!DU102,IF($A$1="10.3.",'L Tab'!EC102,""))))</f>
        <v/>
      </c>
      <c r="V51" s="335" t="str">
        <f>IF(Umse!$C$24=0,0,IF($A$1="10.1.",'L Tab'!DN102,IF($A$1="10.2.",'L Tab'!DV102,IF($A$1="10.3.",'L Tab'!ED102,""))))</f>
        <v/>
      </c>
      <c r="W51" s="335" t="str">
        <f>IF(Umse!$C$24=0,0,IF($A$1="10.1.",'L Tab'!DO102,IF($A$1="10.2.",'L Tab'!DW102,IF($A$1="10.3.",'L Tab'!EE102,""))))</f>
        <v/>
      </c>
      <c r="X51" s="590" t="str">
        <f>IF(Umse!$C$24=0,0,IF($A$1="10.1.",'L Tab'!DP102,IF($A$1="10.2.",'L Tab'!DX102,IF($A$1="10.3.",'L Tab'!EF102,""))))</f>
        <v/>
      </c>
      <c r="Z51" s="589" t="str">
        <f>IF(Umse!$C$24=0,0,IF(OR($A$1="7.1.",$A$1="7.2.",$A$1="7.3.",$A$1="7.4.",$A$1="7.5.",$A$1="7.6.",$A$1="7.7.",$A$1="7.8.",$A$1="7.9.",$A$1="7.10.",$A$1="7.11."),'L Tab'!DK138,IF(OR($A$1="7.12.",$A$1="7.13.",$A$1="7.14.",$A$1="7.15.",$A$1="7.16.",$A$1="7.17.",$A$1="7.18.",$A$1="7.19.",$A$1="7.20.",$A$1="7.21.",$A$1="7.22."),'L Tab'!DS138,IF(OR($A$1="7.23.",$A$1="7.24.",$A$1="7.25.",$A$1="7.26.",$A$1="7.27.",$A$1="7.28.",$A$1="7.29.",$A$1="7.30.",$A$1="7.31.",$A$1="7.32.",$A$1="7.33."),'L Tab'!DS138,""))))</f>
        <v/>
      </c>
      <c r="AA51" s="335" t="str">
        <f>IF(Umse!$C$24=0,0,IF(OR($A$1="7.1.",$A$1="7.2.",$A$1="7.3.",$A$1="7.4.",$A$1="7.5.",$A$1="7.6.",$A$1="7.7.",$A$1="7.8.",$A$1="7.9.",$A$1="7.10.",$A$1="7.11."),'L Tab'!DL138,IF(OR($A$1="7.12.",$A$1="7.13.",$A$1="7.14.",$A$1="7.15.",$A$1="7.16.",$A$1="7.17.",$A$1="7.18.",$A$1="7.19.",$A$1="7.20.",$A$1="7.21.",$A$1="7.22."),'L Tab'!DT138,IF(OR($A$1="7.23.",$A$1="7.24.",$A$1="7.25.",$A$1="7.26.",$A$1="7.27.",$A$1="7.28.",$A$1="7.29.",$A$1="7.30.",$A$1="7.31.",$A$1="7.32.",$A$1="7.33."),'L Tab'!DT138,""))))</f>
        <v/>
      </c>
      <c r="AB51" s="335" t="str">
        <f>IF(Umse!$C$24=0,0,IF(OR($A$1="7.1.",$A$1="7.2.",$A$1="7.3.",$A$1="7.4.",$A$1="7.5.",$A$1="7.6.",$A$1="7.7.",$A$1="7.8.",$A$1="7.9.",$A$1="7.10.",$A$1="7.11."),'L Tab'!DM138,IF(OR($A$1="7.12.",$A$1="7.13.",$A$1="7.14.",$A$1="7.15.",$A$1="7.16.",$A$1="7.17.",$A$1="7.18.",$A$1="7.19.",$A$1="7.20.",$A$1="7.21.",$A$1="7.22."),'L Tab'!DU138,IF(OR($A$1="7.23.",$A$1="7.24.",$A$1="7.25.",$A$1="7.26.",$A$1="7.27.",$A$1="7.28.",$A$1="7.29.",$A$1="7.30.",$A$1="7.31.",$A$1="7.32.",$A$1="7.33."),'L Tab'!DU138,""))))</f>
        <v/>
      </c>
      <c r="AC51" s="335" t="str">
        <f>IF(Umse!$C$24=0,0,IF(OR($A$1="7.1.",$A$1="7.2.",$A$1="7.3.",$A$1="7.4.",$A$1="7.5.",$A$1="7.6.",$A$1="7.7.",$A$1="7.8.",$A$1="7.9.",$A$1="7.10.",$A$1="7.11."),'L Tab'!DN138,IF(OR($A$1="7.12.",$A$1="7.13.",$A$1="7.14.",$A$1="7.15.",$A$1="7.16.",$A$1="7.17.",$A$1="7.18.",$A$1="7.19.",$A$1="7.20.",$A$1="7.21.",$A$1="7.22."),'L Tab'!DV138,IF(OR($A$1="7.23.",$A$1="7.24.",$A$1="7.25.",$A$1="7.26.",$A$1="7.27.",$A$1="7.28.",$A$1="7.29.",$A$1="7.30.",$A$1="7.31.",$A$1="7.32.",$A$1="7.33."),'L Tab'!DV138,""))))</f>
        <v/>
      </c>
      <c r="AD51" s="335" t="str">
        <f>IF(Umse!$C$24=0,0,IF(OR($A$1="7.1.",$A$1="7.2.",$A$1="7.3.",$A$1="7.4.",$A$1="7.5.",$A$1="7.6.",$A$1="7.7.",$A$1="7.8.",$A$1="7.9.",$A$1="7.10.",$A$1="7.11."),'L Tab'!DO138,IF(OR($A$1="7.12.",$A$1="7.13.",$A$1="7.14.",$A$1="7.15.",$A$1="7.16.",$A$1="7.17.",$A$1="7.18.",$A$1="7.19.",$A$1="7.20.",$A$1="7.21.",$A$1="7.22."),'L Tab'!DW138,IF(OR($A$1="7.23.",$A$1="7.24.",$A$1="7.25.",$A$1="7.26.",$A$1="7.27.",$A$1="7.28.",$A$1="7.29.",$A$1="7.30.",$A$1="7.31.",$A$1="7.32.",$A$1="7.33."),'L Tab'!DW138,""))))</f>
        <v/>
      </c>
      <c r="AE51" s="590" t="str">
        <f>IF(Umse!$C$24=0,0,IF(OR($A$1="7.1.",$A$1="7.2.",$A$1="7.3.",$A$1="7.4.",$A$1="7.5.",$A$1="7.6.",$A$1="7.7.",$A$1="7.8.",$A$1="7.9.",$A$1="7.10.",$A$1="7.11."),'L Tab'!DP138,IF(OR($A$1="7.12.",$A$1="7.13.",$A$1="7.14.",$A$1="7.15.",$A$1="7.16.",$A$1="7.17.",$A$1="7.18.",$A$1="7.19.",$A$1="7.20.",$A$1="7.21.",$A$1="7.22."),'L Tab'!DX138,IF(OR($A$1="7.23.",$A$1="7.24.",$A$1="7.25.",$A$1="7.26.",$A$1="7.27.",$A$1="7.28.",$A$1="7.29.",$A$1="7.30.",$A$1="7.31.",$A$1="7.32.",$A$1="7.33."),'L Tab'!DX138,""))))</f>
        <v/>
      </c>
    </row>
    <row r="52" spans="1:31">
      <c r="A52" s="328" t="str">
        <f>IF(O20="-","-",IF(O20="","",FIXED(ROUND(O20/$A$5,2),2)))</f>
        <v/>
      </c>
      <c r="B52" s="332" t="str">
        <f t="shared" si="10"/>
        <v/>
      </c>
      <c r="C52" s="367" t="str">
        <f t="shared" si="13"/>
        <v/>
      </c>
      <c r="D52" s="343" t="str">
        <f>IF(F20="","",ROUND(F20*0.3,2))</f>
        <v/>
      </c>
      <c r="E52" s="343" t="str">
        <f t="shared" si="14"/>
        <v/>
      </c>
      <c r="F52" s="343" t="str">
        <f t="shared" si="15"/>
        <v/>
      </c>
      <c r="G52" s="343" t="str">
        <f t="shared" si="16"/>
        <v/>
      </c>
      <c r="H52" s="343" t="str">
        <f t="shared" si="17"/>
        <v/>
      </c>
      <c r="I52" s="343" t="str">
        <f t="shared" si="22"/>
        <v/>
      </c>
      <c r="J52" s="328" t="str">
        <f>""</f>
        <v/>
      </c>
      <c r="K52" s="332" t="str">
        <f t="shared" si="11"/>
        <v/>
      </c>
      <c r="L52" s="367" t="str">
        <f t="shared" si="18"/>
        <v/>
      </c>
      <c r="M52" s="344" t="str">
        <f t="shared" si="23"/>
        <v/>
      </c>
      <c r="N52" s="344" t="str">
        <f t="shared" si="24"/>
        <v/>
      </c>
      <c r="O52" s="344" t="str">
        <f t="shared" si="19"/>
        <v/>
      </c>
      <c r="P52" s="344" t="str">
        <f t="shared" si="20"/>
        <v/>
      </c>
      <c r="Q52" s="351" t="str">
        <f t="shared" si="25"/>
        <v/>
      </c>
      <c r="R52" s="351" t="str">
        <f t="shared" si="27"/>
        <v/>
      </c>
      <c r="S52" s="589" t="str">
        <f>IF(Umse!$C$24=0,0,IF($A$1="10.1.",'L Tab'!DK103,IF($A$1="10.2.",'L Tab'!DS103,IF($A$1="10.3.",'L Tab'!EA103,""))))</f>
        <v/>
      </c>
      <c r="T52" s="335" t="str">
        <f>IF(Umse!$C$24=0,0,IF($A$1="10.1.",'L Tab'!DL103,IF($A$1="10.2.",'L Tab'!DT103,IF($A$1="10.3.",'L Tab'!EB103,""))))</f>
        <v/>
      </c>
      <c r="U52" s="335" t="str">
        <f>IF(Umse!$C$24=0,0,IF($A$1="10.1.",'L Tab'!DM103,IF($A$1="10.2.",'L Tab'!DU103,IF($A$1="10.3.",'L Tab'!EC103,""))))</f>
        <v/>
      </c>
      <c r="V52" s="335" t="str">
        <f>IF(Umse!$C$24=0,0,IF($A$1="10.1.",'L Tab'!DN103,IF($A$1="10.2.",'L Tab'!DV103,IF($A$1="10.3.",'L Tab'!ED103,""))))</f>
        <v/>
      </c>
      <c r="W52" s="335" t="str">
        <f>IF(Umse!$C$24=0,0,IF($A$1="10.1.",'L Tab'!DO103,IF($A$1="10.2.",'L Tab'!DW103,IF($A$1="10.3.",'L Tab'!EE103,""))))</f>
        <v/>
      </c>
      <c r="X52" s="590" t="str">
        <f>IF(Umse!$C$24=0,0,IF($A$1="10.1.",'L Tab'!DP103,IF($A$1="10.2.",'L Tab'!DX103,IF($A$1="10.3.",'L Tab'!EF103,""))))</f>
        <v/>
      </c>
      <c r="Z52" s="589" t="str">
        <f>IF(Umse!$C$24=0,0,IF(OR($A$1="7.1.",$A$1="7.2.",$A$1="7.3.",$A$1="7.4.",$A$1="7.5.",$A$1="7.6.",$A$1="7.7.",$A$1="7.8.",$A$1="7.9.",$A$1="7.10.",$A$1="7.11."),'L Tab'!DK139,IF(OR($A$1="7.12.",$A$1="7.13.",$A$1="7.14.",$A$1="7.15.",$A$1="7.16.",$A$1="7.17.",$A$1="7.18.",$A$1="7.19.",$A$1="7.20.",$A$1="7.21.",$A$1="7.22."),'L Tab'!DS139,IF(OR($A$1="7.23.",$A$1="7.24.",$A$1="7.25.",$A$1="7.26.",$A$1="7.27.",$A$1="7.28.",$A$1="7.29.",$A$1="7.30.",$A$1="7.31.",$A$1="7.32.",$A$1="7.33."),'L Tab'!DS139,""))))</f>
        <v/>
      </c>
      <c r="AA52" s="335" t="str">
        <f>IF(Umse!$C$24=0,0,IF(OR($A$1="7.1.",$A$1="7.2.",$A$1="7.3.",$A$1="7.4.",$A$1="7.5.",$A$1="7.6.",$A$1="7.7.",$A$1="7.8.",$A$1="7.9.",$A$1="7.10.",$A$1="7.11."),'L Tab'!DL139,IF(OR($A$1="7.12.",$A$1="7.13.",$A$1="7.14.",$A$1="7.15.",$A$1="7.16.",$A$1="7.17.",$A$1="7.18.",$A$1="7.19.",$A$1="7.20.",$A$1="7.21.",$A$1="7.22."),'L Tab'!DT139,IF(OR($A$1="7.23.",$A$1="7.24.",$A$1="7.25.",$A$1="7.26.",$A$1="7.27.",$A$1="7.28.",$A$1="7.29.",$A$1="7.30.",$A$1="7.31.",$A$1="7.32.",$A$1="7.33."),'L Tab'!DT139,""))))</f>
        <v/>
      </c>
      <c r="AB52" s="335" t="str">
        <f>IF(Umse!$C$24=0,0,IF(OR($A$1="7.1.",$A$1="7.2.",$A$1="7.3.",$A$1="7.4.",$A$1="7.5.",$A$1="7.6.",$A$1="7.7.",$A$1="7.8.",$A$1="7.9.",$A$1="7.10.",$A$1="7.11."),'L Tab'!DM139,IF(OR($A$1="7.12.",$A$1="7.13.",$A$1="7.14.",$A$1="7.15.",$A$1="7.16.",$A$1="7.17.",$A$1="7.18.",$A$1="7.19.",$A$1="7.20.",$A$1="7.21.",$A$1="7.22."),'L Tab'!DU139,IF(OR($A$1="7.23.",$A$1="7.24.",$A$1="7.25.",$A$1="7.26.",$A$1="7.27.",$A$1="7.28.",$A$1="7.29.",$A$1="7.30.",$A$1="7.31.",$A$1="7.32.",$A$1="7.33."),'L Tab'!DU139,""))))</f>
        <v/>
      </c>
      <c r="AC52" s="335" t="str">
        <f>IF(Umse!$C$24=0,0,IF(OR($A$1="7.1.",$A$1="7.2.",$A$1="7.3.",$A$1="7.4.",$A$1="7.5.",$A$1="7.6.",$A$1="7.7.",$A$1="7.8.",$A$1="7.9.",$A$1="7.10.",$A$1="7.11."),'L Tab'!DN139,IF(OR($A$1="7.12.",$A$1="7.13.",$A$1="7.14.",$A$1="7.15.",$A$1="7.16.",$A$1="7.17.",$A$1="7.18.",$A$1="7.19.",$A$1="7.20.",$A$1="7.21.",$A$1="7.22."),'L Tab'!DV139,IF(OR($A$1="7.23.",$A$1="7.24.",$A$1="7.25.",$A$1="7.26.",$A$1="7.27.",$A$1="7.28.",$A$1="7.29.",$A$1="7.30.",$A$1="7.31.",$A$1="7.32.",$A$1="7.33."),'L Tab'!DV139,""))))</f>
        <v/>
      </c>
      <c r="AD52" s="335" t="str">
        <f>IF(Umse!$C$24=0,0,IF(OR($A$1="7.1.",$A$1="7.2.",$A$1="7.3.",$A$1="7.4.",$A$1="7.5.",$A$1="7.6.",$A$1="7.7.",$A$1="7.8.",$A$1="7.9.",$A$1="7.10.",$A$1="7.11."),'L Tab'!DO139,IF(OR($A$1="7.12.",$A$1="7.13.",$A$1="7.14.",$A$1="7.15.",$A$1="7.16.",$A$1="7.17.",$A$1="7.18.",$A$1="7.19.",$A$1="7.20.",$A$1="7.21.",$A$1="7.22."),'L Tab'!DW139,IF(OR($A$1="7.23.",$A$1="7.24.",$A$1="7.25.",$A$1="7.26.",$A$1="7.27.",$A$1="7.28.",$A$1="7.29.",$A$1="7.30.",$A$1="7.31.",$A$1="7.32.",$A$1="7.33."),'L Tab'!DW139,""))))</f>
        <v/>
      </c>
      <c r="AE52" s="590" t="str">
        <f>IF(Umse!$C$24=0,0,IF(OR($A$1="7.1.",$A$1="7.2.",$A$1="7.3.",$A$1="7.4.",$A$1="7.5.",$A$1="7.6.",$A$1="7.7.",$A$1="7.8.",$A$1="7.9.",$A$1="7.10.",$A$1="7.11."),'L Tab'!DP139,IF(OR($A$1="7.12.",$A$1="7.13.",$A$1="7.14.",$A$1="7.15.",$A$1="7.16.",$A$1="7.17.",$A$1="7.18.",$A$1="7.19.",$A$1="7.20.",$A$1="7.21.",$A$1="7.22."),'L Tab'!DX139,IF(OR($A$1="7.23.",$A$1="7.24.",$A$1="7.25.",$A$1="7.26.",$A$1="7.27.",$A$1="7.28.",$A$1="7.29.",$A$1="7.30.",$A$1="7.31.",$A$1="7.32.",$A$1="7.33."),'L Tab'!DX139,""))))</f>
        <v/>
      </c>
    </row>
    <row r="53" spans="1:31">
      <c r="A53" s="328" t="str">
        <f t="shared" si="12"/>
        <v/>
      </c>
      <c r="B53" s="332" t="str">
        <f t="shared" si="10"/>
        <v/>
      </c>
      <c r="C53" s="367" t="str">
        <f t="shared" si="13"/>
        <v/>
      </c>
      <c r="D53" s="343" t="str">
        <f t="shared" si="26"/>
        <v/>
      </c>
      <c r="E53" s="343" t="str">
        <f t="shared" si="14"/>
        <v/>
      </c>
      <c r="F53" s="343" t="str">
        <f t="shared" si="15"/>
        <v/>
      </c>
      <c r="G53" s="343" t="str">
        <f t="shared" si="16"/>
        <v/>
      </c>
      <c r="H53" s="343" t="str">
        <f t="shared" si="17"/>
        <v/>
      </c>
      <c r="I53" s="343" t="str">
        <f t="shared" si="22"/>
        <v/>
      </c>
      <c r="J53" s="328" t="str">
        <f>""</f>
        <v/>
      </c>
      <c r="K53" s="332" t="str">
        <f t="shared" si="11"/>
        <v/>
      </c>
      <c r="L53" s="367" t="str">
        <f t="shared" si="18"/>
        <v/>
      </c>
      <c r="M53" s="344" t="str">
        <f t="shared" si="23"/>
        <v/>
      </c>
      <c r="N53" s="344" t="str">
        <f t="shared" si="24"/>
        <v/>
      </c>
      <c r="O53" s="344" t="str">
        <f t="shared" si="19"/>
        <v/>
      </c>
      <c r="P53" s="344" t="str">
        <f t="shared" si="20"/>
        <v/>
      </c>
      <c r="Q53" s="351" t="str">
        <f t="shared" si="25"/>
        <v/>
      </c>
      <c r="R53" s="351" t="str">
        <f>P53</f>
        <v/>
      </c>
      <c r="S53" s="591" t="str">
        <f>IF(Umse!$C$24=0,0,IF($A$1="10.1.",'L Tab'!DK104,IF($A$1="10.2.",'L Tab'!DS104,IF($A$1="10.3.",'L Tab'!EA104,""))))</f>
        <v/>
      </c>
      <c r="T53" s="592" t="str">
        <f>IF(Umse!$C$24=0,0,IF($A$1="10.1.",'L Tab'!DL104,IF($A$1="10.2.",'L Tab'!DT104,IF($A$1="10.3.",'L Tab'!EB104,""))))</f>
        <v/>
      </c>
      <c r="U53" s="592" t="str">
        <f>IF(Umse!$C$24=0,0,IF($A$1="10.1.",'L Tab'!DM104,IF($A$1="10.2.",'L Tab'!DU104,IF($A$1="10.3.",'L Tab'!EC104,""))))</f>
        <v/>
      </c>
      <c r="V53" s="592" t="str">
        <f>IF(Umse!$C$24=0,0,IF($A$1="10.1.",'L Tab'!DN104,IF($A$1="10.2.",'L Tab'!DV104,IF($A$1="10.3.",'L Tab'!ED104,""))))</f>
        <v/>
      </c>
      <c r="W53" s="592" t="str">
        <f>IF(Umse!$C$24=0,0,IF($A$1="10.1.",'L Tab'!DO104,IF($A$1="10.2.",'L Tab'!DW104,IF($A$1="10.3.",'L Tab'!EE104,""))))</f>
        <v/>
      </c>
      <c r="X53" s="593" t="str">
        <f>IF(Umse!$C$24=0,0,IF($A$1="10.1.",'L Tab'!DP104,IF($A$1="10.2.",'L Tab'!DX104,IF($A$1="10.3.",'L Tab'!EF104,""))))</f>
        <v/>
      </c>
      <c r="Z53" s="591" t="str">
        <f>IF(Umse!$C$24=0,0,IF(OR($A$1="7.1.",$A$1="7.2.",$A$1="7.3.",$A$1="7.4.",$A$1="7.5.",$A$1="7.6.",$A$1="7.7.",$A$1="7.8.",$A$1="7.9.",$A$1="7.10.",$A$1="7.11."),'L Tab'!DK140,IF(OR($A$1="7.12.",$A$1="7.13.",$A$1="7.14.",$A$1="7.15.",$A$1="7.16.",$A$1="7.17.",$A$1="7.18.",$A$1="7.19.",$A$1="7.20.",$A$1="7.21.",$A$1="7.22."),'L Tab'!DS140,IF(OR($A$1="7.23.",$A$1="7.24.",$A$1="7.25.",$A$1="7.26.",$A$1="7.27.",$A$1="7.28.",$A$1="7.29.",$A$1="7.30.",$A$1="7.31.",$A$1="7.32.",$A$1="7.33."),'L Tab'!DS140,""))))</f>
        <v/>
      </c>
      <c r="AA53" s="592" t="str">
        <f>IF(Umse!$C$24=0,0,IF(OR($A$1="7.1.",$A$1="7.2.",$A$1="7.3.",$A$1="7.4.",$A$1="7.5.",$A$1="7.6.",$A$1="7.7.",$A$1="7.8.",$A$1="7.9.",$A$1="7.10.",$A$1="7.11."),'L Tab'!DL140,IF(OR($A$1="7.12.",$A$1="7.13.",$A$1="7.14.",$A$1="7.15.",$A$1="7.16.",$A$1="7.17.",$A$1="7.18.",$A$1="7.19.",$A$1="7.20.",$A$1="7.21.",$A$1="7.22."),'L Tab'!DT140,IF(OR($A$1="7.23.",$A$1="7.24.",$A$1="7.25.",$A$1="7.26.",$A$1="7.27.",$A$1="7.28.",$A$1="7.29.",$A$1="7.30.",$A$1="7.31.",$A$1="7.32.",$A$1="7.33."),'L Tab'!DT140,""))))</f>
        <v/>
      </c>
      <c r="AB53" s="592" t="str">
        <f>IF(Umse!$C$24=0,0,IF(OR($A$1="7.1.",$A$1="7.2.",$A$1="7.3.",$A$1="7.4.",$A$1="7.5.",$A$1="7.6.",$A$1="7.7.",$A$1="7.8.",$A$1="7.9.",$A$1="7.10.",$A$1="7.11."),'L Tab'!DM140,IF(OR($A$1="7.12.",$A$1="7.13.",$A$1="7.14.",$A$1="7.15.",$A$1="7.16.",$A$1="7.17.",$A$1="7.18.",$A$1="7.19.",$A$1="7.20.",$A$1="7.21.",$A$1="7.22."),'L Tab'!DU140,IF(OR($A$1="7.23.",$A$1="7.24.",$A$1="7.25.",$A$1="7.26.",$A$1="7.27.",$A$1="7.28.",$A$1="7.29.",$A$1="7.30.",$A$1="7.31.",$A$1="7.32.",$A$1="7.33."),'L Tab'!DU140,""))))</f>
        <v/>
      </c>
      <c r="AC53" s="592" t="str">
        <f>IF(Umse!$C$24=0,0,IF(OR($A$1="7.1.",$A$1="7.2.",$A$1="7.3.",$A$1="7.4.",$A$1="7.5.",$A$1="7.6.",$A$1="7.7.",$A$1="7.8.",$A$1="7.9.",$A$1="7.10.",$A$1="7.11."),'L Tab'!DN140,IF(OR($A$1="7.12.",$A$1="7.13.",$A$1="7.14.",$A$1="7.15.",$A$1="7.16.",$A$1="7.17.",$A$1="7.18.",$A$1="7.19.",$A$1="7.20.",$A$1="7.21.",$A$1="7.22."),'L Tab'!DV140,IF(OR($A$1="7.23.",$A$1="7.24.",$A$1="7.25.",$A$1="7.26.",$A$1="7.27.",$A$1="7.28.",$A$1="7.29.",$A$1="7.30.",$A$1="7.31.",$A$1="7.32.",$A$1="7.33."),'L Tab'!DV140,""))))</f>
        <v/>
      </c>
      <c r="AD53" s="592" t="str">
        <f>IF(Umse!$C$24=0,0,IF(OR($A$1="7.1.",$A$1="7.2.",$A$1="7.3.",$A$1="7.4.",$A$1="7.5.",$A$1="7.6.",$A$1="7.7.",$A$1="7.8.",$A$1="7.9.",$A$1="7.10.",$A$1="7.11."),'L Tab'!DO140,IF(OR($A$1="7.12.",$A$1="7.13.",$A$1="7.14.",$A$1="7.15.",$A$1="7.16.",$A$1="7.17.",$A$1="7.18.",$A$1="7.19.",$A$1="7.20.",$A$1="7.21.",$A$1="7.22."),'L Tab'!DW140,IF(OR($A$1="7.23.",$A$1="7.24.",$A$1="7.25.",$A$1="7.26.",$A$1="7.27.",$A$1="7.28.",$A$1="7.29.",$A$1="7.30.",$A$1="7.31.",$A$1="7.32.",$A$1="7.33."),'L Tab'!DW140,""))))</f>
        <v/>
      </c>
      <c r="AE53" s="593" t="str">
        <f>IF(Umse!$C$24=0,0,IF(OR($A$1="7.1.",$A$1="7.2.",$A$1="7.3.",$A$1="7.4.",$A$1="7.5.",$A$1="7.6.",$A$1="7.7.",$A$1="7.8.",$A$1="7.9.",$A$1="7.10.",$A$1="7.11."),'L Tab'!DP140,IF(OR($A$1="7.12.",$A$1="7.13.",$A$1="7.14.",$A$1="7.15.",$A$1="7.16.",$A$1="7.17.",$A$1="7.18.",$A$1="7.19.",$A$1="7.20.",$A$1="7.21.",$A$1="7.22."),'L Tab'!DX140,IF(OR($A$1="7.23.",$A$1="7.24.",$A$1="7.25.",$A$1="7.26.",$A$1="7.27.",$A$1="7.28.",$A$1="7.29.",$A$1="7.30.",$A$1="7.31.",$A$1="7.32.",$A$1="7.33."),'L Tab'!DX140,""))))</f>
        <v/>
      </c>
    </row>
    <row r="54" spans="1:31">
      <c r="A54" s="328"/>
      <c r="B54" s="332"/>
      <c r="C54" s="332"/>
      <c r="D54" s="343"/>
      <c r="E54" s="343"/>
      <c r="F54" s="343"/>
      <c r="G54" s="343"/>
      <c r="H54" s="343"/>
      <c r="I54" s="343"/>
      <c r="K54" s="332"/>
      <c r="L54" s="332"/>
      <c r="M54" s="344"/>
      <c r="N54" s="344"/>
      <c r="O54" s="344"/>
      <c r="P54" s="344"/>
      <c r="Q54" s="351"/>
      <c r="R54" s="351"/>
    </row>
  </sheetData>
  <mergeCells count="7">
    <mergeCell ref="B24:C33"/>
    <mergeCell ref="H24:H33"/>
    <mergeCell ref="I24:I33"/>
    <mergeCell ref="D24:D33"/>
    <mergeCell ref="E24:E33"/>
    <mergeCell ref="F24:F33"/>
    <mergeCell ref="G24:G33"/>
  </mergeCells>
  <phoneticPr fontId="0" type="noConversion"/>
  <pageMargins left="0.78740157499999996" right="0.78740157499999996" top="0.984251969" bottom="0.984251969" header="0.4921259845" footer="0.4921259845"/>
  <pageSetup paperSize="9" scale="34"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C00000"/>
  </sheetPr>
  <dimension ref="A1:EN268"/>
  <sheetViews>
    <sheetView topLeftCell="DF1" zoomScaleNormal="100" workbookViewId="0">
      <selection activeCell="Q1" sqref="Q1"/>
    </sheetView>
  </sheetViews>
  <sheetFormatPr baseColWidth="10" defaultColWidth="8.5703125" defaultRowHeight="11.25"/>
  <cols>
    <col min="1" max="1" width="23.140625" style="135" customWidth="1"/>
    <col min="2" max="65" width="8.5703125" style="135"/>
    <col min="66" max="66" width="9.140625" style="135" bestFit="1" customWidth="1"/>
    <col min="67" max="72" width="8.5703125" style="135"/>
    <col min="73" max="73" width="9.42578125" style="135" bestFit="1" customWidth="1"/>
    <col min="74" max="74" width="9.140625" style="135" bestFit="1" customWidth="1"/>
    <col min="75" max="80" width="8.5703125" style="135"/>
    <col min="81" max="81" width="8.5703125" style="81"/>
    <col min="82" max="105" width="8.5703125" style="135"/>
    <col min="106" max="106" width="8.7109375" style="135" bestFit="1" customWidth="1"/>
    <col min="107" max="112" width="8.85546875" style="135" bestFit="1" customWidth="1"/>
    <col min="113" max="16384" width="8.5703125" style="135"/>
  </cols>
  <sheetData>
    <row r="1" spans="1:128" ht="12" thickBot="1">
      <c r="A1" s="135" t="s">
        <v>19</v>
      </c>
      <c r="B1" s="75" t="s">
        <v>6</v>
      </c>
      <c r="C1" s="74" t="s">
        <v>7</v>
      </c>
      <c r="D1" s="74" t="s">
        <v>8</v>
      </c>
      <c r="E1" s="74" t="s">
        <v>9</v>
      </c>
      <c r="F1" s="74" t="s">
        <v>10</v>
      </c>
      <c r="G1" s="74" t="s">
        <v>11</v>
      </c>
      <c r="H1" s="74" t="s">
        <v>12</v>
      </c>
      <c r="J1" s="215">
        <v>2008</v>
      </c>
      <c r="K1" s="74" t="str">
        <f t="shared" ref="K1:P1" si="0">C1</f>
        <v>Stufe 1</v>
      </c>
      <c r="L1" s="74" t="str">
        <f t="shared" si="0"/>
        <v>Stufe 2</v>
      </c>
      <c r="M1" s="74" t="str">
        <f t="shared" si="0"/>
        <v>Stufe 3</v>
      </c>
      <c r="N1" s="74" t="str">
        <f t="shared" si="0"/>
        <v>Stufe 4</v>
      </c>
      <c r="O1" s="74" t="str">
        <f t="shared" si="0"/>
        <v>Stufe 5</v>
      </c>
      <c r="P1" s="74" t="str">
        <f t="shared" si="0"/>
        <v>Stufe 6</v>
      </c>
      <c r="R1" s="215">
        <v>2009</v>
      </c>
      <c r="S1" s="74" t="str">
        <f t="shared" ref="S1:X1" si="1">C1</f>
        <v>Stufe 1</v>
      </c>
      <c r="T1" s="74" t="str">
        <f t="shared" si="1"/>
        <v>Stufe 2</v>
      </c>
      <c r="U1" s="74" t="str">
        <f t="shared" si="1"/>
        <v>Stufe 3</v>
      </c>
      <c r="V1" s="74" t="str">
        <f t="shared" si="1"/>
        <v>Stufe 4</v>
      </c>
      <c r="W1" s="74" t="str">
        <f t="shared" si="1"/>
        <v>Stufe 5</v>
      </c>
      <c r="X1" s="74" t="str">
        <f t="shared" si="1"/>
        <v>Stufe 6</v>
      </c>
      <c r="Z1" s="215">
        <v>2010</v>
      </c>
      <c r="AA1" s="74" t="str">
        <f t="shared" ref="AA1:AF1" si="2">C1</f>
        <v>Stufe 1</v>
      </c>
      <c r="AB1" s="74" t="str">
        <f t="shared" si="2"/>
        <v>Stufe 2</v>
      </c>
      <c r="AC1" s="74" t="str">
        <f t="shared" si="2"/>
        <v>Stufe 3</v>
      </c>
      <c r="AD1" s="74" t="str">
        <f t="shared" si="2"/>
        <v>Stufe 4</v>
      </c>
      <c r="AE1" s="74" t="str">
        <f t="shared" si="2"/>
        <v>Stufe 5</v>
      </c>
      <c r="AF1" s="74" t="str">
        <f t="shared" si="2"/>
        <v>Stufe 6</v>
      </c>
      <c r="AH1" s="215">
        <v>2011</v>
      </c>
      <c r="AI1" s="74" t="str">
        <f t="shared" ref="AI1:AN1" si="3">C1</f>
        <v>Stufe 1</v>
      </c>
      <c r="AJ1" s="74" t="str">
        <f t="shared" si="3"/>
        <v>Stufe 2</v>
      </c>
      <c r="AK1" s="74" t="str">
        <f t="shared" si="3"/>
        <v>Stufe 3</v>
      </c>
      <c r="AL1" s="74" t="str">
        <f t="shared" si="3"/>
        <v>Stufe 4</v>
      </c>
      <c r="AM1" s="74" t="str">
        <f t="shared" si="3"/>
        <v>Stufe 5</v>
      </c>
      <c r="AN1" s="74" t="str">
        <f t="shared" si="3"/>
        <v>Stufe 6</v>
      </c>
      <c r="AP1" s="215">
        <v>2012</v>
      </c>
      <c r="AQ1" s="74" t="str">
        <f t="shared" ref="AQ1:AV1" si="4">C1</f>
        <v>Stufe 1</v>
      </c>
      <c r="AR1" s="74" t="str">
        <f t="shared" si="4"/>
        <v>Stufe 2</v>
      </c>
      <c r="AS1" s="74" t="str">
        <f t="shared" si="4"/>
        <v>Stufe 3</v>
      </c>
      <c r="AT1" s="74" t="str">
        <f t="shared" si="4"/>
        <v>Stufe 4</v>
      </c>
      <c r="AU1" s="74" t="str">
        <f t="shared" si="4"/>
        <v>Stufe 5</v>
      </c>
      <c r="AV1" s="74" t="str">
        <f t="shared" si="4"/>
        <v>Stufe 6</v>
      </c>
      <c r="AX1" s="215">
        <v>2013</v>
      </c>
      <c r="AY1" s="74" t="str">
        <f t="shared" ref="AY1:BD1" si="5">C1</f>
        <v>Stufe 1</v>
      </c>
      <c r="AZ1" s="74" t="str">
        <f t="shared" si="5"/>
        <v>Stufe 2</v>
      </c>
      <c r="BA1" s="74" t="str">
        <f t="shared" si="5"/>
        <v>Stufe 3</v>
      </c>
      <c r="BB1" s="74" t="str">
        <f t="shared" si="5"/>
        <v>Stufe 4</v>
      </c>
      <c r="BC1" s="74" t="str">
        <f t="shared" si="5"/>
        <v>Stufe 5</v>
      </c>
      <c r="BD1" s="74" t="str">
        <f t="shared" si="5"/>
        <v>Stufe 6</v>
      </c>
      <c r="BF1" s="215">
        <v>2014</v>
      </c>
      <c r="BG1" s="74" t="str">
        <f t="shared" ref="BG1:BL1" si="6">C1</f>
        <v>Stufe 1</v>
      </c>
      <c r="BH1" s="74" t="str">
        <f t="shared" si="6"/>
        <v>Stufe 2</v>
      </c>
      <c r="BI1" s="74" t="str">
        <f t="shared" si="6"/>
        <v>Stufe 3</v>
      </c>
      <c r="BJ1" s="74" t="str">
        <f t="shared" si="6"/>
        <v>Stufe 4</v>
      </c>
      <c r="BK1" s="74" t="str">
        <f t="shared" si="6"/>
        <v>Stufe 5</v>
      </c>
      <c r="BL1" s="74" t="str">
        <f t="shared" si="6"/>
        <v>Stufe 6</v>
      </c>
      <c r="BN1" s="215">
        <v>2015</v>
      </c>
      <c r="BO1" s="74" t="str">
        <f t="shared" ref="BO1:BT1" si="7">C1</f>
        <v>Stufe 1</v>
      </c>
      <c r="BP1" s="74" t="str">
        <f t="shared" si="7"/>
        <v>Stufe 2</v>
      </c>
      <c r="BQ1" s="74" t="str">
        <f t="shared" si="7"/>
        <v>Stufe 3</v>
      </c>
      <c r="BR1" s="74" t="str">
        <f t="shared" si="7"/>
        <v>Stufe 4</v>
      </c>
      <c r="BS1" s="74" t="str">
        <f t="shared" si="7"/>
        <v>Stufe 5</v>
      </c>
      <c r="BT1" s="74" t="str">
        <f t="shared" si="7"/>
        <v>Stufe 6</v>
      </c>
      <c r="BV1" s="215">
        <v>2016</v>
      </c>
      <c r="BW1" s="74" t="str">
        <f t="shared" ref="BW1:CB1" si="8">C1</f>
        <v>Stufe 1</v>
      </c>
      <c r="BX1" s="74" t="str">
        <f t="shared" si="8"/>
        <v>Stufe 2</v>
      </c>
      <c r="BY1" s="74" t="str">
        <f t="shared" si="8"/>
        <v>Stufe 3</v>
      </c>
      <c r="BZ1" s="74" t="str">
        <f t="shared" si="8"/>
        <v>Stufe 4</v>
      </c>
      <c r="CA1" s="74" t="str">
        <f t="shared" si="8"/>
        <v>Stufe 5</v>
      </c>
      <c r="CB1" s="74" t="str">
        <f t="shared" si="8"/>
        <v>Stufe 6</v>
      </c>
      <c r="CD1" s="215">
        <v>2017</v>
      </c>
      <c r="CE1" s="74" t="str">
        <f t="shared" ref="CE1:CJ1" si="9">K1</f>
        <v>Stufe 1</v>
      </c>
      <c r="CF1" s="74" t="str">
        <f t="shared" si="9"/>
        <v>Stufe 2</v>
      </c>
      <c r="CG1" s="74" t="str">
        <f t="shared" si="9"/>
        <v>Stufe 3</v>
      </c>
      <c r="CH1" s="74" t="str">
        <f t="shared" si="9"/>
        <v>Stufe 4</v>
      </c>
      <c r="CI1" s="74" t="str">
        <f t="shared" si="9"/>
        <v>Stufe 5</v>
      </c>
      <c r="CJ1" s="74" t="str">
        <f t="shared" si="9"/>
        <v>Stufe 6</v>
      </c>
      <c r="CL1" s="215" t="s">
        <v>399</v>
      </c>
      <c r="CM1" s="74" t="str">
        <f t="shared" ref="CM1:CR1" si="10">S1</f>
        <v>Stufe 1</v>
      </c>
      <c r="CN1" s="74" t="str">
        <f t="shared" si="10"/>
        <v>Stufe 2</v>
      </c>
      <c r="CO1" s="74" t="str">
        <f t="shared" si="10"/>
        <v>Stufe 3</v>
      </c>
      <c r="CP1" s="74" t="str">
        <f t="shared" si="10"/>
        <v>Stufe 4</v>
      </c>
      <c r="CQ1" s="74" t="str">
        <f t="shared" si="10"/>
        <v>Stufe 5</v>
      </c>
      <c r="CR1" s="74" t="str">
        <f t="shared" si="10"/>
        <v>Stufe 6</v>
      </c>
      <c r="CT1" s="215" t="s">
        <v>400</v>
      </c>
      <c r="CU1" s="74" t="str">
        <f t="shared" ref="CU1:CZ1" si="11">AA1</f>
        <v>Stufe 1</v>
      </c>
      <c r="CV1" s="74" t="str">
        <f t="shared" si="11"/>
        <v>Stufe 2</v>
      </c>
      <c r="CW1" s="74" t="str">
        <f t="shared" si="11"/>
        <v>Stufe 3</v>
      </c>
      <c r="CX1" s="74" t="str">
        <f t="shared" si="11"/>
        <v>Stufe 4</v>
      </c>
      <c r="CY1" s="74" t="str">
        <f t="shared" si="11"/>
        <v>Stufe 5</v>
      </c>
      <c r="CZ1" s="74" t="str">
        <f t="shared" si="11"/>
        <v>Stufe 6</v>
      </c>
      <c r="DB1" s="215">
        <v>2019</v>
      </c>
      <c r="DC1" s="74" t="str">
        <f t="shared" ref="DC1:DH1" si="12">AI1</f>
        <v>Stufe 1</v>
      </c>
      <c r="DD1" s="74" t="str">
        <f t="shared" si="12"/>
        <v>Stufe 2</v>
      </c>
      <c r="DE1" s="74" t="str">
        <f t="shared" si="12"/>
        <v>Stufe 3</v>
      </c>
      <c r="DF1" s="74" t="str">
        <f t="shared" si="12"/>
        <v>Stufe 4</v>
      </c>
      <c r="DG1" s="74" t="str">
        <f t="shared" si="12"/>
        <v>Stufe 5</v>
      </c>
      <c r="DH1" s="74" t="str">
        <f t="shared" si="12"/>
        <v>Stufe 6</v>
      </c>
      <c r="DJ1" s="215">
        <v>2020</v>
      </c>
      <c r="DK1" s="74" t="str">
        <f t="shared" ref="DK1:DP1" si="13">AQ1</f>
        <v>Stufe 1</v>
      </c>
      <c r="DL1" s="74" t="str">
        <f t="shared" si="13"/>
        <v>Stufe 2</v>
      </c>
      <c r="DM1" s="74" t="str">
        <f t="shared" si="13"/>
        <v>Stufe 3</v>
      </c>
      <c r="DN1" s="74" t="str">
        <f t="shared" si="13"/>
        <v>Stufe 4</v>
      </c>
      <c r="DO1" s="74" t="str">
        <f t="shared" si="13"/>
        <v>Stufe 5</v>
      </c>
      <c r="DP1" s="74" t="str">
        <f t="shared" si="13"/>
        <v>Stufe 6</v>
      </c>
      <c r="DR1" s="215">
        <v>2021</v>
      </c>
      <c r="DS1" s="74" t="str">
        <f t="shared" ref="DS1:DX1" si="14">AY1</f>
        <v>Stufe 1</v>
      </c>
      <c r="DT1" s="74" t="str">
        <f t="shared" si="14"/>
        <v>Stufe 2</v>
      </c>
      <c r="DU1" s="74" t="str">
        <f t="shared" si="14"/>
        <v>Stufe 3</v>
      </c>
      <c r="DV1" s="74" t="str">
        <f t="shared" si="14"/>
        <v>Stufe 4</v>
      </c>
      <c r="DW1" s="74" t="str">
        <f t="shared" si="14"/>
        <v>Stufe 5</v>
      </c>
      <c r="DX1" s="74" t="str">
        <f t="shared" si="14"/>
        <v>Stufe 6</v>
      </c>
    </row>
    <row r="2" spans="1:128">
      <c r="B2" s="74" t="s">
        <v>13</v>
      </c>
      <c r="C2" s="381">
        <v>4275</v>
      </c>
      <c r="D2" s="382">
        <v>4750</v>
      </c>
      <c r="E2" s="382">
        <v>5200</v>
      </c>
      <c r="F2" s="382">
        <v>5500</v>
      </c>
      <c r="G2" s="382">
        <v>5570</v>
      </c>
      <c r="H2" s="383" t="s">
        <v>15</v>
      </c>
      <c r="J2" s="74" t="str">
        <f>B2</f>
        <v>15Ü</v>
      </c>
      <c r="K2" s="112">
        <v>4400</v>
      </c>
      <c r="L2" s="112">
        <v>4890</v>
      </c>
      <c r="M2" s="112">
        <v>5355</v>
      </c>
      <c r="N2" s="112">
        <v>5660</v>
      </c>
      <c r="O2" s="112">
        <v>5735</v>
      </c>
      <c r="P2" s="112" t="s">
        <v>15</v>
      </c>
      <c r="R2" s="74" t="str">
        <f>B2</f>
        <v>15Ü</v>
      </c>
      <c r="S2" s="112">
        <f t="shared" ref="S2:S19" si="15">IF(K2="-","-",ROUND((K2+$S$22)*$S$23,2))</f>
        <v>4573.2</v>
      </c>
      <c r="T2" s="112">
        <f t="shared" ref="T2:X17" si="16">IF(L2="-","-",ROUND((L2+$S$22)*$S$23,2))</f>
        <v>5077.8999999999996</v>
      </c>
      <c r="U2" s="112">
        <f t="shared" si="16"/>
        <v>5556.85</v>
      </c>
      <c r="V2" s="112">
        <f t="shared" si="16"/>
        <v>5871</v>
      </c>
      <c r="W2" s="112">
        <f t="shared" si="16"/>
        <v>5948.25</v>
      </c>
      <c r="X2" s="112" t="str">
        <f t="shared" si="16"/>
        <v>-</v>
      </c>
      <c r="Z2" s="74" t="str">
        <f>B2</f>
        <v>15Ü</v>
      </c>
      <c r="AA2" s="112">
        <f t="shared" ref="AA2:AA19" si="17">IF(S2="-","-",ROUND(S2*$AA$23,2))</f>
        <v>4628.08</v>
      </c>
      <c r="AB2" s="112">
        <f t="shared" ref="AB2:AF17" si="18">IF(T2="-","-",ROUND(T2*$AA$23,2))</f>
        <v>5138.83</v>
      </c>
      <c r="AC2" s="112">
        <f t="shared" si="18"/>
        <v>5623.53</v>
      </c>
      <c r="AD2" s="112">
        <f t="shared" si="18"/>
        <v>5941.45</v>
      </c>
      <c r="AE2" s="112">
        <f t="shared" si="18"/>
        <v>6019.63</v>
      </c>
      <c r="AF2" s="112" t="str">
        <f t="shared" si="18"/>
        <v>-</v>
      </c>
      <c r="AH2" s="74" t="str">
        <f>B2</f>
        <v>15Ü</v>
      </c>
      <c r="AI2" s="112">
        <f t="shared" ref="AI2:AN2" si="19">IF(AA2="-","-",ROUND((AA2+$AI$22)*$AI$23,2))</f>
        <v>4697.5</v>
      </c>
      <c r="AJ2" s="112">
        <f t="shared" si="19"/>
        <v>5215.91</v>
      </c>
      <c r="AK2" s="112">
        <f t="shared" si="19"/>
        <v>5707.88</v>
      </c>
      <c r="AL2" s="112">
        <f t="shared" si="19"/>
        <v>6030.57</v>
      </c>
      <c r="AM2" s="112">
        <f t="shared" si="19"/>
        <v>6109.92</v>
      </c>
      <c r="AN2" s="112" t="str">
        <f t="shared" si="19"/>
        <v>-</v>
      </c>
      <c r="AP2" s="74" t="str">
        <f>B2</f>
        <v>15Ü</v>
      </c>
      <c r="AQ2" s="112">
        <f t="shared" ref="AQ2:AV2" si="20">IF(AI2="-","-",ROUND(AI2*$AQ$23,2)+$AQ$22)</f>
        <v>4803.75</v>
      </c>
      <c r="AR2" s="112">
        <f t="shared" si="20"/>
        <v>5332.01</v>
      </c>
      <c r="AS2" s="112">
        <f t="shared" si="20"/>
        <v>5833.33</v>
      </c>
      <c r="AT2" s="112">
        <f t="shared" si="20"/>
        <v>6162.15</v>
      </c>
      <c r="AU2" s="112">
        <f t="shared" si="20"/>
        <v>6243.01</v>
      </c>
      <c r="AV2" s="112" t="str">
        <f t="shared" si="20"/>
        <v>-</v>
      </c>
      <c r="AX2" s="74" t="str">
        <f>B2</f>
        <v>15Ü</v>
      </c>
      <c r="AY2" s="112">
        <f t="shared" ref="AY2:BD2" si="21">IF(AQ2="-","-",IF($AY$22=0,ROUND(AQ2*$AY$23,2),IF(AND($AY$22&gt;0,$BC$22=1),ROUND((AQ2+$AY$22)*$AY$23,2),IF(AND($AY$22&gt;0,$BC$22=2),ROUND(AQ2*$AY$23,2)+$AY$22))))</f>
        <v>4931.05</v>
      </c>
      <c r="AZ2" s="112">
        <f t="shared" si="21"/>
        <v>5473.31</v>
      </c>
      <c r="BA2" s="112">
        <f t="shared" si="21"/>
        <v>5987.91</v>
      </c>
      <c r="BB2" s="112">
        <f t="shared" si="21"/>
        <v>6325.45</v>
      </c>
      <c r="BC2" s="112">
        <f t="shared" si="21"/>
        <v>6408.45</v>
      </c>
      <c r="BD2" s="112" t="str">
        <f t="shared" si="21"/>
        <v>-</v>
      </c>
      <c r="BF2" s="74" t="str">
        <f>B2</f>
        <v>15Ü</v>
      </c>
      <c r="BG2" s="112">
        <f t="shared" ref="BG2:BL2" si="22">IF(AY2="-","-",IF($BG$22=0,ROUND(AY2*$BG$23,2),IF(AND($BG$22&gt;0,$BK$22=1),ROUND((AY2+$BG$22)*$BG$23,2),IF(AND($BG$22&gt;0,$BK$22=2),ROUND(AY2*$BG$23,2)+$BG$22))))</f>
        <v>5076.5200000000004</v>
      </c>
      <c r="BH2" s="112">
        <f t="shared" si="22"/>
        <v>5634.77</v>
      </c>
      <c r="BI2" s="112">
        <f t="shared" si="22"/>
        <v>6164.55</v>
      </c>
      <c r="BJ2" s="112">
        <f t="shared" si="22"/>
        <v>6512.05</v>
      </c>
      <c r="BK2" s="112">
        <f t="shared" si="22"/>
        <v>6597.5</v>
      </c>
      <c r="BL2" s="112" t="str">
        <f t="shared" si="22"/>
        <v>-</v>
      </c>
      <c r="BN2" s="74" t="str">
        <f>B2</f>
        <v>15Ü</v>
      </c>
      <c r="BO2" s="112">
        <f t="shared" ref="BO2:BT2" si="23">IF(BG2="-","-",IF(AND($BO$21=0,$BO$22=0),ROUND(BG2*$BO$23,2),IF(AND($BO$21&gt;0,$BO$22=0,(((BG2*$BO$23)-BG2)&lt;$BO$21)),BG2+$BO$21,IF(AND($BO$21&gt;0,$BO$22=0,(((BG2*$BO$23)-BG2)&gt;=$BO$21)),ROUND(BG2*$BO$23,2),IF(AND($BO$22&gt;0,$BS$22=1),ROUND((BG2+$BO$22)*$BO$23,2),IF(AND($BO$22&gt;0,$BS$22=2),ROUND(BG2*$BO$23,2)+$BO$22))))))</f>
        <v>5183.13</v>
      </c>
      <c r="BP2" s="112">
        <f t="shared" si="23"/>
        <v>5753.1</v>
      </c>
      <c r="BQ2" s="112">
        <f t="shared" si="23"/>
        <v>6294.01</v>
      </c>
      <c r="BR2" s="112">
        <f t="shared" si="23"/>
        <v>6648.8</v>
      </c>
      <c r="BS2" s="112">
        <f t="shared" si="23"/>
        <v>6736.05</v>
      </c>
      <c r="BT2" s="112" t="str">
        <f t="shared" si="23"/>
        <v>-</v>
      </c>
      <c r="BV2" s="74" t="str">
        <f>B2</f>
        <v>15Ü</v>
      </c>
      <c r="BW2" s="112">
        <f t="shared" ref="BW2:CB2" si="24">IF(BO2="-","-",IF(AND($BW$21=0,$BW$22=0),ROUND(BO2*$BW$23,2),IF(AND($BW$21&gt;0,$BW$22=0,(((BO2*$BW$23)-BO2)&lt;$BW$21)),BO2+$BW$21,IF(AND($BW$21&gt;0,$BW$22=0,(((BO2*$BW$23)-BO2)&gt;=$BW$21)),ROUND(BO2*$BW$23,2),IF(AND($BW$22&gt;0,$CA$22=1),ROUND((BO2+$BW$22)*$BW$23,2),IF(AND($BW$22&gt;0,$CA$22=2),ROUND(BO2*$BW$23,2)+$BW$22))))))</f>
        <v>5302.34</v>
      </c>
      <c r="BX2" s="112">
        <f t="shared" si="24"/>
        <v>5885.42</v>
      </c>
      <c r="BY2" s="112">
        <f t="shared" si="24"/>
        <v>6438.77</v>
      </c>
      <c r="BZ2" s="112">
        <f t="shared" si="24"/>
        <v>6801.72</v>
      </c>
      <c r="CA2" s="112">
        <f t="shared" si="24"/>
        <v>6890.98</v>
      </c>
      <c r="CB2" s="112" t="str">
        <f t="shared" si="24"/>
        <v>-</v>
      </c>
      <c r="CD2" s="74" t="str">
        <f t="shared" ref="CD2:CD10" si="25">J2</f>
        <v>15Ü</v>
      </c>
      <c r="CE2" s="112">
        <f>IF(BW2="-","-",IF(BW2&gt;3200,ROUND(BW2*$CE$23,2),IF(ROUND(BW2*$CE$23,2)-BW2&lt;'L Tab'!$CE$21,BW2+$CE$21,ROUND(BW2*$CE$23,2))))</f>
        <v>5408.39</v>
      </c>
      <c r="CF2" s="112">
        <f>IF(BX2="-","-",IF(BX2&gt;3200,ROUND(BX2*$CE$23,2),IF(ROUND(BX2*$CE$23,2)-BX2&lt;'L Tab'!$CE$21,BX2+$CE$21,ROUND(BX2*$CE$23,2))))</f>
        <v>6003.13</v>
      </c>
      <c r="CG2" s="112">
        <f>IF(BY2="-","-",IF(BY2&gt;3200,ROUND(BY2*$CE$23,2),IF(ROUND(BY2*$CE$23,2)-BY2&lt;'L Tab'!$CE$21,BY2+$CE$21,ROUND(BY2*$CE$23,2))))</f>
        <v>6567.55</v>
      </c>
      <c r="CH2" s="112">
        <f>IF(BZ2="-","-",IF(BZ2&gt;3200,ROUND(BZ2*$CE$23,2),IF(ROUND(BZ2*$CE$23,2)-BZ2&lt;'L Tab'!$CE$21,BZ2+$CE$21,ROUND(BZ2*$CE$23,2))))</f>
        <v>6937.75</v>
      </c>
      <c r="CI2" s="112">
        <f>IF(CA2="-","-",IF(CA2&gt;3200,ROUND(CA2*$CE$23,2),IF(ROUND(CA2*$CE$23,2)-CA2&lt;'L Tab'!$CE$21,CA2+$CE$21,ROUND(CA2*$CE$23,2))))</f>
        <v>7028.8</v>
      </c>
      <c r="CJ2" s="112" t="str">
        <f>IF(CB2="-","-",IF(CB2&gt;3200,ROUND(CB2*$CE$23,2),IF(ROUND(CB2*$CE$23,2)-CB2&lt;'L Tab'!$CE$21,CB2+$CE$21,ROUND(CB2*$CE$23,2))))</f>
        <v>-</v>
      </c>
      <c r="CL2" s="74" t="str">
        <f>R2</f>
        <v>15Ü</v>
      </c>
      <c r="CM2" s="112">
        <f>IF(CE2="-","-",ROUND(CE2*$CM$23,2))</f>
        <v>5535.49</v>
      </c>
      <c r="CN2" s="112">
        <f t="shared" ref="CM2:CR11" si="26">IF(CF2="-","-",ROUND(CF2*$CM$23,2))</f>
        <v>6144.2</v>
      </c>
      <c r="CO2" s="112">
        <f t="shared" si="26"/>
        <v>6721.89</v>
      </c>
      <c r="CP2" s="112">
        <f t="shared" si="26"/>
        <v>7100.79</v>
      </c>
      <c r="CQ2" s="112">
        <f t="shared" si="26"/>
        <v>7193.98</v>
      </c>
      <c r="CR2" s="112" t="str">
        <f t="shared" si="26"/>
        <v>-</v>
      </c>
      <c r="CT2" s="74" t="str">
        <f>Z2</f>
        <v>15Ü</v>
      </c>
      <c r="CU2" s="112">
        <f t="shared" ref="CU2:CU20" si="27">CM2</f>
        <v>5535.49</v>
      </c>
      <c r="CV2" s="112">
        <f t="shared" ref="CV2:CZ11" si="28">CN2</f>
        <v>6144.2</v>
      </c>
      <c r="CW2" s="112">
        <f t="shared" si="28"/>
        <v>6721.89</v>
      </c>
      <c r="CX2" s="112">
        <f t="shared" si="28"/>
        <v>7100.79</v>
      </c>
      <c r="CY2" s="112">
        <f t="shared" si="28"/>
        <v>7193.98</v>
      </c>
      <c r="CZ2" s="112" t="str">
        <f t="shared" si="28"/>
        <v>-</v>
      </c>
      <c r="DB2" s="74" t="str">
        <f>AH2</f>
        <v>15Ü</v>
      </c>
      <c r="DC2" s="112">
        <f t="shared" ref="DC2:DH2" si="29">IF(CU2="-","-",IF(ROUND(CU2*$DC$23,2)-CU2&lt;$DC$21,CU2+$DC$21,ROUND(CU2*$DC$23,2)))</f>
        <v>5702.11</v>
      </c>
      <c r="DD2" s="112">
        <f t="shared" si="29"/>
        <v>6329.14</v>
      </c>
      <c r="DE2" s="112">
        <f t="shared" si="29"/>
        <v>6924.22</v>
      </c>
      <c r="DF2" s="112">
        <f t="shared" si="29"/>
        <v>7314.52</v>
      </c>
      <c r="DG2" s="112">
        <f t="shared" si="29"/>
        <v>7410.52</v>
      </c>
      <c r="DH2" s="112" t="str">
        <f t="shared" si="29"/>
        <v>-</v>
      </c>
      <c r="DJ2" s="74" t="str">
        <f>AP2</f>
        <v>15Ü</v>
      </c>
      <c r="DK2" s="112">
        <f t="shared" ref="DK2:DP2" si="30">IF(DC2="-","-",IF(ROUND(DC2*$DK$23,2)-DC2&lt;$DK$21,DC2+$DK$21,ROUND(DC2*$DK$23,2)))</f>
        <v>5880.02</v>
      </c>
      <c r="DL2" s="112">
        <f t="shared" si="30"/>
        <v>6526.61</v>
      </c>
      <c r="DM2" s="112">
        <f t="shared" si="30"/>
        <v>7140.26</v>
      </c>
      <c r="DN2" s="112">
        <f t="shared" si="30"/>
        <v>7542.73</v>
      </c>
      <c r="DO2" s="112">
        <f t="shared" si="30"/>
        <v>7641.73</v>
      </c>
      <c r="DP2" s="112" t="str">
        <f t="shared" si="30"/>
        <v>-</v>
      </c>
      <c r="DR2" s="74" t="str">
        <f>AX2</f>
        <v>15Ü</v>
      </c>
      <c r="DS2" s="112">
        <f t="shared" ref="DS2:DX2" si="31">IF(DK2="-","-",IF(ROUND(DK2*$DS$23,2)-DK2&lt;$DS$21,DK2+$DS$21,ROUND(DK2*$DS$23,2)))</f>
        <v>5955.87</v>
      </c>
      <c r="DT2" s="112">
        <f t="shared" si="31"/>
        <v>6610.8</v>
      </c>
      <c r="DU2" s="112">
        <f t="shared" si="31"/>
        <v>7232.37</v>
      </c>
      <c r="DV2" s="112">
        <f t="shared" si="31"/>
        <v>7640.03</v>
      </c>
      <c r="DW2" s="112">
        <f t="shared" si="31"/>
        <v>7740.31</v>
      </c>
      <c r="DX2" s="112" t="str">
        <f t="shared" si="31"/>
        <v>-</v>
      </c>
    </row>
    <row r="3" spans="1:128">
      <c r="B3" s="74">
        <v>15</v>
      </c>
      <c r="C3" s="384">
        <v>3384</v>
      </c>
      <c r="D3" s="37">
        <v>3760</v>
      </c>
      <c r="E3" s="37">
        <v>3900</v>
      </c>
      <c r="F3" s="37">
        <v>4400</v>
      </c>
      <c r="G3" s="37">
        <v>4780</v>
      </c>
      <c r="H3" s="385" t="s">
        <v>15</v>
      </c>
      <c r="J3" s="74">
        <f t="shared" ref="J3:J19" si="32">B3</f>
        <v>15</v>
      </c>
      <c r="K3" s="112">
        <v>3485</v>
      </c>
      <c r="L3" s="112">
        <v>3870</v>
      </c>
      <c r="M3" s="112">
        <v>4015</v>
      </c>
      <c r="N3" s="112">
        <v>4530</v>
      </c>
      <c r="O3" s="112">
        <v>4920</v>
      </c>
      <c r="P3" s="112" t="s">
        <v>15</v>
      </c>
      <c r="R3" s="74">
        <f t="shared" ref="R3:R19" si="33">B3</f>
        <v>15</v>
      </c>
      <c r="S3" s="112">
        <f t="shared" si="15"/>
        <v>3630.75</v>
      </c>
      <c r="T3" s="112">
        <f t="shared" si="16"/>
        <v>4027.3</v>
      </c>
      <c r="U3" s="112">
        <f t="shared" si="16"/>
        <v>4176.6499999999996</v>
      </c>
      <c r="V3" s="112">
        <f t="shared" si="16"/>
        <v>4707.1000000000004</v>
      </c>
      <c r="W3" s="112">
        <f t="shared" si="16"/>
        <v>5108.8</v>
      </c>
      <c r="X3" s="112" t="str">
        <f t="shared" si="16"/>
        <v>-</v>
      </c>
      <c r="Z3" s="74">
        <f t="shared" ref="Z3:Z19" si="34">B3</f>
        <v>15</v>
      </c>
      <c r="AA3" s="112">
        <f t="shared" si="17"/>
        <v>3674.32</v>
      </c>
      <c r="AB3" s="112">
        <f t="shared" si="18"/>
        <v>4075.63</v>
      </c>
      <c r="AC3" s="112">
        <f t="shared" si="18"/>
        <v>4226.7700000000004</v>
      </c>
      <c r="AD3" s="112">
        <f t="shared" si="18"/>
        <v>4763.59</v>
      </c>
      <c r="AE3" s="112">
        <f t="shared" si="18"/>
        <v>5170.1099999999997</v>
      </c>
      <c r="AF3" s="112" t="str">
        <f t="shared" si="18"/>
        <v>-</v>
      </c>
      <c r="AH3" s="74">
        <f t="shared" ref="AH3:AH19" si="35">B3</f>
        <v>15</v>
      </c>
      <c r="AI3" s="112">
        <f t="shared" ref="AI3:AI19" si="36">IF(AA3="-","-",ROUND((AA3+$AI$22)*$AI$23,2))</f>
        <v>3729.43</v>
      </c>
      <c r="AJ3" s="112">
        <f t="shared" ref="AJ3:AJ19" si="37">IF(AB3="-","-",ROUND((AB3+$AI$22)*$AI$23,2))</f>
        <v>4136.76</v>
      </c>
      <c r="AK3" s="112">
        <f t="shared" ref="AK3:AK19" si="38">IF(AC3="-","-",ROUND((AC3+$AI$22)*$AI$23,2))</f>
        <v>4290.17</v>
      </c>
      <c r="AL3" s="112">
        <f t="shared" ref="AL3:AL19" si="39">IF(AD3="-","-",ROUND((AD3+$AI$22)*$AI$23,2))</f>
        <v>4835.04</v>
      </c>
      <c r="AM3" s="112">
        <f t="shared" ref="AM3:AM19" si="40">IF(AE3="-","-",ROUND((AE3+$AI$22)*$AI$23,2))</f>
        <v>5247.66</v>
      </c>
      <c r="AN3" s="112" t="str">
        <f t="shared" ref="AN3:AN19" si="41">IF(AF3="-","-",ROUND((AF3+$AI$22)*$AI$23,2))</f>
        <v>-</v>
      </c>
      <c r="AP3" s="74">
        <f t="shared" ref="AP3:AP19" si="42">B3</f>
        <v>15</v>
      </c>
      <c r="AQ3" s="112">
        <f t="shared" ref="AQ3:AQ19" si="43">IF(AI3="-","-",ROUND(AI3*$AQ$23,2)+$AQ$22)</f>
        <v>3817.29</v>
      </c>
      <c r="AR3" s="112">
        <f t="shared" ref="AR3:AR19" si="44">IF(AJ3="-","-",ROUND(AJ3*$AQ$23,2)+$AQ$22)</f>
        <v>4232.3599999999997</v>
      </c>
      <c r="AS3" s="112">
        <f t="shared" ref="AS3:AS19" si="45">IF(AK3="-","-",ROUND(AK3*$AQ$23,2)+$AQ$22)</f>
        <v>4388.68</v>
      </c>
      <c r="AT3" s="112">
        <f t="shared" ref="AT3:AT19" si="46">IF(AL3="-","-",ROUND(AL3*$AQ$23,2)+$AQ$22)</f>
        <v>4943.91</v>
      </c>
      <c r="AU3" s="112">
        <f t="shared" ref="AU3:AU19" si="47">IF(AM3="-","-",ROUND(AM3*$AQ$23,2)+$AQ$22)</f>
        <v>5364.37</v>
      </c>
      <c r="AV3" s="112" t="str">
        <f t="shared" ref="AV3:AV19" si="48">IF(AN3="-","-",ROUND(AN3*$AQ$23,2)+$AQ$22)</f>
        <v>-</v>
      </c>
      <c r="AX3" s="74">
        <f t="shared" ref="AX3:AX19" si="49">B3</f>
        <v>15</v>
      </c>
      <c r="AY3" s="112">
        <f t="shared" ref="AY3:AY19" si="50">IF(AQ3="-","-",IF($AY$22=0,ROUND(AQ3*$AY$23,2),IF(AND($AY$22&gt;0,$BC$22=1),ROUND((AQ3+$AY$22)*$AY$23,2),IF(AND($AY$22&gt;0,$BC$22=2),ROUND(AQ3*$AY$23,2)+$AY$22))))</f>
        <v>3918.45</v>
      </c>
      <c r="AZ3" s="112">
        <f t="shared" ref="AZ3:AZ19" si="51">IF(AR3="-","-",IF($AY$22=0,ROUND(AR3*$AY$23,2),IF(AND($AY$22&gt;0,$BC$22=1),ROUND((AR3+$AY$22)*$AY$23,2),IF(AND($AY$22&gt;0,$BC$22=2),ROUND(AR3*$AY$23,2)+$AY$22))))</f>
        <v>4344.5200000000004</v>
      </c>
      <c r="BA3" s="112">
        <f t="shared" ref="BA3:BA19" si="52">IF(AS3="-","-",IF($AY$22=0,ROUND(AS3*$AY$23,2),IF(AND($AY$22&gt;0,$BC$22=1),ROUND((AS3+$AY$22)*$AY$23,2),IF(AND($AY$22&gt;0,$BC$22=2),ROUND(AS3*$AY$23,2)+$AY$22))))</f>
        <v>4504.9799999999996</v>
      </c>
      <c r="BB3" s="112">
        <f t="shared" ref="BB3:BB19" si="53">IF(AT3="-","-",IF($AY$22=0,ROUND(AT3*$AY$23,2),IF(AND($AY$22&gt;0,$BC$22=1),ROUND((AT3+$AY$22)*$AY$23,2),IF(AND($AY$22&gt;0,$BC$22=2),ROUND(AT3*$AY$23,2)+$AY$22))))</f>
        <v>5074.92</v>
      </c>
      <c r="BC3" s="112">
        <f t="shared" ref="BC3:BC19" si="54">IF(AU3="-","-",IF($AY$22=0,ROUND(AU3*$AY$23,2),IF(AND($AY$22&gt;0,$BC$22=1),ROUND((AU3+$AY$22)*$AY$23,2),IF(AND($AY$22&gt;0,$BC$22=2),ROUND(AU3*$AY$23,2)+$AY$22))))</f>
        <v>5506.53</v>
      </c>
      <c r="BD3" s="112" t="str">
        <f t="shared" ref="BD3:BD19" si="55">IF(AV3="-","-",IF($AY$22=0,ROUND(AV3*$AY$23,2),IF(AND($AY$22&gt;0,$BC$22=1),ROUND((AV3+$AY$22)*$AY$23,2),IF(AND($AY$22&gt;0,$BC$22=2),ROUND(AV3*$AY$23,2)+$AY$22))))</f>
        <v>-</v>
      </c>
      <c r="BF3" s="74">
        <f t="shared" ref="BF3:BF19" si="56">B3</f>
        <v>15</v>
      </c>
      <c r="BG3" s="112">
        <f t="shared" ref="BG3:BG19" si="57">IF(AY3="-","-",IF($BG$22=0,ROUND(AY3*$BG$23,2),IF(AND($BG$22&gt;0,$BK$22=1),ROUND((AY3+$BG$22)*$BG$23,2),IF(AND($BG$22&gt;0,$BK$22=2),ROUND(AY3*$BG$23,2)+$BG$22))))</f>
        <v>4034.04</v>
      </c>
      <c r="BH3" s="112">
        <f t="shared" ref="BH3:BH19" si="58">IF(AZ3="-","-",IF($BG$22=0,ROUND(AZ3*$BG$23,2),IF(AND($BG$22&gt;0,$BK$22=1),ROUND((AZ3+$BG$22)*$BG$23,2),IF(AND($BG$22&gt;0,$BK$22=2),ROUND(AZ3*$BG$23,2)+$BG$22))))</f>
        <v>4472.68</v>
      </c>
      <c r="BI3" s="112">
        <f t="shared" ref="BI3:BI19" si="59">IF(BA3="-","-",IF($BG$22=0,ROUND(BA3*$BG$23,2),IF(AND($BG$22&gt;0,$BK$22=1),ROUND((BA3+$BG$22)*$BG$23,2),IF(AND($BG$22&gt;0,$BK$22=2),ROUND(BA3*$BG$23,2)+$BG$22))))</f>
        <v>4637.88</v>
      </c>
      <c r="BJ3" s="112">
        <f t="shared" ref="BJ3:BJ19" si="60">IF(BB3="-","-",IF($BG$22=0,ROUND(BB3*$BG$23,2),IF(AND($BG$22&gt;0,$BK$22=1),ROUND((BB3+$BG$22)*$BG$23,2),IF(AND($BG$22&gt;0,$BK$22=2),ROUND(BB3*$BG$23,2)+$BG$22))))</f>
        <v>5224.63</v>
      </c>
      <c r="BK3" s="112">
        <f t="shared" ref="BK3:BK19" si="61">IF(BC3="-","-",IF($BG$22=0,ROUND(BC3*$BG$23,2),IF(AND($BG$22&gt;0,$BK$22=1),ROUND((BC3+$BG$22)*$BG$23,2),IF(AND($BG$22&gt;0,$BK$22=2),ROUND(BC3*$BG$23,2)+$BG$22))))</f>
        <v>5668.97</v>
      </c>
      <c r="BL3" s="112" t="str">
        <f t="shared" ref="BL3:BL19" si="62">IF(BD3="-","-",IF($BG$22=0,ROUND(BD3*$BG$23,2),IF(AND($BG$22&gt;0,$BK$22=1),ROUND((BD3+$BG$22)*$BG$23,2),IF(AND($BG$22&gt;0,$BK$22=2),ROUND(BD3*$BG$23,2)+$BG$22))))</f>
        <v>-</v>
      </c>
      <c r="BN3" s="74">
        <f t="shared" ref="BN3:BN19" si="63">B3</f>
        <v>15</v>
      </c>
      <c r="BO3" s="112">
        <f t="shared" ref="BO3:BO19" si="64">IF(BG3="-","-",IF(AND($BO$21=0,$BO$22=0),ROUND(BG3*$BO$23,2),IF(AND($BO$21&gt;0,$BO$22=0,(((BG3*$BO$23)-BG3)&lt;$BO$21)),BG3+$BO$21,IF(AND($BO$21&gt;0,$BO$22=0,(((BG3*$BO$23)-BG3)&gt;=$BO$21)),ROUND(BG3*$BO$23,2),IF(AND($BO$22&gt;0,$BS$22=1),ROUND((BG3+$BO$22)*$BO$23,2),IF(AND($BO$22&gt;0,$BS$22=2),ROUND(BG3*$BO$23,2)+$BO$22))))))</f>
        <v>4118.75</v>
      </c>
      <c r="BP3" s="112">
        <f t="shared" ref="BP3:BP19" si="65">IF(BH3="-","-",IF(AND($BO$21=0,$BO$22=0),ROUND(BH3*$BO$23,2),IF(AND($BO$21&gt;0,$BO$22=0,(((BH3*$BO$23)-BH3)&lt;$BO$21)),BH3+$BO$21,IF(AND($BO$21&gt;0,$BO$22=0,(((BH3*$BO$23)-BH3)&gt;=$BO$21)),ROUND(BH3*$BO$23,2),IF(AND($BO$22&gt;0,$BS$22=1),ROUND((BH3+$BO$22)*$BO$23,2),IF(AND($BO$22&gt;0,$BS$22=2),ROUND(BH3*$BO$23,2)+$BO$22))))))</f>
        <v>4566.6099999999997</v>
      </c>
      <c r="BQ3" s="112">
        <f t="shared" ref="BQ3:BQ19" si="66">IF(BI3="-","-",IF(AND($BO$21=0,$BO$22=0),ROUND(BI3*$BO$23,2),IF(AND($BO$21&gt;0,$BO$22=0,(((BI3*$BO$23)-BI3)&lt;$BO$21)),BI3+$BO$21,IF(AND($BO$21&gt;0,$BO$22=0,(((BI3*$BO$23)-BI3)&gt;=$BO$21)),ROUND(BI3*$BO$23,2),IF(AND($BO$22&gt;0,$BS$22=1),ROUND((BI3+$BO$22)*$BO$23,2),IF(AND($BO$22&gt;0,$BS$22=2),ROUND(BI3*$BO$23,2)+$BO$22))))))</f>
        <v>4735.28</v>
      </c>
      <c r="BR3" s="112">
        <f t="shared" ref="BR3:BR19" si="67">IF(BJ3="-","-",IF(AND($BO$21=0,$BO$22=0),ROUND(BJ3*$BO$23,2),IF(AND($BO$21&gt;0,$BO$22=0,(((BJ3*$BO$23)-BJ3)&lt;$BO$21)),BJ3+$BO$21,IF(AND($BO$21&gt;0,$BO$22=0,(((BJ3*$BO$23)-BJ3)&gt;=$BO$21)),ROUND(BJ3*$BO$23,2),IF(AND($BO$22&gt;0,$BS$22=1),ROUND((BJ3+$BO$22)*$BO$23,2),IF(AND($BO$22&gt;0,$BS$22=2),ROUND(BJ3*$BO$23,2)+$BO$22))))))</f>
        <v>5334.35</v>
      </c>
      <c r="BS3" s="112">
        <f t="shared" ref="BS3:BS19" si="68">IF(BK3="-","-",IF(AND($BO$21=0,$BO$22=0),ROUND(BK3*$BO$23,2),IF(AND($BO$21&gt;0,$BO$22=0,(((BK3*$BO$23)-BK3)&lt;$BO$21)),BK3+$BO$21,IF(AND($BO$21&gt;0,$BO$22=0,(((BK3*$BO$23)-BK3)&gt;=$BO$21)),ROUND(BK3*$BO$23,2),IF(AND($BO$22&gt;0,$BS$22=1),ROUND((BK3+$BO$22)*$BO$23,2),IF(AND($BO$22&gt;0,$BS$22=2),ROUND(BK3*$BO$23,2)+$BO$22))))))</f>
        <v>5788.02</v>
      </c>
      <c r="BT3" s="112" t="str">
        <f t="shared" ref="BT3:BT19" si="69">IF(BL3="-","-",IF(AND($BO$21=0,$BO$22=0),ROUND(BL3*$BO$23,2),IF(AND($BO$21&gt;0,$BO$22=0,(((BL3*$BO$23)-BL3)&lt;$BO$21)),BL3+$BO$21,IF(AND($BO$21&gt;0,$BO$22=0,(((BL3*$BO$23)-BL3)&gt;=$BO$21)),ROUND(BL3*$BO$23,2),IF(AND($BO$22&gt;0,$BS$22=1),ROUND((BL3+$BO$22)*$BO$23,2),IF(AND($BO$22&gt;0,$BS$22=2),ROUND(BL3*$BO$23,2)+$BO$22))))))</f>
        <v>-</v>
      </c>
      <c r="BV3" s="74">
        <f t="shared" ref="BV3:BV19" si="70">B3</f>
        <v>15</v>
      </c>
      <c r="BW3" s="112">
        <f t="shared" ref="BW3:BW19" si="71">IF(BO3="-","-",IF(AND($BW$21=0,$BW$22=0),ROUND(BO3*$BW$23,2),IF(AND($BW$21&gt;0,$BW$22=0,(((BO3*$BW$23)-BO3)&lt;$BW$21)),BO3+$BW$21,IF(AND($BW$21&gt;0,$BW$22=0,(((BO3*$BW$23)-BO3)&gt;=$BW$21)),ROUND(BO3*$BW$23,2),IF(AND($BW$22&gt;0,$CA$22=1),ROUND((BO3+$BW$22)*$BW$23,2),IF(AND($BW$22&gt;0,$CA$22=2),ROUND(BO3*$BW$23,2)+$BW$22))))))</f>
        <v>4213.4799999999996</v>
      </c>
      <c r="BX3" s="112">
        <f t="shared" ref="BX3:BX19" si="72">IF(BP3="-","-",IF(AND($BW$21=0,$BW$22=0),ROUND(BP3*$BW$23,2),IF(AND($BW$21&gt;0,$BW$22=0,(((BP3*$BW$23)-BP3)&lt;$BW$21)),BP3+$BW$21,IF(AND($BW$21&gt;0,$BW$22=0,(((BP3*$BW$23)-BP3)&gt;=$BW$21)),ROUND(BP3*$BW$23,2),IF(AND($BW$22&gt;0,$CA$22=1),ROUND((BP3+$BW$22)*$BW$23,2),IF(AND($BW$22&gt;0,$CA$22=2),ROUND(BP3*$BW$23,2)+$BW$22))))))</f>
        <v>4671.6400000000003</v>
      </c>
      <c r="BY3" s="112">
        <f t="shared" ref="BY3:BY19" si="73">IF(BQ3="-","-",IF(AND($BW$21=0,$BW$22=0),ROUND(BQ3*$BW$23,2),IF(AND($BW$21&gt;0,$BW$22=0,(((BQ3*$BW$23)-BQ3)&lt;$BW$21)),BQ3+$BW$21,IF(AND($BW$21&gt;0,$BW$22=0,(((BQ3*$BW$23)-BQ3)&gt;=$BW$21)),ROUND(BQ3*$BW$23,2),IF(AND($BW$22&gt;0,$CA$22=1),ROUND((BQ3+$BW$22)*$BW$23,2),IF(AND($BW$22&gt;0,$CA$22=2),ROUND(BQ3*$BW$23,2)+$BW$22))))))</f>
        <v>4844.1899999999996</v>
      </c>
      <c r="BZ3" s="112">
        <f t="shared" ref="BZ3:BZ19" si="74">IF(BR3="-","-",IF(AND($BW$21=0,$BW$22=0),ROUND(BR3*$BW$23,2),IF(AND($BW$21&gt;0,$BW$22=0,(((BR3*$BW$23)-BR3)&lt;$BW$21)),BR3+$BW$21,IF(AND($BW$21&gt;0,$BW$22=0,(((BR3*$BW$23)-BR3)&gt;=$BW$21)),ROUND(BR3*$BW$23,2),IF(AND($BW$22&gt;0,$CA$22=1),ROUND((BR3+$BW$22)*$BW$23,2),IF(AND($BW$22&gt;0,$CA$22=2),ROUND(BR3*$BW$23,2)+$BW$22))))))</f>
        <v>5457.04</v>
      </c>
      <c r="CA3" s="112">
        <f t="shared" ref="CA3:CA19" si="75">IF(BS3="-","-",IF(AND($BW$21=0,$BW$22=0),ROUND(BS3*$BW$23,2),IF(AND($BW$21&gt;0,$BW$22=0,(((BS3*$BW$23)-BS3)&lt;$BW$21)),BS3+$BW$21,IF(AND($BW$21&gt;0,$BW$22=0,(((BS3*$BW$23)-BS3)&gt;=$BW$21)),ROUND(BS3*$BW$23,2),IF(AND($BW$22&gt;0,$CA$22=1),ROUND((BS3+$BW$22)*$BW$23,2),IF(AND($BW$22&gt;0,$CA$22=2),ROUND(BS3*$BW$23,2)+$BW$22))))))</f>
        <v>5921.14</v>
      </c>
      <c r="CB3" s="112" t="str">
        <f t="shared" ref="CB3:CB19" si="76">IF(BT3="-","-",IF(AND($BW$21=0,$BW$22=0),ROUND(BT3*$BW$23,2),IF(AND($BW$21&gt;0,$BW$22=0,(((BT3*$BW$23)-BT3)&lt;$BW$21)),BT3+$BW$21,IF(AND($BW$21&gt;0,$BW$22=0,(((BT3*$BW$23)-BT3)&gt;=$BW$21)),ROUND(BT3*$BW$23,2),IF(AND($BW$22&gt;0,$CA$22=1),ROUND((BT3+$BW$22)*$BW$23,2),IF(AND($BW$22&gt;0,$CA$22=2),ROUND(BT3*$BW$23,2)+$BW$22))))))</f>
        <v>-</v>
      </c>
      <c r="CD3" s="74">
        <f t="shared" si="25"/>
        <v>15</v>
      </c>
      <c r="CE3" s="112">
        <f>IF(BW3="-","-",IF(BW3&gt;3200,ROUND(BW3*$CE$23,2),IF(ROUND(BW3*$CE$23,2)-BW3&lt;'L Tab'!$CE$21,BW3+$CE$21,ROUND(BW3*$CE$23,2))))</f>
        <v>4297.75</v>
      </c>
      <c r="CF3" s="112">
        <f>IF(BX3="-","-",IF(BX3&gt;3200,ROUND(BX3*$CE$23,2),IF(ROUND(BX3*$CE$23,2)-BX3&lt;'L Tab'!$CE$21,BX3+$CE$21,ROUND(BX3*$CE$23,2))))</f>
        <v>4765.07</v>
      </c>
      <c r="CG3" s="112">
        <f>IF(BY3="-","-",IF(BY3&gt;3200,ROUND(BY3*$CE$23,2),IF(ROUND(BY3*$CE$23,2)-BY3&lt;'L Tab'!$CE$21,BY3+$CE$21,ROUND(BY3*$CE$23,2))))</f>
        <v>4941.07</v>
      </c>
      <c r="CH3" s="112">
        <f>IF(BZ3="-","-",IF(BZ3&gt;3200,ROUND(BZ3*$CE$23,2),IF(ROUND(BZ3*$CE$23,2)-BZ3&lt;'L Tab'!$CE$21,BZ3+$CE$21,ROUND(BZ3*$CE$23,2))))</f>
        <v>5566.18</v>
      </c>
      <c r="CI3" s="112">
        <f>IF(CA3="-","-",IF(CA3&gt;3200,ROUND(CA3*$CE$23,2),IF(ROUND(CA3*$CE$23,2)-CA3&lt;'L Tab'!$CE$21,CA3+$CE$21,ROUND(CA3*$CE$23,2))))</f>
        <v>6039.56</v>
      </c>
      <c r="CJ3" s="112" t="str">
        <f>IF(CB3="-","-",IF(CB3&gt;3200,ROUND(CB3*$CE$23,2),IF(ROUND(CB3*$CE$23,2)-CB3&lt;'L Tab'!$CE$21,CB3+$CE$21,ROUND(CB3*$CE$23,2))))</f>
        <v>-</v>
      </c>
      <c r="CL3" s="74">
        <f t="shared" ref="CL3:CL10" si="77">R3</f>
        <v>15</v>
      </c>
      <c r="CM3" s="112">
        <f t="shared" si="26"/>
        <v>4398.75</v>
      </c>
      <c r="CN3" s="112">
        <f t="shared" si="26"/>
        <v>4877.05</v>
      </c>
      <c r="CO3" s="112">
        <f t="shared" si="26"/>
        <v>5057.1899999999996</v>
      </c>
      <c r="CP3" s="112">
        <f t="shared" si="26"/>
        <v>5696.99</v>
      </c>
      <c r="CQ3" s="112">
        <f>IF(CI3="-","-",ROUND(CI3*$CM$23,2))</f>
        <v>6181.49</v>
      </c>
      <c r="CR3" s="464">
        <v>6274.21</v>
      </c>
      <c r="CT3" s="74">
        <f t="shared" ref="CT3:CT10" si="78">Z3</f>
        <v>15</v>
      </c>
      <c r="CU3" s="112">
        <f t="shared" si="27"/>
        <v>4398.75</v>
      </c>
      <c r="CV3" s="112">
        <f t="shared" si="28"/>
        <v>4877.05</v>
      </c>
      <c r="CW3" s="112">
        <f t="shared" si="28"/>
        <v>5057.1899999999996</v>
      </c>
      <c r="CX3" s="112">
        <f t="shared" si="28"/>
        <v>5696.99</v>
      </c>
      <c r="CY3" s="112">
        <f t="shared" si="28"/>
        <v>6181.49</v>
      </c>
      <c r="CZ3" s="464">
        <v>6366.93</v>
      </c>
      <c r="DB3" s="74">
        <f t="shared" ref="DB3:DB9" si="79">AH3</f>
        <v>15</v>
      </c>
      <c r="DC3" s="112">
        <f t="shared" ref="DC3:DC20" si="80">IF(CU3="-","-",IF(ROUND(CU3*$DC$24,2)-CU3&lt;$DC$21,CU3+$DC$21,ROUND(CU3*$DC$24,2)))</f>
        <v>4596.6899999999996</v>
      </c>
      <c r="DD3" s="112">
        <f t="shared" ref="DC3:DD20" si="81">IF(CV3="-","-",IF(ROUND(CV3*$DC$23,2)-CV3&lt;$DC$21,CV3+$DC$21,ROUND(CV3*$DC$23,2)))</f>
        <v>5023.8500000000004</v>
      </c>
      <c r="DE3" s="112">
        <f t="shared" ref="DE3:DE20" si="82">IF(CW3="-","-",IF(ROUND(CW3*$DC$23,2)-CW3&lt;$DC$21,CW3+$DC$21,ROUND(CW3*$DC$23,2)))</f>
        <v>5209.41</v>
      </c>
      <c r="DF3" s="112">
        <f t="shared" ref="DF3:DF20" si="83">IF(CX3="-","-",IF(ROUND(CX3*$DC$23,2)-CX3&lt;$DC$21,CX3+$DC$21,ROUND(CX3*$DC$23,2)))</f>
        <v>5868.47</v>
      </c>
      <c r="DG3" s="112">
        <f t="shared" ref="DG3:DG20" si="84">IF(CY3="-","-",IF(ROUND(CY3*$DC$23,2)-CY3&lt;$DC$21,CY3+$DC$21,ROUND(CY3*$DC$23,2)))</f>
        <v>6367.55</v>
      </c>
      <c r="DH3" s="112">
        <f t="shared" ref="DH3:DH20" si="85">IF(CZ3="-","-",IF(ROUND(CZ3*$DC$23,2)-CZ3&lt;$DC$21,CZ3+$DC$21,ROUND(CZ3*$DC$23,2)))</f>
        <v>6558.57</v>
      </c>
      <c r="DJ3" s="74">
        <f t="shared" ref="DJ3:DJ9" si="86">AP3</f>
        <v>15</v>
      </c>
      <c r="DK3" s="112">
        <f t="shared" ref="DK3:DK20" si="87">IF(DC3="-","-",IF(ROUND(DC3*$DK$24,2)-DC3&lt;$DK$21,DC3+$DK$21,ROUND(DC3*$DK$24,2)))</f>
        <v>4794.3500000000004</v>
      </c>
      <c r="DL3" s="112">
        <f t="shared" ref="DK3:DL20" si="88">IF(DD3="-","-",IF(ROUND(DD3*$DK$23,2)-DD3&lt;$DK$21,DD3+$DK$21,ROUND(DD3*$DK$23,2)))</f>
        <v>5180.59</v>
      </c>
      <c r="DM3" s="112">
        <f t="shared" ref="DM3:DM20" si="89">IF(DE3="-","-",IF(ROUND(DE3*$DK$23,2)-DE3&lt;$DK$21,DE3+$DK$21,ROUND(DE3*$DK$23,2)))</f>
        <v>5371.94</v>
      </c>
      <c r="DN3" s="112">
        <f t="shared" ref="DN3:DN20" si="90">IF(DF3="-","-",IF(ROUND(DF3*$DK$23,2)-DF3&lt;$DK$21,DF3+$DK$21,ROUND(DF3*$DK$23,2)))</f>
        <v>6051.57</v>
      </c>
      <c r="DO3" s="112">
        <f t="shared" ref="DO3:DO20" si="91">IF(DG3="-","-",IF(ROUND(DG3*$DK$23,2)-DG3&lt;$DK$21,DG3+$DK$21,ROUND(DG3*$DK$23,2)))</f>
        <v>6566.22</v>
      </c>
      <c r="DP3" s="112">
        <f t="shared" ref="DP3:DP20" si="92">IF(DH3="-","-",IF(ROUND(DH3*$DK$23,2)-DH3&lt;$DK$21,DH3+$DK$21,ROUND(DH3*$DK$23,2)))</f>
        <v>6763.2</v>
      </c>
      <c r="DR3" s="74">
        <f t="shared" ref="DR3:DR9" si="93">AX3</f>
        <v>15</v>
      </c>
      <c r="DS3" s="112">
        <f t="shared" ref="DS3:DS20" si="94">IF(DK3="-","-",IF(ROUND(DK3*$DS$24,2)-DK3&lt;$DS$21,DK3+$DS$21,ROUND(DK3*$DS$24,2)))</f>
        <v>4880.6499999999996</v>
      </c>
      <c r="DT3" s="112">
        <f t="shared" ref="DS3:DT20" si="95">IF(DL3="-","-",IF(ROUND(DL3*$DS$23,2)-DL3&lt;$DS$21,DL3+$DS$21,ROUND(DL3*$DS$23,2)))</f>
        <v>5247.42</v>
      </c>
      <c r="DU3" s="112">
        <f t="shared" ref="DU3:DU20" si="96">IF(DM3="-","-",IF(ROUND(DM3*$DS$23,2)-DM3&lt;$DS$21,DM3+$DS$21,ROUND(DM3*$DS$23,2)))</f>
        <v>5441.24</v>
      </c>
      <c r="DV3" s="112">
        <f t="shared" ref="DV3:DV20" si="97">IF(DN3="-","-",IF(ROUND(DN3*$DS$23,2)-DN3&lt;$DS$21,DN3+$DS$21,ROUND(DN3*$DS$23,2)))</f>
        <v>6129.64</v>
      </c>
      <c r="DW3" s="112">
        <f t="shared" ref="DW3:DW20" si="98">IF(DO3="-","-",IF(ROUND(DO3*$DS$23,2)-DO3&lt;$DS$21,DO3+$DS$21,ROUND(DO3*$DS$23,2)))</f>
        <v>6650.92</v>
      </c>
      <c r="DX3" s="112">
        <f t="shared" ref="DX3:DX20" si="99">IF(DP3="-","-",IF(ROUND(DP3*$DS$23,2)-DP3&lt;$DS$21,DP3+$DS$21,ROUND(DP3*$DS$23,2)))</f>
        <v>6850.45</v>
      </c>
    </row>
    <row r="4" spans="1:128">
      <c r="B4" s="74">
        <v>14</v>
      </c>
      <c r="C4" s="384">
        <v>3060</v>
      </c>
      <c r="D4" s="37">
        <v>3400</v>
      </c>
      <c r="E4" s="37">
        <v>3600</v>
      </c>
      <c r="F4" s="37">
        <v>3900</v>
      </c>
      <c r="G4" s="37">
        <v>4360</v>
      </c>
      <c r="H4" s="385" t="s">
        <v>15</v>
      </c>
      <c r="J4" s="74">
        <f t="shared" si="32"/>
        <v>14</v>
      </c>
      <c r="K4" s="112">
        <v>3150</v>
      </c>
      <c r="L4" s="112">
        <v>3500</v>
      </c>
      <c r="M4" s="112">
        <v>3705</v>
      </c>
      <c r="N4" s="112">
        <v>4015</v>
      </c>
      <c r="O4" s="112">
        <v>4490</v>
      </c>
      <c r="P4" s="112" t="s">
        <v>15</v>
      </c>
      <c r="R4" s="74">
        <f t="shared" si="33"/>
        <v>14</v>
      </c>
      <c r="S4" s="112">
        <f t="shared" si="15"/>
        <v>3285.7</v>
      </c>
      <c r="T4" s="112">
        <f t="shared" si="16"/>
        <v>3646.2</v>
      </c>
      <c r="U4" s="112">
        <f t="shared" si="16"/>
        <v>3857.35</v>
      </c>
      <c r="V4" s="112">
        <f t="shared" si="16"/>
        <v>4176.6499999999996</v>
      </c>
      <c r="W4" s="112">
        <f t="shared" si="16"/>
        <v>4665.8999999999996</v>
      </c>
      <c r="X4" s="112" t="str">
        <f t="shared" si="16"/>
        <v>-</v>
      </c>
      <c r="Z4" s="74">
        <f t="shared" si="34"/>
        <v>14</v>
      </c>
      <c r="AA4" s="112">
        <f t="shared" si="17"/>
        <v>3325.13</v>
      </c>
      <c r="AB4" s="112">
        <f t="shared" si="18"/>
        <v>3689.95</v>
      </c>
      <c r="AC4" s="112">
        <f t="shared" si="18"/>
        <v>3903.64</v>
      </c>
      <c r="AD4" s="112">
        <f t="shared" si="18"/>
        <v>4226.7700000000004</v>
      </c>
      <c r="AE4" s="112">
        <f t="shared" si="18"/>
        <v>4721.8900000000003</v>
      </c>
      <c r="AF4" s="112" t="str">
        <f t="shared" si="18"/>
        <v>-</v>
      </c>
      <c r="AH4" s="74">
        <f t="shared" si="35"/>
        <v>14</v>
      </c>
      <c r="AI4" s="112">
        <f t="shared" si="36"/>
        <v>3375.01</v>
      </c>
      <c r="AJ4" s="112">
        <f t="shared" si="37"/>
        <v>3745.3</v>
      </c>
      <c r="AK4" s="112">
        <f t="shared" si="38"/>
        <v>3962.19</v>
      </c>
      <c r="AL4" s="112">
        <f t="shared" si="39"/>
        <v>4290.17</v>
      </c>
      <c r="AM4" s="112">
        <f t="shared" si="40"/>
        <v>4792.72</v>
      </c>
      <c r="AN4" s="112" t="str">
        <f t="shared" si="41"/>
        <v>-</v>
      </c>
      <c r="AP4" s="74">
        <f t="shared" si="42"/>
        <v>14</v>
      </c>
      <c r="AQ4" s="112">
        <f t="shared" si="43"/>
        <v>3456.14</v>
      </c>
      <c r="AR4" s="112">
        <f t="shared" si="44"/>
        <v>3833.46</v>
      </c>
      <c r="AS4" s="112">
        <f t="shared" si="45"/>
        <v>4054.47</v>
      </c>
      <c r="AT4" s="112">
        <f t="shared" si="46"/>
        <v>4388.68</v>
      </c>
      <c r="AU4" s="112">
        <f t="shared" si="47"/>
        <v>4900.78</v>
      </c>
      <c r="AV4" s="112" t="str">
        <f t="shared" si="48"/>
        <v>-</v>
      </c>
      <c r="AX4" s="74">
        <f t="shared" si="49"/>
        <v>14</v>
      </c>
      <c r="AY4" s="112">
        <f t="shared" si="50"/>
        <v>3547.73</v>
      </c>
      <c r="AZ4" s="112">
        <f t="shared" si="51"/>
        <v>3935.05</v>
      </c>
      <c r="BA4" s="112">
        <f t="shared" si="52"/>
        <v>4161.91</v>
      </c>
      <c r="BB4" s="112">
        <f t="shared" si="53"/>
        <v>4504.9799999999996</v>
      </c>
      <c r="BC4" s="112">
        <f t="shared" si="54"/>
        <v>5030.6499999999996</v>
      </c>
      <c r="BD4" s="112" t="str">
        <f t="shared" si="55"/>
        <v>-</v>
      </c>
      <c r="BF4" s="74">
        <f t="shared" si="56"/>
        <v>14</v>
      </c>
      <c r="BG4" s="112">
        <f t="shared" si="57"/>
        <v>3652.39</v>
      </c>
      <c r="BH4" s="112">
        <f t="shared" si="58"/>
        <v>4051.13</v>
      </c>
      <c r="BI4" s="112">
        <f t="shared" si="59"/>
        <v>4284.6899999999996</v>
      </c>
      <c r="BJ4" s="112">
        <f t="shared" si="60"/>
        <v>4637.88</v>
      </c>
      <c r="BK4" s="112">
        <f t="shared" si="61"/>
        <v>5179.05</v>
      </c>
      <c r="BL4" s="112" t="str">
        <f t="shared" si="62"/>
        <v>-</v>
      </c>
      <c r="BN4" s="74">
        <f t="shared" si="63"/>
        <v>14</v>
      </c>
      <c r="BO4" s="112">
        <f>IF(BG4="-","-",IF(AND($BO$21=0,$BO$22=0),ROUND(BG4*$BO$23,2),IF(AND($BO$21&gt;0,$BO$22=0,(((BG4*$BO$23)-BG4)&lt;$BO$21)),BG4+$BO$21,IF(AND($BO$21&gt;0,$BO$22=0,(((BG4*$BO$23)-BG4)&gt;=$BO$21)),ROUND(BG4*$BO$23,2),IF(AND($BO$22&gt;0,$BS$22=1),ROUND((BG4+$BO$22)*$BO$23,2),IF(AND($BO$22&gt;0,$BS$22=2),ROUND(BG4*$BO$23,2)+$BO$22))))))</f>
        <v>3729.09</v>
      </c>
      <c r="BP4" s="112">
        <f t="shared" si="65"/>
        <v>4136.2</v>
      </c>
      <c r="BQ4" s="112">
        <f t="shared" si="66"/>
        <v>4374.67</v>
      </c>
      <c r="BR4" s="112">
        <f t="shared" si="67"/>
        <v>4735.28</v>
      </c>
      <c r="BS4" s="112">
        <f t="shared" si="68"/>
        <v>5287.81</v>
      </c>
      <c r="BT4" s="112" t="str">
        <f t="shared" si="69"/>
        <v>-</v>
      </c>
      <c r="BV4" s="74">
        <f t="shared" si="70"/>
        <v>14</v>
      </c>
      <c r="BW4" s="112">
        <f t="shared" si="71"/>
        <v>3814.86</v>
      </c>
      <c r="BX4" s="112">
        <f t="shared" si="72"/>
        <v>4231.33</v>
      </c>
      <c r="BY4" s="112">
        <f t="shared" si="73"/>
        <v>4475.29</v>
      </c>
      <c r="BZ4" s="112">
        <f t="shared" si="74"/>
        <v>4844.1899999999996</v>
      </c>
      <c r="CA4" s="112">
        <f t="shared" si="75"/>
        <v>5409.43</v>
      </c>
      <c r="CB4" s="112" t="str">
        <f t="shared" si="76"/>
        <v>-</v>
      </c>
      <c r="CD4" s="74">
        <f t="shared" si="25"/>
        <v>14</v>
      </c>
      <c r="CE4" s="112">
        <f>IF(BW4="-","-",IF(BW4&gt;3200,ROUND(BW4*$CE$23,2),IF(ROUND(BW4*$CE$23,2)-BW4&lt;'L Tab'!$CE$21,BW4+$CE$21,ROUND(BW4*$CE$23,2))))</f>
        <v>3891.16</v>
      </c>
      <c r="CF4" s="112">
        <f>IF(BX4="-","-",IF(BX4&gt;3200,ROUND(BX4*$CE$23,2),IF(ROUND(BX4*$CE$23,2)-BX4&lt;'L Tab'!$CE$21,BX4+$CE$21,ROUND(BX4*$CE$23,2))))</f>
        <v>4315.96</v>
      </c>
      <c r="CG4" s="112">
        <f>IF(BY4="-","-",IF(BY4&gt;3200,ROUND(BY4*$CE$23,2),IF(ROUND(BY4*$CE$23,2)-BY4&lt;'L Tab'!$CE$21,BY4+$CE$21,ROUND(BY4*$CE$23,2))))</f>
        <v>4564.8</v>
      </c>
      <c r="CH4" s="112">
        <f>IF(BZ4="-","-",IF(BZ4&gt;3200,ROUND(BZ4*$CE$23,2),IF(ROUND(BZ4*$CE$23,2)-BZ4&lt;'L Tab'!$CE$21,BZ4+$CE$21,ROUND(BZ4*$CE$23,2))))</f>
        <v>4941.07</v>
      </c>
      <c r="CI4" s="112">
        <f>IF(CA4="-","-",IF(CA4&gt;3200,ROUND(CA4*$CE$23,2),IF(ROUND(CA4*$CE$23,2)-CA4&lt;'L Tab'!$CE$21,CA4+$CE$21,ROUND(CA4*$CE$23,2))))</f>
        <v>5517.62</v>
      </c>
      <c r="CJ4" s="112" t="str">
        <f>IF(CB4="-","-",IF(CB4&gt;3200,ROUND(CB4*$CE$23,2),IF(ROUND(CB4*$CE$23,2)-CB4&lt;'L Tab'!$CE$21,CB4+$CE$21,ROUND(CB4*$CE$23,2))))</f>
        <v>-</v>
      </c>
      <c r="CL4" s="74">
        <f t="shared" si="77"/>
        <v>14</v>
      </c>
      <c r="CM4" s="112">
        <f t="shared" si="26"/>
        <v>3982.6</v>
      </c>
      <c r="CN4" s="112">
        <f t="shared" si="26"/>
        <v>4417.3900000000003</v>
      </c>
      <c r="CO4" s="112">
        <f t="shared" si="26"/>
        <v>4672.07</v>
      </c>
      <c r="CP4" s="112">
        <f t="shared" si="26"/>
        <v>5057.1899999999996</v>
      </c>
      <c r="CQ4" s="112">
        <f t="shared" si="26"/>
        <v>5647.28</v>
      </c>
      <c r="CR4" s="464">
        <v>5731.99</v>
      </c>
      <c r="CT4" s="74">
        <f t="shared" si="78"/>
        <v>14</v>
      </c>
      <c r="CU4" s="112">
        <f t="shared" si="27"/>
        <v>3982.6</v>
      </c>
      <c r="CV4" s="112">
        <f t="shared" si="28"/>
        <v>4417.3900000000003</v>
      </c>
      <c r="CW4" s="112">
        <f t="shared" si="28"/>
        <v>4672.07</v>
      </c>
      <c r="CX4" s="112">
        <f t="shared" si="28"/>
        <v>5057.1899999999996</v>
      </c>
      <c r="CY4" s="112">
        <f t="shared" si="28"/>
        <v>5647.28</v>
      </c>
      <c r="CZ4" s="464">
        <v>5816.7</v>
      </c>
      <c r="DB4" s="74">
        <f t="shared" si="79"/>
        <v>14</v>
      </c>
      <c r="DC4" s="112">
        <f t="shared" si="80"/>
        <v>4161.82</v>
      </c>
      <c r="DD4" s="112">
        <f t="shared" si="81"/>
        <v>4550.3500000000004</v>
      </c>
      <c r="DE4" s="112">
        <f t="shared" si="82"/>
        <v>4812.7</v>
      </c>
      <c r="DF4" s="112">
        <f t="shared" si="83"/>
        <v>5209.41</v>
      </c>
      <c r="DG4" s="112">
        <f t="shared" si="84"/>
        <v>5817.26</v>
      </c>
      <c r="DH4" s="112">
        <f t="shared" si="85"/>
        <v>5991.78</v>
      </c>
      <c r="DJ4" s="74">
        <f t="shared" si="86"/>
        <v>14</v>
      </c>
      <c r="DK4" s="112">
        <f t="shared" si="87"/>
        <v>4340.78</v>
      </c>
      <c r="DL4" s="112">
        <f t="shared" si="88"/>
        <v>4692.32</v>
      </c>
      <c r="DM4" s="112">
        <f t="shared" si="89"/>
        <v>4962.8599999999997</v>
      </c>
      <c r="DN4" s="112">
        <f t="shared" si="90"/>
        <v>5371.94</v>
      </c>
      <c r="DO4" s="112">
        <f t="shared" si="91"/>
        <v>5998.76</v>
      </c>
      <c r="DP4" s="112">
        <f t="shared" si="92"/>
        <v>6178.72</v>
      </c>
      <c r="DR4" s="74">
        <f t="shared" si="93"/>
        <v>14</v>
      </c>
      <c r="DS4" s="112">
        <f t="shared" si="94"/>
        <v>4418.91</v>
      </c>
      <c r="DT4" s="112">
        <f t="shared" si="95"/>
        <v>4752.8500000000004</v>
      </c>
      <c r="DU4" s="112">
        <f t="shared" si="96"/>
        <v>5026.88</v>
      </c>
      <c r="DV4" s="112">
        <f t="shared" si="97"/>
        <v>5441.24</v>
      </c>
      <c r="DW4" s="112">
        <f t="shared" si="98"/>
        <v>6076.14</v>
      </c>
      <c r="DX4" s="112">
        <f t="shared" si="99"/>
        <v>6258.43</v>
      </c>
    </row>
    <row r="5" spans="1:128">
      <c r="B5" s="74" t="s">
        <v>16</v>
      </c>
      <c r="C5" s="384" t="s">
        <v>15</v>
      </c>
      <c r="D5" s="37">
        <v>3130</v>
      </c>
      <c r="E5" s="37">
        <v>3300</v>
      </c>
      <c r="F5" s="37">
        <v>3600</v>
      </c>
      <c r="G5" s="37">
        <v>3900</v>
      </c>
      <c r="H5" s="385">
        <v>4360</v>
      </c>
      <c r="J5" s="74" t="str">
        <f t="shared" si="32"/>
        <v>13Ü</v>
      </c>
      <c r="K5" s="112" t="s">
        <v>15</v>
      </c>
      <c r="L5" s="112">
        <v>3225</v>
      </c>
      <c r="M5" s="112">
        <v>3400</v>
      </c>
      <c r="N5" s="112">
        <v>3705</v>
      </c>
      <c r="O5" s="112">
        <v>4015</v>
      </c>
      <c r="P5" s="112">
        <v>4490</v>
      </c>
      <c r="R5" s="74" t="str">
        <f t="shared" si="33"/>
        <v>13Ü</v>
      </c>
      <c r="S5" s="112" t="str">
        <f t="shared" si="15"/>
        <v>-</v>
      </c>
      <c r="T5" s="112">
        <f t="shared" si="16"/>
        <v>3362.95</v>
      </c>
      <c r="U5" s="112">
        <f t="shared" si="16"/>
        <v>3543.2</v>
      </c>
      <c r="V5" s="112">
        <f t="shared" si="16"/>
        <v>3857.35</v>
      </c>
      <c r="W5" s="112">
        <f t="shared" si="16"/>
        <v>4176.6499999999996</v>
      </c>
      <c r="X5" s="112">
        <f t="shared" si="16"/>
        <v>4665.8999999999996</v>
      </c>
      <c r="Z5" s="74" t="str">
        <f t="shared" si="34"/>
        <v>13Ü</v>
      </c>
      <c r="AA5" s="112" t="str">
        <f t="shared" si="17"/>
        <v>-</v>
      </c>
      <c r="AB5" s="112">
        <f t="shared" si="18"/>
        <v>3403.31</v>
      </c>
      <c r="AC5" s="112">
        <f t="shared" si="18"/>
        <v>3585.72</v>
      </c>
      <c r="AD5" s="112">
        <f t="shared" si="18"/>
        <v>3903.64</v>
      </c>
      <c r="AE5" s="112">
        <f t="shared" si="18"/>
        <v>4226.7700000000004</v>
      </c>
      <c r="AF5" s="112">
        <f t="shared" si="18"/>
        <v>4721.8900000000003</v>
      </c>
      <c r="AH5" s="74" t="str">
        <f t="shared" si="35"/>
        <v>13Ü</v>
      </c>
      <c r="AI5" s="112" t="str">
        <f t="shared" si="36"/>
        <v>-</v>
      </c>
      <c r="AJ5" s="112">
        <f t="shared" si="37"/>
        <v>3454.36</v>
      </c>
      <c r="AK5" s="112">
        <f t="shared" si="38"/>
        <v>3639.51</v>
      </c>
      <c r="AL5" s="112">
        <f t="shared" si="39"/>
        <v>3962.19</v>
      </c>
      <c r="AM5" s="112">
        <f t="shared" si="40"/>
        <v>4290.17</v>
      </c>
      <c r="AN5" s="112">
        <f t="shared" si="41"/>
        <v>4792.72</v>
      </c>
      <c r="AP5" s="74" t="str">
        <f t="shared" si="42"/>
        <v>13Ü</v>
      </c>
      <c r="AQ5" s="112" t="str">
        <f t="shared" si="43"/>
        <v>-</v>
      </c>
      <c r="AR5" s="112">
        <f t="shared" si="44"/>
        <v>3536.99</v>
      </c>
      <c r="AS5" s="112">
        <f t="shared" si="45"/>
        <v>3725.66</v>
      </c>
      <c r="AT5" s="112">
        <f t="shared" si="46"/>
        <v>4054.47</v>
      </c>
      <c r="AU5" s="112">
        <f t="shared" si="47"/>
        <v>4388.68</v>
      </c>
      <c r="AV5" s="112">
        <f t="shared" si="48"/>
        <v>4900.78</v>
      </c>
      <c r="AX5" s="74" t="str">
        <f t="shared" si="49"/>
        <v>13Ü</v>
      </c>
      <c r="AY5" s="112" t="str">
        <f t="shared" si="50"/>
        <v>-</v>
      </c>
      <c r="AZ5" s="112">
        <f t="shared" si="51"/>
        <v>3630.72</v>
      </c>
      <c r="BA5" s="112">
        <f t="shared" si="52"/>
        <v>3824.39</v>
      </c>
      <c r="BB5" s="112">
        <f t="shared" si="53"/>
        <v>4161.91</v>
      </c>
      <c r="BC5" s="112">
        <f t="shared" si="54"/>
        <v>4504.9799999999996</v>
      </c>
      <c r="BD5" s="112">
        <f t="shared" si="55"/>
        <v>5030.6499999999996</v>
      </c>
      <c r="BF5" s="74" t="str">
        <f t="shared" si="56"/>
        <v>13Ü</v>
      </c>
      <c r="BG5" s="112" t="str">
        <f t="shared" si="57"/>
        <v>-</v>
      </c>
      <c r="BH5" s="112">
        <f t="shared" si="58"/>
        <v>3737.83</v>
      </c>
      <c r="BI5" s="112">
        <f t="shared" si="59"/>
        <v>3937.21</v>
      </c>
      <c r="BJ5" s="112">
        <f t="shared" si="60"/>
        <v>4284.6899999999996</v>
      </c>
      <c r="BK5" s="112">
        <f t="shared" si="61"/>
        <v>4637.88</v>
      </c>
      <c r="BL5" s="112">
        <f t="shared" si="62"/>
        <v>5179.05</v>
      </c>
      <c r="BN5" s="74" t="str">
        <f t="shared" si="63"/>
        <v>13Ü</v>
      </c>
      <c r="BO5" s="112" t="str">
        <f t="shared" si="64"/>
        <v>-</v>
      </c>
      <c r="BP5" s="112">
        <f t="shared" si="65"/>
        <v>3816.32</v>
      </c>
      <c r="BQ5" s="112">
        <f t="shared" si="66"/>
        <v>4019.89</v>
      </c>
      <c r="BR5" s="112">
        <f t="shared" si="67"/>
        <v>4374.67</v>
      </c>
      <c r="BS5" s="112">
        <f t="shared" si="68"/>
        <v>4735.28</v>
      </c>
      <c r="BT5" s="112">
        <f t="shared" si="69"/>
        <v>5287.81</v>
      </c>
      <c r="BV5" s="74" t="str">
        <f t="shared" si="70"/>
        <v>13Ü</v>
      </c>
      <c r="BW5" s="112" t="str">
        <f t="shared" si="71"/>
        <v>-</v>
      </c>
      <c r="BX5" s="112">
        <f t="shared" si="72"/>
        <v>3904.1</v>
      </c>
      <c r="BY5" s="112">
        <f t="shared" si="73"/>
        <v>4112.3500000000004</v>
      </c>
      <c r="BZ5" s="112">
        <f t="shared" si="74"/>
        <v>4475.29</v>
      </c>
      <c r="CA5" s="112">
        <f t="shared" si="75"/>
        <v>4844.1899999999996</v>
      </c>
      <c r="CB5" s="112">
        <f t="shared" si="76"/>
        <v>5409.43</v>
      </c>
      <c r="CD5" s="74" t="str">
        <f t="shared" si="25"/>
        <v>13Ü</v>
      </c>
      <c r="CE5" s="112">
        <f>IF(BX5="-","-",ROUND(BX5*$CE$23,2))</f>
        <v>3982.18</v>
      </c>
      <c r="CF5" s="112">
        <f>IF(BY5="-","-",ROUND(BY5*$CE$23,2))</f>
        <v>4194.6000000000004</v>
      </c>
      <c r="CG5" s="112">
        <f>IF(BZ5="-","-",ROUND(BZ5*$CE$23,2))</f>
        <v>4564.8</v>
      </c>
      <c r="CH5" s="112">
        <f>IF(CA5="-","-",ROUND(CA5*$CE$23,2))</f>
        <v>4941.07</v>
      </c>
      <c r="CI5" s="112">
        <f>IF(CB5="-","-",ROUND(CB5*$CE$23,2))</f>
        <v>5517.62</v>
      </c>
      <c r="CJ5" s="112" t="str">
        <f>"-"</f>
        <v>-</v>
      </c>
      <c r="CL5" s="74" t="str">
        <f t="shared" si="77"/>
        <v>13Ü</v>
      </c>
      <c r="CM5" s="112">
        <f t="shared" si="26"/>
        <v>4075.76</v>
      </c>
      <c r="CN5" s="112">
        <f t="shared" si="26"/>
        <v>4293.17</v>
      </c>
      <c r="CO5" s="112">
        <f t="shared" si="26"/>
        <v>4672.07</v>
      </c>
      <c r="CP5" s="112">
        <f t="shared" si="26"/>
        <v>5057.1899999999996</v>
      </c>
      <c r="CQ5" s="112">
        <f t="shared" si="26"/>
        <v>5647.28</v>
      </c>
      <c r="CR5" s="464">
        <v>5731.99</v>
      </c>
      <c r="CT5" s="74" t="str">
        <f t="shared" si="78"/>
        <v>13Ü</v>
      </c>
      <c r="CU5" s="112">
        <f t="shared" si="27"/>
        <v>4075.76</v>
      </c>
      <c r="CV5" s="112">
        <f t="shared" si="28"/>
        <v>4293.17</v>
      </c>
      <c r="CW5" s="112">
        <f t="shared" si="28"/>
        <v>4672.07</v>
      </c>
      <c r="CX5" s="112">
        <f t="shared" si="28"/>
        <v>5057.1899999999996</v>
      </c>
      <c r="CY5" s="112">
        <f t="shared" si="28"/>
        <v>5647.28</v>
      </c>
      <c r="CZ5" s="464">
        <v>5816.7</v>
      </c>
      <c r="DB5" s="74" t="str">
        <f t="shared" si="79"/>
        <v>13Ü</v>
      </c>
      <c r="DC5" s="112">
        <f t="shared" si="81"/>
        <v>4198.4399999999996</v>
      </c>
      <c r="DD5" s="112">
        <f t="shared" si="81"/>
        <v>4422.3900000000003</v>
      </c>
      <c r="DE5" s="112">
        <f t="shared" si="82"/>
        <v>4812.7</v>
      </c>
      <c r="DF5" s="112">
        <f t="shared" si="83"/>
        <v>5209.41</v>
      </c>
      <c r="DG5" s="112">
        <f t="shared" si="84"/>
        <v>5817.26</v>
      </c>
      <c r="DH5" s="112">
        <f t="shared" si="85"/>
        <v>5991.78</v>
      </c>
      <c r="DJ5" s="74" t="str">
        <f t="shared" si="86"/>
        <v>13Ü</v>
      </c>
      <c r="DK5" s="112">
        <f t="shared" si="88"/>
        <v>4329.43</v>
      </c>
      <c r="DL5" s="112">
        <f t="shared" si="88"/>
        <v>4560.37</v>
      </c>
      <c r="DM5" s="112">
        <f t="shared" si="89"/>
        <v>4962.8599999999997</v>
      </c>
      <c r="DN5" s="112">
        <f t="shared" si="90"/>
        <v>5371.94</v>
      </c>
      <c r="DO5" s="112">
        <f t="shared" si="91"/>
        <v>5998.76</v>
      </c>
      <c r="DP5" s="112">
        <f t="shared" si="92"/>
        <v>6178.72</v>
      </c>
      <c r="DR5" s="74" t="str">
        <f t="shared" si="93"/>
        <v>13Ü</v>
      </c>
      <c r="DS5" s="112">
        <f t="shared" si="95"/>
        <v>4385.28</v>
      </c>
      <c r="DT5" s="112">
        <f t="shared" si="95"/>
        <v>4619.2</v>
      </c>
      <c r="DU5" s="112">
        <f t="shared" si="96"/>
        <v>5026.88</v>
      </c>
      <c r="DV5" s="112">
        <f t="shared" si="97"/>
        <v>5441.24</v>
      </c>
      <c r="DW5" s="112">
        <f t="shared" si="98"/>
        <v>6076.14</v>
      </c>
      <c r="DX5" s="112">
        <f t="shared" si="99"/>
        <v>6258.43</v>
      </c>
    </row>
    <row r="6" spans="1:128">
      <c r="B6" s="74">
        <v>13</v>
      </c>
      <c r="C6" s="384">
        <v>2817</v>
      </c>
      <c r="D6" s="37">
        <v>3130</v>
      </c>
      <c r="E6" s="37">
        <v>3300</v>
      </c>
      <c r="F6" s="37">
        <v>3630</v>
      </c>
      <c r="G6" s="37">
        <v>4090</v>
      </c>
      <c r="H6" s="385" t="s">
        <v>15</v>
      </c>
      <c r="J6" s="74">
        <f t="shared" si="32"/>
        <v>13</v>
      </c>
      <c r="K6" s="112">
        <v>2900</v>
      </c>
      <c r="L6" s="112">
        <v>3225</v>
      </c>
      <c r="M6" s="112">
        <v>3400</v>
      </c>
      <c r="N6" s="112">
        <v>3740</v>
      </c>
      <c r="O6" s="112">
        <v>4210</v>
      </c>
      <c r="P6" s="112" t="s">
        <v>15</v>
      </c>
      <c r="R6" s="74">
        <f t="shared" si="33"/>
        <v>13</v>
      </c>
      <c r="S6" s="112">
        <f t="shared" si="15"/>
        <v>3028.2</v>
      </c>
      <c r="T6" s="112">
        <f t="shared" si="16"/>
        <v>3362.95</v>
      </c>
      <c r="U6" s="112">
        <f t="shared" si="16"/>
        <v>3543.2</v>
      </c>
      <c r="V6" s="112">
        <f t="shared" si="16"/>
        <v>3893.4</v>
      </c>
      <c r="W6" s="112">
        <f t="shared" si="16"/>
        <v>4377.5</v>
      </c>
      <c r="X6" s="112" t="str">
        <f t="shared" si="16"/>
        <v>-</v>
      </c>
      <c r="Z6" s="74">
        <f t="shared" si="34"/>
        <v>13</v>
      </c>
      <c r="AA6" s="112">
        <f t="shared" si="17"/>
        <v>3064.54</v>
      </c>
      <c r="AB6" s="112">
        <f t="shared" si="18"/>
        <v>3403.31</v>
      </c>
      <c r="AC6" s="112">
        <f t="shared" si="18"/>
        <v>3585.72</v>
      </c>
      <c r="AD6" s="112">
        <f t="shared" si="18"/>
        <v>3940.12</v>
      </c>
      <c r="AE6" s="112">
        <f t="shared" si="18"/>
        <v>4430.03</v>
      </c>
      <c r="AF6" s="112" t="str">
        <f t="shared" si="18"/>
        <v>-</v>
      </c>
      <c r="AH6" s="74">
        <f t="shared" si="35"/>
        <v>13</v>
      </c>
      <c r="AI6" s="112">
        <f t="shared" si="36"/>
        <v>3110.51</v>
      </c>
      <c r="AJ6" s="112">
        <f t="shared" si="37"/>
        <v>3454.36</v>
      </c>
      <c r="AK6" s="112">
        <f t="shared" si="38"/>
        <v>3639.51</v>
      </c>
      <c r="AL6" s="112">
        <f t="shared" si="39"/>
        <v>3999.22</v>
      </c>
      <c r="AM6" s="112">
        <f t="shared" si="40"/>
        <v>4496.4799999999996</v>
      </c>
      <c r="AN6" s="112" t="str">
        <f t="shared" si="41"/>
        <v>-</v>
      </c>
      <c r="AP6" s="74">
        <f t="shared" si="42"/>
        <v>13</v>
      </c>
      <c r="AQ6" s="112">
        <f t="shared" si="43"/>
        <v>3186.61</v>
      </c>
      <c r="AR6" s="112">
        <f t="shared" si="44"/>
        <v>3536.99</v>
      </c>
      <c r="AS6" s="112">
        <f t="shared" si="45"/>
        <v>3725.66</v>
      </c>
      <c r="AT6" s="112">
        <f t="shared" si="46"/>
        <v>4092.21</v>
      </c>
      <c r="AU6" s="112">
        <f t="shared" si="47"/>
        <v>4598.91</v>
      </c>
      <c r="AV6" s="112" t="str">
        <f t="shared" si="48"/>
        <v>-</v>
      </c>
      <c r="AX6" s="74">
        <f t="shared" si="49"/>
        <v>13</v>
      </c>
      <c r="AY6" s="112">
        <f t="shared" si="50"/>
        <v>3271.06</v>
      </c>
      <c r="AZ6" s="112">
        <f t="shared" si="51"/>
        <v>3630.72</v>
      </c>
      <c r="BA6" s="112">
        <f t="shared" si="52"/>
        <v>3824.39</v>
      </c>
      <c r="BB6" s="112">
        <f t="shared" si="53"/>
        <v>4200.6499999999996</v>
      </c>
      <c r="BC6" s="112">
        <f t="shared" si="54"/>
        <v>4720.78</v>
      </c>
      <c r="BD6" s="112" t="str">
        <f t="shared" si="55"/>
        <v>-</v>
      </c>
      <c r="BF6" s="74">
        <f t="shared" si="56"/>
        <v>13</v>
      </c>
      <c r="BG6" s="112">
        <f t="shared" si="57"/>
        <v>3367.56</v>
      </c>
      <c r="BH6" s="112">
        <f t="shared" si="58"/>
        <v>3737.83</v>
      </c>
      <c r="BI6" s="112">
        <f t="shared" si="59"/>
        <v>3937.21</v>
      </c>
      <c r="BJ6" s="112">
        <f t="shared" si="60"/>
        <v>4324.57</v>
      </c>
      <c r="BK6" s="112">
        <f t="shared" si="61"/>
        <v>4860.04</v>
      </c>
      <c r="BL6" s="112" t="str">
        <f t="shared" si="62"/>
        <v>-</v>
      </c>
      <c r="BN6" s="74">
        <f t="shared" si="63"/>
        <v>13</v>
      </c>
      <c r="BO6" s="112">
        <f t="shared" si="64"/>
        <v>3438.28</v>
      </c>
      <c r="BP6" s="112">
        <f t="shared" si="65"/>
        <v>3816.32</v>
      </c>
      <c r="BQ6" s="112">
        <f t="shared" si="66"/>
        <v>4019.89</v>
      </c>
      <c r="BR6" s="112">
        <f t="shared" si="67"/>
        <v>4415.3900000000003</v>
      </c>
      <c r="BS6" s="112">
        <f t="shared" si="68"/>
        <v>4962.1000000000004</v>
      </c>
      <c r="BT6" s="112" t="str">
        <f t="shared" si="69"/>
        <v>-</v>
      </c>
      <c r="BV6" s="74">
        <f t="shared" si="70"/>
        <v>13</v>
      </c>
      <c r="BW6" s="112">
        <f t="shared" si="71"/>
        <v>3517.36</v>
      </c>
      <c r="BX6" s="112">
        <f t="shared" si="72"/>
        <v>3904.1</v>
      </c>
      <c r="BY6" s="112">
        <f t="shared" si="73"/>
        <v>4112.3500000000004</v>
      </c>
      <c r="BZ6" s="112">
        <f t="shared" si="74"/>
        <v>4516.9399999999996</v>
      </c>
      <c r="CA6" s="112">
        <f t="shared" si="75"/>
        <v>5076.2299999999996</v>
      </c>
      <c r="CB6" s="112" t="str">
        <f t="shared" si="76"/>
        <v>-</v>
      </c>
      <c r="CD6" s="74">
        <f t="shared" si="25"/>
        <v>13</v>
      </c>
      <c r="CE6" s="112">
        <f>IF(BW6="-","-",IF(BW6&gt;3200,ROUND(BW6*$CE$23,2),IF(ROUND(BW6*$CE$23,2)-BW6&lt;'L Tab'!$CE$21,BW6+$CE$21,ROUND(BW6*$CE$23,2))))</f>
        <v>3587.71</v>
      </c>
      <c r="CF6" s="112">
        <f>IF(BX6="-","-",IF(BX6&gt;3200,ROUND(BX6*$CE$23,2),IF(ROUND(BX6*$CE$23,2)-BX6&lt;'L Tab'!$CE$21,BX6+$CE$21,ROUND(BX6*$CE$23,2))))</f>
        <v>3982.18</v>
      </c>
      <c r="CG6" s="112">
        <f>IF(BY6="-","-",IF(BY6&gt;3200,ROUND(BY6*$CE$23,2),IF(ROUND(BY6*$CE$23,2)-BY6&lt;'L Tab'!$CE$21,BY6+$CE$21,ROUND(BY6*$CE$23,2))))</f>
        <v>4194.6000000000004</v>
      </c>
      <c r="CH6" s="112">
        <f>IF(BZ6="-","-",IF(BZ6&gt;3200,ROUND(BZ6*$CE$23,2),IF(ROUND(BZ6*$CE$23,2)-BZ6&lt;'L Tab'!$CE$21,BZ6+$CE$21,ROUND(BZ6*$CE$23,2))))</f>
        <v>4607.28</v>
      </c>
      <c r="CI6" s="112">
        <f>IF(CA6="-","-",IF(CA6&gt;3200,ROUND(CA6*$CE$23,2),IF(ROUND(CA6*$CE$23,2)-CA6&lt;'L Tab'!$CE$21,CA6+$CE$21,ROUND(CA6*$CE$23,2))))</f>
        <v>5177.75</v>
      </c>
      <c r="CJ6" s="112" t="str">
        <f>IF(CB6="-","-",IF(CB6&gt;3200,ROUND(CB6*$CE$23,2),IF(ROUND(CB6*$CE$23,2)-CB6&lt;'L Tab'!$CE$21,CB6+$CE$21,ROUND(CB6*$CE$23,2))))</f>
        <v>-</v>
      </c>
      <c r="CL6" s="74">
        <f t="shared" si="77"/>
        <v>13</v>
      </c>
      <c r="CM6" s="112">
        <f t="shared" si="26"/>
        <v>3672.02</v>
      </c>
      <c r="CN6" s="112">
        <f t="shared" si="26"/>
        <v>4075.76</v>
      </c>
      <c r="CO6" s="112">
        <f t="shared" si="26"/>
        <v>4293.17</v>
      </c>
      <c r="CP6" s="112">
        <f t="shared" si="26"/>
        <v>4715.55</v>
      </c>
      <c r="CQ6" s="112">
        <f t="shared" si="26"/>
        <v>5299.43</v>
      </c>
      <c r="CR6" s="464">
        <v>5378.92</v>
      </c>
      <c r="CT6" s="74">
        <f t="shared" si="78"/>
        <v>13</v>
      </c>
      <c r="CU6" s="112">
        <f t="shared" si="27"/>
        <v>3672.02</v>
      </c>
      <c r="CV6" s="112">
        <f t="shared" si="28"/>
        <v>4075.76</v>
      </c>
      <c r="CW6" s="112">
        <f t="shared" si="28"/>
        <v>4293.17</v>
      </c>
      <c r="CX6" s="112">
        <f t="shared" si="28"/>
        <v>4715.55</v>
      </c>
      <c r="CY6" s="112">
        <f t="shared" si="28"/>
        <v>5299.43</v>
      </c>
      <c r="CZ6" s="464">
        <v>5458.41</v>
      </c>
      <c r="DB6" s="74">
        <f t="shared" si="79"/>
        <v>13</v>
      </c>
      <c r="DC6" s="112">
        <f t="shared" si="80"/>
        <v>3837.26</v>
      </c>
      <c r="DD6" s="112">
        <f t="shared" si="81"/>
        <v>4198.4399999999996</v>
      </c>
      <c r="DE6" s="112">
        <f t="shared" si="82"/>
        <v>4422.3900000000003</v>
      </c>
      <c r="DF6" s="112">
        <f t="shared" si="83"/>
        <v>4857.49</v>
      </c>
      <c r="DG6" s="112">
        <f t="shared" si="84"/>
        <v>5458.94</v>
      </c>
      <c r="DH6" s="112">
        <f t="shared" si="85"/>
        <v>5622.71</v>
      </c>
      <c r="DJ6" s="74">
        <f t="shared" si="86"/>
        <v>13</v>
      </c>
      <c r="DK6" s="112">
        <f t="shared" si="87"/>
        <v>4002.26</v>
      </c>
      <c r="DL6" s="112">
        <f t="shared" si="88"/>
        <v>4329.43</v>
      </c>
      <c r="DM6" s="112">
        <f t="shared" si="89"/>
        <v>4560.37</v>
      </c>
      <c r="DN6" s="112">
        <f t="shared" si="90"/>
        <v>5009.04</v>
      </c>
      <c r="DO6" s="112">
        <f t="shared" si="91"/>
        <v>5629.26</v>
      </c>
      <c r="DP6" s="112">
        <f t="shared" si="92"/>
        <v>5798.14</v>
      </c>
      <c r="DR6" s="74">
        <f t="shared" si="93"/>
        <v>13</v>
      </c>
      <c r="DS6" s="112">
        <f t="shared" si="94"/>
        <v>4074.3</v>
      </c>
      <c r="DT6" s="112">
        <f t="shared" si="95"/>
        <v>4385.28</v>
      </c>
      <c r="DU6" s="112">
        <f t="shared" si="96"/>
        <v>4619.2</v>
      </c>
      <c r="DV6" s="112">
        <f t="shared" si="97"/>
        <v>5073.66</v>
      </c>
      <c r="DW6" s="112">
        <f t="shared" si="98"/>
        <v>5701.88</v>
      </c>
      <c r="DX6" s="112">
        <f t="shared" si="99"/>
        <v>5872.94</v>
      </c>
    </row>
    <row r="7" spans="1:128">
      <c r="B7" s="74">
        <v>12</v>
      </c>
      <c r="C7" s="384">
        <v>2520</v>
      </c>
      <c r="D7" s="37">
        <v>2800</v>
      </c>
      <c r="E7" s="37">
        <v>3200</v>
      </c>
      <c r="F7" s="37">
        <v>3550</v>
      </c>
      <c r="G7" s="37">
        <v>4000</v>
      </c>
      <c r="H7" s="385" t="s">
        <v>15</v>
      </c>
      <c r="J7" s="74">
        <f t="shared" si="32"/>
        <v>12</v>
      </c>
      <c r="K7" s="112">
        <v>2595</v>
      </c>
      <c r="L7" s="112">
        <v>2885</v>
      </c>
      <c r="M7" s="112">
        <v>3295</v>
      </c>
      <c r="N7" s="112">
        <v>3655</v>
      </c>
      <c r="O7" s="112">
        <v>4120</v>
      </c>
      <c r="P7" s="112" t="s">
        <v>15</v>
      </c>
      <c r="R7" s="74">
        <f t="shared" si="33"/>
        <v>12</v>
      </c>
      <c r="S7" s="112">
        <f t="shared" si="15"/>
        <v>2714.05</v>
      </c>
      <c r="T7" s="112">
        <f t="shared" si="16"/>
        <v>3012.75</v>
      </c>
      <c r="U7" s="112">
        <f t="shared" si="16"/>
        <v>3435.05</v>
      </c>
      <c r="V7" s="112">
        <f t="shared" si="16"/>
        <v>3805.85</v>
      </c>
      <c r="W7" s="112">
        <f t="shared" si="16"/>
        <v>4284.8</v>
      </c>
      <c r="X7" s="112" t="str">
        <f t="shared" si="16"/>
        <v>-</v>
      </c>
      <c r="Z7" s="74">
        <f t="shared" si="34"/>
        <v>12</v>
      </c>
      <c r="AA7" s="112">
        <f t="shared" si="17"/>
        <v>2746.62</v>
      </c>
      <c r="AB7" s="112">
        <f t="shared" si="18"/>
        <v>3048.9</v>
      </c>
      <c r="AC7" s="112">
        <f t="shared" si="18"/>
        <v>3476.27</v>
      </c>
      <c r="AD7" s="112">
        <f t="shared" si="18"/>
        <v>3851.52</v>
      </c>
      <c r="AE7" s="112">
        <f t="shared" si="18"/>
        <v>4336.22</v>
      </c>
      <c r="AF7" s="112" t="str">
        <f t="shared" si="18"/>
        <v>-</v>
      </c>
      <c r="AH7" s="74">
        <f t="shared" si="35"/>
        <v>12</v>
      </c>
      <c r="AI7" s="112">
        <f t="shared" si="36"/>
        <v>2787.82</v>
      </c>
      <c r="AJ7" s="112">
        <f t="shared" si="37"/>
        <v>3094.63</v>
      </c>
      <c r="AK7" s="112">
        <f t="shared" si="38"/>
        <v>3528.41</v>
      </c>
      <c r="AL7" s="112">
        <f t="shared" si="39"/>
        <v>3909.29</v>
      </c>
      <c r="AM7" s="112">
        <f t="shared" si="40"/>
        <v>4401.26</v>
      </c>
      <c r="AN7" s="112" t="str">
        <f t="shared" si="41"/>
        <v>-</v>
      </c>
      <c r="AP7" s="74">
        <f t="shared" si="42"/>
        <v>12</v>
      </c>
      <c r="AQ7" s="112">
        <f t="shared" si="43"/>
        <v>2857.79</v>
      </c>
      <c r="AR7" s="112">
        <f t="shared" si="44"/>
        <v>3170.43</v>
      </c>
      <c r="AS7" s="112">
        <f t="shared" si="45"/>
        <v>3612.45</v>
      </c>
      <c r="AT7" s="112">
        <f t="shared" si="46"/>
        <v>4000.57</v>
      </c>
      <c r="AU7" s="112">
        <f t="shared" si="47"/>
        <v>4501.88</v>
      </c>
      <c r="AV7" s="112" t="str">
        <f t="shared" si="48"/>
        <v>-</v>
      </c>
      <c r="AX7" s="74">
        <f t="shared" si="49"/>
        <v>12</v>
      </c>
      <c r="AY7" s="112">
        <f t="shared" si="50"/>
        <v>2933.52</v>
      </c>
      <c r="AZ7" s="112">
        <f t="shared" si="51"/>
        <v>3254.45</v>
      </c>
      <c r="BA7" s="112">
        <f t="shared" si="52"/>
        <v>3708.18</v>
      </c>
      <c r="BB7" s="112">
        <f t="shared" si="53"/>
        <v>4106.59</v>
      </c>
      <c r="BC7" s="112">
        <f t="shared" si="54"/>
        <v>4621.18</v>
      </c>
      <c r="BD7" s="112" t="str">
        <f t="shared" si="55"/>
        <v>-</v>
      </c>
      <c r="BF7" s="74">
        <f t="shared" si="56"/>
        <v>12</v>
      </c>
      <c r="BG7" s="112">
        <f t="shared" si="57"/>
        <v>3020.06</v>
      </c>
      <c r="BH7" s="112">
        <f t="shared" si="58"/>
        <v>3350.46</v>
      </c>
      <c r="BI7" s="112">
        <f t="shared" si="59"/>
        <v>3817.57</v>
      </c>
      <c r="BJ7" s="112">
        <f t="shared" si="60"/>
        <v>4227.7299999999996</v>
      </c>
      <c r="BK7" s="112">
        <f t="shared" si="61"/>
        <v>4757.5</v>
      </c>
      <c r="BL7" s="112" t="str">
        <f t="shared" si="62"/>
        <v>-</v>
      </c>
      <c r="BN7" s="74">
        <f t="shared" si="63"/>
        <v>12</v>
      </c>
      <c r="BO7" s="112">
        <f t="shared" si="64"/>
        <v>3083.48</v>
      </c>
      <c r="BP7" s="112">
        <f t="shared" si="65"/>
        <v>3420.82</v>
      </c>
      <c r="BQ7" s="112">
        <f t="shared" si="66"/>
        <v>3897.74</v>
      </c>
      <c r="BR7" s="112">
        <f t="shared" si="67"/>
        <v>4316.51</v>
      </c>
      <c r="BS7" s="112">
        <f t="shared" si="68"/>
        <v>4857.41</v>
      </c>
      <c r="BT7" s="112" t="str">
        <f t="shared" si="69"/>
        <v>-</v>
      </c>
      <c r="BV7" s="74">
        <f t="shared" si="70"/>
        <v>12</v>
      </c>
      <c r="BW7" s="112">
        <f>IF(BO7="-","-",IF(AND($BW$21=0,$BW$22=0),ROUND(BO7*$BW$23,2),IF(AND($BW$21&gt;0,$BW$22=0,(((BO7*$BW$23)-BO7)&lt;$BW$21)),BO7+$BW$21,IF(AND($BW$21&gt;0,$BW$22=0,(((BO7*$BW$23)-BO7)&gt;=$BW$21)),ROUND(BO7*$BW$23,2),IF(AND($BW$22&gt;0,$CA$22=1),ROUND((BO7+$BW$22)*$BW$23,2),IF(AND($BW$22&gt;0,$CA$22=2),ROUND(BO7*$BW$23,2)+$BW$22))))))</f>
        <v>3158.48</v>
      </c>
      <c r="BX7" s="112">
        <f t="shared" si="72"/>
        <v>3499.5</v>
      </c>
      <c r="BY7" s="112">
        <f t="shared" si="73"/>
        <v>3987.39</v>
      </c>
      <c r="BZ7" s="112">
        <f t="shared" si="74"/>
        <v>4415.79</v>
      </c>
      <c r="CA7" s="112">
        <f t="shared" si="75"/>
        <v>4969.13</v>
      </c>
      <c r="CB7" s="112" t="str">
        <f t="shared" si="76"/>
        <v>-</v>
      </c>
      <c r="CD7" s="74">
        <f t="shared" si="25"/>
        <v>12</v>
      </c>
      <c r="CE7" s="465">
        <f>IF(BW7="-","-",IF(BW7&gt;3200,ROUND(BW7*$CE$23,2),IF(ROUND(BW7*$CE$23,2)-BW7&lt;'L Tab'!$CE$21,BW7+$CE$21,ROUND(BW7*$CE$23,2))))</f>
        <v>3233.48</v>
      </c>
      <c r="CF7" s="112">
        <f>IF(BX7="-","-",IF(BX7&gt;3200,ROUND(BX7*$CE$23,2),IF(ROUND(BX7*$CE$23,2)-BX7&lt;'L Tab'!$CE$21,BX7+$CE$21,ROUND(BX7*$CE$23,2))))</f>
        <v>3569.49</v>
      </c>
      <c r="CG7" s="112">
        <f>IF(BY7="-","-",IF(BY7&gt;3200,ROUND(BY7*$CE$23,2),IF(ROUND(BY7*$CE$23,2)-BY7&lt;'L Tab'!$CE$21,BY7+$CE$21,ROUND(BY7*$CE$23,2))))</f>
        <v>4067.14</v>
      </c>
      <c r="CH7" s="112">
        <f>IF(BZ7="-","-",IF(BZ7&gt;3200,ROUND(BZ7*$CE$23,2),IF(ROUND(BZ7*$CE$23,2)-BZ7&lt;'L Tab'!$CE$21,BZ7+$CE$21,ROUND(BZ7*$CE$23,2))))</f>
        <v>4504.1099999999997</v>
      </c>
      <c r="CI7" s="112">
        <f>IF(CA7="-","-",IF(CA7&gt;3200,ROUND(CA7*$CE$23,2),IF(ROUND(CA7*$CE$23,2)-CA7&lt;'L Tab'!$CE$21,CA7+$CE$21,ROUND(CA7*$CE$23,2))))</f>
        <v>5068.51</v>
      </c>
      <c r="CJ7" s="112" t="str">
        <f>IF(CB7="-","-",IF(CB7&gt;3200,ROUND(CB7*$CE$23,2),IF(ROUND(CB7*$CE$23,2)-CB7&lt;'L Tab'!$CE$21,CB7+$CE$21,ROUND(CB7*$CE$23,2))))</f>
        <v>-</v>
      </c>
      <c r="CL7" s="74">
        <f t="shared" si="77"/>
        <v>12</v>
      </c>
      <c r="CM7" s="112">
        <f t="shared" si="26"/>
        <v>3309.47</v>
      </c>
      <c r="CN7" s="112">
        <f t="shared" si="26"/>
        <v>3653.37</v>
      </c>
      <c r="CO7" s="112">
        <f t="shared" si="26"/>
        <v>4162.72</v>
      </c>
      <c r="CP7" s="112">
        <f t="shared" si="26"/>
        <v>4609.96</v>
      </c>
      <c r="CQ7" s="112">
        <f t="shared" si="26"/>
        <v>5187.62</v>
      </c>
      <c r="CR7" s="464">
        <v>5265.44</v>
      </c>
      <c r="CT7" s="74">
        <f t="shared" si="78"/>
        <v>12</v>
      </c>
      <c r="CU7" s="112">
        <f t="shared" si="27"/>
        <v>3309.47</v>
      </c>
      <c r="CV7" s="112">
        <f t="shared" si="28"/>
        <v>3653.37</v>
      </c>
      <c r="CW7" s="112">
        <f t="shared" si="28"/>
        <v>4162.72</v>
      </c>
      <c r="CX7" s="112">
        <f t="shared" si="28"/>
        <v>4609.96</v>
      </c>
      <c r="CY7" s="112">
        <f t="shared" si="28"/>
        <v>5187.62</v>
      </c>
      <c r="CZ7" s="464">
        <v>5343.25</v>
      </c>
      <c r="DB7" s="74">
        <f t="shared" si="79"/>
        <v>12</v>
      </c>
      <c r="DC7" s="112">
        <f t="shared" si="80"/>
        <v>3458.4</v>
      </c>
      <c r="DD7" s="112">
        <f t="shared" si="81"/>
        <v>3763.34</v>
      </c>
      <c r="DE7" s="112">
        <f t="shared" si="82"/>
        <v>4288.0200000000004</v>
      </c>
      <c r="DF7" s="112">
        <f t="shared" si="83"/>
        <v>4748.72</v>
      </c>
      <c r="DG7" s="112">
        <f t="shared" si="84"/>
        <v>5343.77</v>
      </c>
      <c r="DH7" s="112">
        <f t="shared" si="85"/>
        <v>5504.08</v>
      </c>
      <c r="DJ7" s="74">
        <f t="shared" si="86"/>
        <v>12</v>
      </c>
      <c r="DK7" s="112">
        <f t="shared" si="87"/>
        <v>3607.11</v>
      </c>
      <c r="DL7" s="112">
        <f t="shared" si="88"/>
        <v>3880.76</v>
      </c>
      <c r="DM7" s="112">
        <f t="shared" si="89"/>
        <v>4421.8100000000004</v>
      </c>
      <c r="DN7" s="112">
        <f t="shared" si="90"/>
        <v>4896.88</v>
      </c>
      <c r="DO7" s="112">
        <f t="shared" si="91"/>
        <v>5510.5</v>
      </c>
      <c r="DP7" s="112">
        <f t="shared" si="92"/>
        <v>5675.81</v>
      </c>
      <c r="DR7" s="74">
        <f t="shared" si="93"/>
        <v>12</v>
      </c>
      <c r="DS7" s="112">
        <f t="shared" si="94"/>
        <v>3672.04</v>
      </c>
      <c r="DT7" s="112">
        <f t="shared" si="95"/>
        <v>3930.82</v>
      </c>
      <c r="DU7" s="112">
        <f t="shared" si="96"/>
        <v>4478.8500000000004</v>
      </c>
      <c r="DV7" s="112">
        <f t="shared" si="97"/>
        <v>4960.05</v>
      </c>
      <c r="DW7" s="112">
        <f t="shared" si="98"/>
        <v>5581.59</v>
      </c>
      <c r="DX7" s="112">
        <f t="shared" si="99"/>
        <v>5749.03</v>
      </c>
    </row>
    <row r="8" spans="1:128">
      <c r="B8" s="74">
        <v>11</v>
      </c>
      <c r="C8" s="384">
        <v>2430</v>
      </c>
      <c r="D8" s="37">
        <v>2700</v>
      </c>
      <c r="E8" s="37">
        <v>2900</v>
      </c>
      <c r="F8" s="37">
        <v>3200</v>
      </c>
      <c r="G8" s="37">
        <v>3635</v>
      </c>
      <c r="H8" s="385" t="s">
        <v>15</v>
      </c>
      <c r="J8" s="74">
        <f t="shared" si="32"/>
        <v>11</v>
      </c>
      <c r="K8" s="112">
        <v>2505</v>
      </c>
      <c r="L8" s="112">
        <v>2780</v>
      </c>
      <c r="M8" s="112">
        <v>2985</v>
      </c>
      <c r="N8" s="112">
        <v>3295</v>
      </c>
      <c r="O8" s="112">
        <v>3745</v>
      </c>
      <c r="P8" s="112" t="s">
        <v>15</v>
      </c>
      <c r="R8" s="74">
        <f t="shared" si="33"/>
        <v>11</v>
      </c>
      <c r="S8" s="112">
        <f t="shared" si="15"/>
        <v>2621.35</v>
      </c>
      <c r="T8" s="112">
        <f t="shared" si="16"/>
        <v>2904.6</v>
      </c>
      <c r="U8" s="112">
        <f t="shared" si="16"/>
        <v>3115.75</v>
      </c>
      <c r="V8" s="112">
        <f t="shared" si="16"/>
        <v>3435.05</v>
      </c>
      <c r="W8" s="112">
        <f t="shared" si="16"/>
        <v>3898.55</v>
      </c>
      <c r="X8" s="112" t="str">
        <f t="shared" si="16"/>
        <v>-</v>
      </c>
      <c r="Z8" s="74">
        <f t="shared" si="34"/>
        <v>11</v>
      </c>
      <c r="AA8" s="112">
        <f t="shared" si="17"/>
        <v>2652.81</v>
      </c>
      <c r="AB8" s="112">
        <f t="shared" si="18"/>
        <v>2939.46</v>
      </c>
      <c r="AC8" s="112">
        <f t="shared" si="18"/>
        <v>3153.14</v>
      </c>
      <c r="AD8" s="112">
        <f t="shared" si="18"/>
        <v>3476.27</v>
      </c>
      <c r="AE8" s="112">
        <f t="shared" si="18"/>
        <v>3945.33</v>
      </c>
      <c r="AF8" s="112" t="str">
        <f t="shared" si="18"/>
        <v>-</v>
      </c>
      <c r="AH8" s="74">
        <f t="shared" si="35"/>
        <v>11</v>
      </c>
      <c r="AI8" s="112">
        <f t="shared" si="36"/>
        <v>2692.6</v>
      </c>
      <c r="AJ8" s="112">
        <f t="shared" si="37"/>
        <v>2983.55</v>
      </c>
      <c r="AK8" s="112">
        <f t="shared" si="38"/>
        <v>3200.44</v>
      </c>
      <c r="AL8" s="112">
        <f t="shared" si="39"/>
        <v>3528.41</v>
      </c>
      <c r="AM8" s="112">
        <f t="shared" si="40"/>
        <v>4004.51</v>
      </c>
      <c r="AN8" s="112" t="str">
        <f t="shared" si="41"/>
        <v>-</v>
      </c>
      <c r="AP8" s="74">
        <f t="shared" si="42"/>
        <v>11</v>
      </c>
      <c r="AQ8" s="112">
        <f t="shared" si="43"/>
        <v>2760.76</v>
      </c>
      <c r="AR8" s="112">
        <f t="shared" si="44"/>
        <v>3057.24</v>
      </c>
      <c r="AS8" s="112">
        <f t="shared" si="45"/>
        <v>3278.25</v>
      </c>
      <c r="AT8" s="112">
        <f t="shared" si="46"/>
        <v>3612.45</v>
      </c>
      <c r="AU8" s="112">
        <f t="shared" si="47"/>
        <v>4097.6000000000004</v>
      </c>
      <c r="AV8" s="112" t="str">
        <f t="shared" si="48"/>
        <v>-</v>
      </c>
      <c r="AX8" s="74">
        <f t="shared" si="49"/>
        <v>11</v>
      </c>
      <c r="AY8" s="112">
        <f t="shared" si="50"/>
        <v>2833.92</v>
      </c>
      <c r="AZ8" s="112">
        <f t="shared" si="51"/>
        <v>3138.26</v>
      </c>
      <c r="BA8" s="112">
        <f t="shared" si="52"/>
        <v>3365.12</v>
      </c>
      <c r="BB8" s="112">
        <f t="shared" si="53"/>
        <v>3708.18</v>
      </c>
      <c r="BC8" s="112">
        <f t="shared" si="54"/>
        <v>4206.1899999999996</v>
      </c>
      <c r="BD8" s="112" t="str">
        <f t="shared" si="55"/>
        <v>-</v>
      </c>
      <c r="BF8" s="74">
        <f t="shared" si="56"/>
        <v>11</v>
      </c>
      <c r="BG8" s="112">
        <f t="shared" si="57"/>
        <v>2917.52</v>
      </c>
      <c r="BH8" s="112">
        <f t="shared" si="58"/>
        <v>3230.84</v>
      </c>
      <c r="BI8" s="112">
        <f t="shared" si="59"/>
        <v>3464.39</v>
      </c>
      <c r="BJ8" s="112">
        <f t="shared" si="60"/>
        <v>3817.57</v>
      </c>
      <c r="BK8" s="112">
        <f t="shared" si="61"/>
        <v>4330.2700000000004</v>
      </c>
      <c r="BL8" s="112" t="str">
        <f t="shared" si="62"/>
        <v>-</v>
      </c>
      <c r="BN8" s="74">
        <f t="shared" si="63"/>
        <v>11</v>
      </c>
      <c r="BO8" s="112">
        <f t="shared" si="64"/>
        <v>2978.79</v>
      </c>
      <c r="BP8" s="112">
        <f t="shared" si="65"/>
        <v>3298.69</v>
      </c>
      <c r="BQ8" s="112">
        <f t="shared" si="66"/>
        <v>3537.14</v>
      </c>
      <c r="BR8" s="112">
        <f t="shared" si="67"/>
        <v>3897.74</v>
      </c>
      <c r="BS8" s="112">
        <f t="shared" si="68"/>
        <v>4421.21</v>
      </c>
      <c r="BT8" s="112" t="str">
        <f t="shared" si="69"/>
        <v>-</v>
      </c>
      <c r="BV8" s="74">
        <f t="shared" si="70"/>
        <v>11</v>
      </c>
      <c r="BW8" s="112">
        <f t="shared" si="71"/>
        <v>3053.79</v>
      </c>
      <c r="BX8" s="112">
        <f t="shared" si="72"/>
        <v>3374.56</v>
      </c>
      <c r="BY8" s="112">
        <f t="shared" si="73"/>
        <v>3618.49</v>
      </c>
      <c r="BZ8" s="112">
        <f>IF(BR8="-","-",IF(AND($BW$21=0,$BW$22=0),ROUND(BR8*$BW$23,2),IF(AND($BW$21&gt;0,$BW$22=0,(((BR8*$BW$23)-BR8)&lt;$BW$21)),BR8+$BW$21,IF(AND($BW$21&gt;0,$BW$22=0,(((BR8*$BW$23)-BR8)&gt;=$BW$21)),ROUND(BR8*$BW$23,2),IF(AND($BW$22&gt;0,$CA$22=1),ROUND((BR8+$BW$22)*$BW$23,2),IF(AND($BW$22&gt;0,$CA$22=2),ROUND(BR8*$BW$23,2)+$BW$22))))))</f>
        <v>3987.39</v>
      </c>
      <c r="CA8" s="112">
        <f t="shared" si="75"/>
        <v>4522.8999999999996</v>
      </c>
      <c r="CB8" s="112" t="str">
        <f t="shared" si="76"/>
        <v>-</v>
      </c>
      <c r="CD8" s="74">
        <f t="shared" si="25"/>
        <v>11</v>
      </c>
      <c r="CE8" s="465">
        <f>IF(BW8="-","-",IF(BW8&gt;3200,ROUND(BW8*$CE$23,2),IF(ROUND(BW8*$CE$23,2)-BW8&lt;'L Tab'!$CE$21,BW8+$CE$21,ROUND(BW8*$CE$23,2))))</f>
        <v>3128.79</v>
      </c>
      <c r="CF8" s="112">
        <f>IF(BX8="-","-",IF(BX8&gt;3200,ROUND(BX8*$CE$23,2),IF(ROUND(BX8*$CE$23,2)-BX8&lt;'L Tab'!$CE$21,BX8+$CE$21,ROUND(BX8*$CE$23,2))))</f>
        <v>3442.05</v>
      </c>
      <c r="CG8" s="112">
        <f>IF(BY8="-","-",IF(BY8&gt;3200,ROUND(BY8*$CE$23,2),IF(ROUND(BY8*$CE$23,2)-BY8&lt;'L Tab'!$CE$21,BY8+$CE$21,ROUND(BY8*$CE$23,2))))</f>
        <v>3690.86</v>
      </c>
      <c r="CH8" s="112">
        <f>IF(BZ8="-","-",IF(BZ8&gt;3200,ROUND(BZ8*$CE$23,2),IF(ROUND(BZ8*$CE$23,2)-BZ8&lt;'L Tab'!$CE$21,BZ8+$CE$21,ROUND(BZ8*$CE$23,2))))</f>
        <v>4067.14</v>
      </c>
      <c r="CI8" s="112">
        <f>IF(CA8="-","-",IF(CA8&gt;3200,ROUND(CA8*$CE$23,2),IF(ROUND(CA8*$CE$23,2)-CA8&lt;'L Tab'!$CE$21,CA8+$CE$21,ROUND(CA8*$CE$23,2))))</f>
        <v>4613.3599999999997</v>
      </c>
      <c r="CJ8" s="112" t="str">
        <f>IF(CB8="-","-",IF(CB8&gt;3200,ROUND(CB8*$CE$23,2),IF(ROUND(CB8*$CE$23,2)-CB8&lt;'L Tab'!$CE$21,CB8+$CE$21,ROUND(CB8*$CE$23,2))))</f>
        <v>-</v>
      </c>
      <c r="CL8" s="74">
        <f t="shared" si="77"/>
        <v>11</v>
      </c>
      <c r="CM8" s="112">
        <f t="shared" si="26"/>
        <v>3202.32</v>
      </c>
      <c r="CN8" s="112">
        <f t="shared" si="26"/>
        <v>3522.94</v>
      </c>
      <c r="CO8" s="112">
        <f t="shared" si="26"/>
        <v>3777.6</v>
      </c>
      <c r="CP8" s="112">
        <f t="shared" si="26"/>
        <v>4162.72</v>
      </c>
      <c r="CQ8" s="112">
        <f t="shared" si="26"/>
        <v>4721.7700000000004</v>
      </c>
      <c r="CR8" s="464">
        <v>4792.59</v>
      </c>
      <c r="CT8" s="74">
        <f t="shared" si="78"/>
        <v>11</v>
      </c>
      <c r="CU8" s="112">
        <f t="shared" si="27"/>
        <v>3202.32</v>
      </c>
      <c r="CV8" s="112">
        <f t="shared" si="28"/>
        <v>3522.94</v>
      </c>
      <c r="CW8" s="112">
        <f t="shared" si="28"/>
        <v>3777.6</v>
      </c>
      <c r="CX8" s="112">
        <f t="shared" si="28"/>
        <v>4162.72</v>
      </c>
      <c r="CY8" s="112">
        <f t="shared" si="28"/>
        <v>4721.7700000000004</v>
      </c>
      <c r="CZ8" s="464">
        <v>4863.42</v>
      </c>
      <c r="DB8" s="74">
        <f t="shared" si="79"/>
        <v>11</v>
      </c>
      <c r="DC8" s="112">
        <f t="shared" si="80"/>
        <v>3346.42</v>
      </c>
      <c r="DD8" s="112">
        <f t="shared" si="81"/>
        <v>3628.98</v>
      </c>
      <c r="DE8" s="112">
        <f t="shared" si="82"/>
        <v>3891.31</v>
      </c>
      <c r="DF8" s="112">
        <f t="shared" si="83"/>
        <v>4288.0200000000004</v>
      </c>
      <c r="DG8" s="112">
        <f t="shared" si="84"/>
        <v>4863.8999999999996</v>
      </c>
      <c r="DH8" s="112">
        <f t="shared" si="85"/>
        <v>5009.8100000000004</v>
      </c>
      <c r="DJ8" s="74">
        <f t="shared" si="86"/>
        <v>11</v>
      </c>
      <c r="DK8" s="112">
        <f t="shared" si="87"/>
        <v>3490.32</v>
      </c>
      <c r="DL8" s="112">
        <f t="shared" si="88"/>
        <v>3742.2</v>
      </c>
      <c r="DM8" s="112">
        <f t="shared" si="89"/>
        <v>4012.72</v>
      </c>
      <c r="DN8" s="112">
        <f t="shared" si="90"/>
        <v>4421.8100000000004</v>
      </c>
      <c r="DO8" s="112">
        <f t="shared" si="91"/>
        <v>5015.6499999999996</v>
      </c>
      <c r="DP8" s="112">
        <f t="shared" si="92"/>
        <v>5166.12</v>
      </c>
      <c r="DR8" s="74">
        <f t="shared" si="93"/>
        <v>11</v>
      </c>
      <c r="DS8" s="112">
        <f t="shared" si="94"/>
        <v>3553.15</v>
      </c>
      <c r="DT8" s="112">
        <f t="shared" si="95"/>
        <v>3792.2</v>
      </c>
      <c r="DU8" s="112">
        <f t="shared" si="96"/>
        <v>4064.48</v>
      </c>
      <c r="DV8" s="112">
        <f t="shared" si="97"/>
        <v>4478.8500000000004</v>
      </c>
      <c r="DW8" s="112">
        <f t="shared" si="98"/>
        <v>5080.3500000000004</v>
      </c>
      <c r="DX8" s="112">
        <f t="shared" si="99"/>
        <v>5232.76</v>
      </c>
    </row>
    <row r="9" spans="1:128">
      <c r="B9" s="74">
        <v>10</v>
      </c>
      <c r="C9" s="384">
        <v>2340</v>
      </c>
      <c r="D9" s="37">
        <v>2600</v>
      </c>
      <c r="E9" s="37">
        <v>2800</v>
      </c>
      <c r="F9" s="37">
        <v>3000</v>
      </c>
      <c r="G9" s="37">
        <v>3380</v>
      </c>
      <c r="H9" s="385" t="s">
        <v>15</v>
      </c>
      <c r="J9" s="74">
        <f t="shared" si="32"/>
        <v>10</v>
      </c>
      <c r="K9" s="112">
        <v>2410</v>
      </c>
      <c r="L9" s="112">
        <v>2680</v>
      </c>
      <c r="M9" s="112">
        <v>2885</v>
      </c>
      <c r="N9" s="112">
        <v>3090</v>
      </c>
      <c r="O9" s="112">
        <v>3480</v>
      </c>
      <c r="P9" s="112" t="s">
        <v>15</v>
      </c>
      <c r="R9" s="74">
        <f t="shared" si="33"/>
        <v>10</v>
      </c>
      <c r="S9" s="112">
        <f t="shared" si="15"/>
        <v>2523.5</v>
      </c>
      <c r="T9" s="112">
        <f t="shared" si="16"/>
        <v>2801.6</v>
      </c>
      <c r="U9" s="112">
        <f t="shared" si="16"/>
        <v>3012.75</v>
      </c>
      <c r="V9" s="112">
        <f t="shared" si="16"/>
        <v>3223.9</v>
      </c>
      <c r="W9" s="112">
        <f t="shared" si="16"/>
        <v>3625.6</v>
      </c>
      <c r="X9" s="112" t="str">
        <f t="shared" si="16"/>
        <v>-</v>
      </c>
      <c r="Z9" s="74">
        <f t="shared" si="34"/>
        <v>10</v>
      </c>
      <c r="AA9" s="112">
        <f t="shared" si="17"/>
        <v>2553.7800000000002</v>
      </c>
      <c r="AB9" s="112">
        <f t="shared" si="18"/>
        <v>2835.22</v>
      </c>
      <c r="AC9" s="112">
        <f t="shared" si="18"/>
        <v>3048.9</v>
      </c>
      <c r="AD9" s="112">
        <f t="shared" si="18"/>
        <v>3262.59</v>
      </c>
      <c r="AE9" s="112">
        <f t="shared" si="18"/>
        <v>3669.11</v>
      </c>
      <c r="AF9" s="112" t="str">
        <f t="shared" si="18"/>
        <v>-</v>
      </c>
      <c r="AH9" s="74">
        <f t="shared" si="35"/>
        <v>10</v>
      </c>
      <c r="AI9" s="112">
        <f t="shared" si="36"/>
        <v>2592.09</v>
      </c>
      <c r="AJ9" s="112">
        <f t="shared" si="37"/>
        <v>2877.75</v>
      </c>
      <c r="AK9" s="112">
        <f t="shared" si="38"/>
        <v>3094.63</v>
      </c>
      <c r="AL9" s="112">
        <f t="shared" si="39"/>
        <v>3311.53</v>
      </c>
      <c r="AM9" s="112">
        <f t="shared" si="40"/>
        <v>3724.15</v>
      </c>
      <c r="AN9" s="112" t="str">
        <f t="shared" si="41"/>
        <v>-</v>
      </c>
      <c r="AP9" s="74">
        <f t="shared" si="42"/>
        <v>10</v>
      </c>
      <c r="AQ9" s="112">
        <f t="shared" si="43"/>
        <v>2658.34</v>
      </c>
      <c r="AR9" s="112">
        <f t="shared" si="44"/>
        <v>2949.43</v>
      </c>
      <c r="AS9" s="112">
        <f t="shared" si="45"/>
        <v>3170.43</v>
      </c>
      <c r="AT9" s="112">
        <f t="shared" si="46"/>
        <v>3391.45</v>
      </c>
      <c r="AU9" s="112">
        <f t="shared" si="47"/>
        <v>3811.91</v>
      </c>
      <c r="AV9" s="112" t="str">
        <f t="shared" si="48"/>
        <v>-</v>
      </c>
      <c r="AX9" s="74">
        <f t="shared" si="49"/>
        <v>10</v>
      </c>
      <c r="AY9" s="112">
        <f t="shared" si="50"/>
        <v>2728.79</v>
      </c>
      <c r="AZ9" s="112">
        <f t="shared" si="51"/>
        <v>3027.59</v>
      </c>
      <c r="BA9" s="112">
        <f t="shared" si="52"/>
        <v>3254.45</v>
      </c>
      <c r="BB9" s="112">
        <f t="shared" si="53"/>
        <v>3481.32</v>
      </c>
      <c r="BC9" s="112">
        <f t="shared" si="54"/>
        <v>3912.93</v>
      </c>
      <c r="BD9" s="112" t="str">
        <f t="shared" si="55"/>
        <v>-</v>
      </c>
      <c r="BF9" s="74">
        <f t="shared" si="56"/>
        <v>10</v>
      </c>
      <c r="BG9" s="112">
        <f t="shared" si="57"/>
        <v>2809.29</v>
      </c>
      <c r="BH9" s="112">
        <f t="shared" si="58"/>
        <v>3116.9</v>
      </c>
      <c r="BI9" s="112">
        <f t="shared" si="59"/>
        <v>3350.46</v>
      </c>
      <c r="BJ9" s="112">
        <f t="shared" si="60"/>
        <v>3584.02</v>
      </c>
      <c r="BK9" s="112">
        <f t="shared" si="61"/>
        <v>4028.36</v>
      </c>
      <c r="BL9" s="112" t="str">
        <f t="shared" si="62"/>
        <v>-</v>
      </c>
      <c r="BN9" s="74">
        <f t="shared" si="63"/>
        <v>10</v>
      </c>
      <c r="BO9" s="112">
        <f t="shared" si="64"/>
        <v>2868.29</v>
      </c>
      <c r="BP9" s="112">
        <f t="shared" si="65"/>
        <v>3182.35</v>
      </c>
      <c r="BQ9" s="112">
        <f t="shared" si="66"/>
        <v>3420.82</v>
      </c>
      <c r="BR9" s="112">
        <f t="shared" si="67"/>
        <v>3659.28</v>
      </c>
      <c r="BS9" s="112">
        <f t="shared" si="68"/>
        <v>4112.96</v>
      </c>
      <c r="BT9" s="112" t="str">
        <f t="shared" si="69"/>
        <v>-</v>
      </c>
      <c r="BV9" s="74">
        <f t="shared" si="70"/>
        <v>10</v>
      </c>
      <c r="BW9" s="112">
        <f t="shared" si="71"/>
        <v>2943.29</v>
      </c>
      <c r="BX9" s="112">
        <f t="shared" si="72"/>
        <v>3257.35</v>
      </c>
      <c r="BY9" s="112">
        <f t="shared" si="73"/>
        <v>3499.5</v>
      </c>
      <c r="BZ9" s="112">
        <f t="shared" si="74"/>
        <v>3743.44</v>
      </c>
      <c r="CA9" s="112">
        <f t="shared" si="75"/>
        <v>4207.5600000000004</v>
      </c>
      <c r="CB9" s="112" t="str">
        <f t="shared" si="76"/>
        <v>-</v>
      </c>
      <c r="CD9" s="74">
        <f t="shared" si="25"/>
        <v>10</v>
      </c>
      <c r="CE9" s="465">
        <f>IF(BW9="-","-",IF(BW9&gt;3200,ROUND(BW9*$CE$23,2),IF(ROUND(BW9*$CE$23,2)-BW9&lt;'L Tab'!$CE$21,BW9+$CE$21,ROUND(BW9*$CE$23,2))))</f>
        <v>3018.29</v>
      </c>
      <c r="CF9" s="112">
        <f>IF(BX9="-","-",IF(BX9&gt;3200,ROUND(BX9*$CE$23,2),IF(ROUND(BX9*$CE$23,2)-BX9&lt;'L Tab'!$CE$21,BX9+$CE$21,ROUND(BX9*$CE$23,2))))</f>
        <v>3322.5</v>
      </c>
      <c r="CG9" s="112">
        <f>IF(BY9="-","-",IF(BY9&gt;3200,ROUND(BY9*$CE$23,2),IF(ROUND(BY9*$CE$23,2)-BY9&lt;'L Tab'!$CE$21,BY9+$CE$21,ROUND(BY9*$CE$23,2))))</f>
        <v>3569.49</v>
      </c>
      <c r="CH9" s="112">
        <f>IF(BZ9="-","-",IF(BZ9&gt;3200,ROUND(BZ9*$CE$23,2),IF(ROUND(BZ9*$CE$23,2)-BZ9&lt;'L Tab'!$CE$21,BZ9+$CE$21,ROUND(BZ9*$CE$23,2))))</f>
        <v>3818.31</v>
      </c>
      <c r="CI9" s="112">
        <f>IF(CA9="-","-",IF(CA9&gt;3200,ROUND(CA9*$CE$23,2),IF(ROUND(CA9*$CE$23,2)-CA9&lt;'L Tab'!$CE$21,CA9+$CE$21,ROUND(CA9*$CE$23,2))))</f>
        <v>4291.71</v>
      </c>
      <c r="CJ9" s="112" t="str">
        <f>IF(CB9="-","-",IF(CB9&gt;3200,ROUND(CB9*$CE$23,2),IF(ROUND(CB9*$CE$23,2)-CB9&lt;'L Tab'!$CE$21,CB9+$CE$21,ROUND(CB9*$CE$23,2))))</f>
        <v>-</v>
      </c>
      <c r="CL9" s="74">
        <f t="shared" si="77"/>
        <v>10</v>
      </c>
      <c r="CM9" s="112">
        <f t="shared" si="26"/>
        <v>3089.22</v>
      </c>
      <c r="CN9" s="112">
        <f t="shared" si="26"/>
        <v>3400.58</v>
      </c>
      <c r="CO9" s="112">
        <f t="shared" si="26"/>
        <v>3653.37</v>
      </c>
      <c r="CP9" s="112">
        <f t="shared" si="26"/>
        <v>3908.04</v>
      </c>
      <c r="CQ9" s="112">
        <f t="shared" si="26"/>
        <v>4392.57</v>
      </c>
      <c r="CR9" s="464">
        <v>4458.46</v>
      </c>
      <c r="CS9" s="81"/>
      <c r="CT9" s="74">
        <f t="shared" si="78"/>
        <v>10</v>
      </c>
      <c r="CU9" s="112">
        <f t="shared" si="27"/>
        <v>3089.22</v>
      </c>
      <c r="CV9" s="112">
        <f t="shared" si="28"/>
        <v>3400.58</v>
      </c>
      <c r="CW9" s="112">
        <f t="shared" si="28"/>
        <v>3653.37</v>
      </c>
      <c r="CX9" s="112">
        <f t="shared" si="28"/>
        <v>3908.04</v>
      </c>
      <c r="CY9" s="112">
        <f t="shared" si="28"/>
        <v>4392.57</v>
      </c>
      <c r="CZ9" s="464">
        <v>4524.3500000000004</v>
      </c>
      <c r="DA9" s="81"/>
      <c r="DB9" s="74">
        <f t="shared" si="79"/>
        <v>10</v>
      </c>
      <c r="DC9" s="112">
        <f t="shared" si="80"/>
        <v>3228.23</v>
      </c>
      <c r="DD9" s="112">
        <f t="shared" si="81"/>
        <v>3502.94</v>
      </c>
      <c r="DE9" s="112">
        <f t="shared" si="82"/>
        <v>3763.34</v>
      </c>
      <c r="DF9" s="112">
        <f t="shared" si="83"/>
        <v>4025.67</v>
      </c>
      <c r="DG9" s="112">
        <f t="shared" si="84"/>
        <v>4524.79</v>
      </c>
      <c r="DH9" s="112">
        <f t="shared" si="85"/>
        <v>4660.53</v>
      </c>
      <c r="DI9" s="81"/>
      <c r="DJ9" s="74">
        <f t="shared" si="86"/>
        <v>10</v>
      </c>
      <c r="DK9" s="112">
        <f t="shared" si="87"/>
        <v>3367.04</v>
      </c>
      <c r="DL9" s="112">
        <f t="shared" si="88"/>
        <v>3612.23</v>
      </c>
      <c r="DM9" s="112">
        <f t="shared" si="89"/>
        <v>3880.76</v>
      </c>
      <c r="DN9" s="112">
        <f t="shared" si="90"/>
        <v>4151.2700000000004</v>
      </c>
      <c r="DO9" s="112">
        <f t="shared" si="91"/>
        <v>4665.96</v>
      </c>
      <c r="DP9" s="112">
        <f t="shared" si="92"/>
        <v>4805.9399999999996</v>
      </c>
      <c r="DQ9" s="81"/>
      <c r="DR9" s="74">
        <f t="shared" si="93"/>
        <v>10</v>
      </c>
      <c r="DS9" s="112">
        <f t="shared" si="94"/>
        <v>3427.65</v>
      </c>
      <c r="DT9" s="112">
        <f t="shared" si="95"/>
        <v>3662.23</v>
      </c>
      <c r="DU9" s="112">
        <f t="shared" si="96"/>
        <v>3930.82</v>
      </c>
      <c r="DV9" s="112">
        <f t="shared" si="97"/>
        <v>4204.82</v>
      </c>
      <c r="DW9" s="112">
        <f t="shared" si="98"/>
        <v>4726.1499999999996</v>
      </c>
      <c r="DX9" s="112">
        <f t="shared" si="99"/>
        <v>4867.9399999999996</v>
      </c>
    </row>
    <row r="10" spans="1:128">
      <c r="B10" s="74">
        <v>9</v>
      </c>
      <c r="C10" s="384">
        <v>2061</v>
      </c>
      <c r="D10" s="37">
        <v>2290</v>
      </c>
      <c r="E10" s="37">
        <v>2410</v>
      </c>
      <c r="F10" s="37">
        <v>2730</v>
      </c>
      <c r="G10" s="37">
        <v>2980</v>
      </c>
      <c r="H10" s="385" t="s">
        <v>15</v>
      </c>
      <c r="J10" s="74">
        <f t="shared" si="32"/>
        <v>9</v>
      </c>
      <c r="K10" s="112">
        <v>2125</v>
      </c>
      <c r="L10" s="112">
        <v>2360</v>
      </c>
      <c r="M10" s="112">
        <v>2480</v>
      </c>
      <c r="N10" s="112">
        <v>2810</v>
      </c>
      <c r="O10" s="112">
        <v>3070</v>
      </c>
      <c r="P10" s="112" t="s">
        <v>15</v>
      </c>
      <c r="R10" s="74">
        <f t="shared" si="33"/>
        <v>9</v>
      </c>
      <c r="S10" s="112">
        <f t="shared" si="15"/>
        <v>2229.9499999999998</v>
      </c>
      <c r="T10" s="112">
        <f t="shared" si="16"/>
        <v>2472</v>
      </c>
      <c r="U10" s="112">
        <f t="shared" si="16"/>
        <v>2595.6</v>
      </c>
      <c r="V10" s="112">
        <f t="shared" si="16"/>
        <v>2935.5</v>
      </c>
      <c r="W10" s="112">
        <f t="shared" si="16"/>
        <v>3203.3</v>
      </c>
      <c r="X10" s="112" t="str">
        <f t="shared" si="16"/>
        <v>-</v>
      </c>
      <c r="Z10" s="74">
        <f t="shared" si="34"/>
        <v>9</v>
      </c>
      <c r="AA10" s="112">
        <f t="shared" si="17"/>
        <v>2256.71</v>
      </c>
      <c r="AB10" s="112">
        <f t="shared" si="18"/>
        <v>2501.66</v>
      </c>
      <c r="AC10" s="112">
        <f t="shared" si="18"/>
        <v>2626.75</v>
      </c>
      <c r="AD10" s="112">
        <f t="shared" si="18"/>
        <v>2970.73</v>
      </c>
      <c r="AE10" s="112">
        <f t="shared" si="18"/>
        <v>3241.74</v>
      </c>
      <c r="AF10" s="112" t="str">
        <f t="shared" si="18"/>
        <v>-</v>
      </c>
      <c r="AH10" s="74">
        <f t="shared" si="35"/>
        <v>9</v>
      </c>
      <c r="AI10" s="112">
        <f t="shared" si="36"/>
        <v>2290.56</v>
      </c>
      <c r="AJ10" s="112">
        <f t="shared" si="37"/>
        <v>2539.1799999999998</v>
      </c>
      <c r="AK10" s="112">
        <f t="shared" si="38"/>
        <v>2666.15</v>
      </c>
      <c r="AL10" s="112">
        <f t="shared" si="39"/>
        <v>3015.29</v>
      </c>
      <c r="AM10" s="112">
        <f t="shared" si="40"/>
        <v>3290.37</v>
      </c>
      <c r="AN10" s="112" t="str">
        <f t="shared" si="41"/>
        <v>-</v>
      </c>
      <c r="AP10" s="74">
        <f t="shared" si="42"/>
        <v>9</v>
      </c>
      <c r="AQ10" s="112">
        <f t="shared" si="43"/>
        <v>2351.08</v>
      </c>
      <c r="AR10" s="112">
        <f t="shared" si="44"/>
        <v>2604.42</v>
      </c>
      <c r="AS10" s="112">
        <f t="shared" si="45"/>
        <v>2733.81</v>
      </c>
      <c r="AT10" s="112">
        <f t="shared" si="46"/>
        <v>3089.58</v>
      </c>
      <c r="AU10" s="112">
        <f t="shared" si="47"/>
        <v>3369.89</v>
      </c>
      <c r="AV10" s="112" t="str">
        <f t="shared" si="48"/>
        <v>-</v>
      </c>
      <c r="AX10" s="74">
        <f t="shared" si="49"/>
        <v>9</v>
      </c>
      <c r="AY10" s="112">
        <f t="shared" si="50"/>
        <v>2413.38</v>
      </c>
      <c r="AZ10" s="112">
        <f t="shared" si="51"/>
        <v>2673.44</v>
      </c>
      <c r="BA10" s="112">
        <f t="shared" si="52"/>
        <v>2806.26</v>
      </c>
      <c r="BB10" s="112">
        <f t="shared" si="53"/>
        <v>3171.45</v>
      </c>
      <c r="BC10" s="112">
        <f t="shared" si="54"/>
        <v>3459.19</v>
      </c>
      <c r="BD10" s="112" t="str">
        <f t="shared" si="55"/>
        <v>-</v>
      </c>
      <c r="BF10" s="74">
        <f t="shared" si="56"/>
        <v>9</v>
      </c>
      <c r="BG10" s="112">
        <f t="shared" si="57"/>
        <v>2484.5700000000002</v>
      </c>
      <c r="BH10" s="112">
        <f t="shared" si="58"/>
        <v>2752.31</v>
      </c>
      <c r="BI10" s="112">
        <f t="shared" si="59"/>
        <v>2889.04</v>
      </c>
      <c r="BJ10" s="112">
        <f t="shared" si="60"/>
        <v>3265.01</v>
      </c>
      <c r="BK10" s="112">
        <f t="shared" si="61"/>
        <v>3561.24</v>
      </c>
      <c r="BL10" s="112" t="str">
        <f t="shared" si="62"/>
        <v>-</v>
      </c>
      <c r="BN10" s="74">
        <f t="shared" si="63"/>
        <v>9</v>
      </c>
      <c r="BO10" s="112">
        <f t="shared" si="64"/>
        <v>2536.75</v>
      </c>
      <c r="BP10" s="112">
        <f t="shared" si="65"/>
        <v>2810.11</v>
      </c>
      <c r="BQ10" s="112">
        <f t="shared" si="66"/>
        <v>2949.71</v>
      </c>
      <c r="BR10" s="112">
        <f t="shared" si="67"/>
        <v>3333.58</v>
      </c>
      <c r="BS10" s="112">
        <f t="shared" si="68"/>
        <v>3636.03</v>
      </c>
      <c r="BT10" s="112" t="str">
        <f t="shared" si="69"/>
        <v>-</v>
      </c>
      <c r="BV10" s="74">
        <f t="shared" si="70"/>
        <v>9</v>
      </c>
      <c r="BW10" s="112">
        <f t="shared" si="71"/>
        <v>2611.75</v>
      </c>
      <c r="BX10" s="112">
        <f t="shared" si="72"/>
        <v>2885.11</v>
      </c>
      <c r="BY10" s="112">
        <f t="shared" si="73"/>
        <v>3024.71</v>
      </c>
      <c r="BZ10" s="112">
        <f t="shared" si="74"/>
        <v>3410.25</v>
      </c>
      <c r="CA10" s="112">
        <f t="shared" si="75"/>
        <v>3719.66</v>
      </c>
      <c r="CB10" s="112" t="str">
        <f t="shared" si="76"/>
        <v>-</v>
      </c>
      <c r="CD10" s="74">
        <f t="shared" si="25"/>
        <v>9</v>
      </c>
      <c r="CE10" s="465">
        <f>IF(BW10="-","-",IF(BW10&gt;3200,ROUND(BW10*$CE$23,2),IF(ROUND(BW10*$CE$23,2)-BW10&lt;'L Tab'!$CE$21,BW10+$CE$21,ROUND(BW10*$CE$23,2))))</f>
        <v>2686.75</v>
      </c>
      <c r="CF10" s="112">
        <f>IF(BX10="-","-",IF(BX10&gt;3200,ROUND(BX10*$CE$23,2),IF(ROUND(BX10*$CE$23,2)-BX10&lt;'L Tab'!$CE$21,BX10+$CE$21,ROUND(BX10*$CE$23,2))))</f>
        <v>2960.11</v>
      </c>
      <c r="CG10" s="112">
        <f>IF(BY10="-","-",IF(BY10&gt;3200,ROUND(BY10*$CE$23,2),IF(ROUND(BY10*$CE$23,2)-BY10&lt;'L Tab'!$CE$21,BY10+$CE$21,ROUND(BY10*$CE$23,2))))</f>
        <v>3099.71</v>
      </c>
      <c r="CH10" s="112">
        <f>IF(BZ10="-","-",IF(BZ10&gt;3200,ROUND(BZ10*$CE$23,2),IF(ROUND(BZ10*$CE$23,2)-BZ10&lt;'L Tab'!$CE$21,BZ10+$CE$21,ROUND(BZ10*$CE$23,2))))</f>
        <v>3478.46</v>
      </c>
      <c r="CI10" s="112">
        <f>IF(CA10="-","-",IF(CA10&gt;3200,ROUND(CA10*$CE$23,2),IF(ROUND(CA10*$CE$23,2)-CA10&lt;'L Tab'!$CE$21,CA10+$CE$21,ROUND(CA10*$CE$23,2))))</f>
        <v>3794.05</v>
      </c>
      <c r="CJ10" s="112" t="str">
        <f>IF(CB10="-","-",IF(CB10&gt;3200,ROUND(CB10*$CE$23,2),IF(ROUND(CB10*$CE$23,2)-CB10&lt;'L Tab'!$CE$21,CB10+$CE$21,ROUND(CB10*$CE$23,2))))</f>
        <v>-</v>
      </c>
      <c r="CL10" s="74">
        <f t="shared" si="77"/>
        <v>9</v>
      </c>
      <c r="CM10" s="112">
        <f t="shared" si="26"/>
        <v>2749.89</v>
      </c>
      <c r="CN10" s="112">
        <f t="shared" si="26"/>
        <v>3029.67</v>
      </c>
      <c r="CO10" s="112">
        <f t="shared" si="26"/>
        <v>3172.55</v>
      </c>
      <c r="CP10" s="112">
        <f t="shared" si="26"/>
        <v>3560.2</v>
      </c>
      <c r="CQ10" s="112">
        <f t="shared" si="26"/>
        <v>3883.21</v>
      </c>
      <c r="CR10" s="464">
        <v>3941.46</v>
      </c>
      <c r="CT10" s="74">
        <f t="shared" si="78"/>
        <v>9</v>
      </c>
      <c r="CU10" s="112">
        <f t="shared" si="27"/>
        <v>2749.89</v>
      </c>
      <c r="CV10" s="112">
        <f t="shared" si="28"/>
        <v>3029.67</v>
      </c>
      <c r="CW10" s="112">
        <f t="shared" si="28"/>
        <v>3172.55</v>
      </c>
      <c r="CX10" s="112">
        <f t="shared" si="28"/>
        <v>3560.2</v>
      </c>
      <c r="CY10" s="112">
        <f t="shared" si="28"/>
        <v>3883.21</v>
      </c>
      <c r="CZ10" s="464">
        <v>3999.71</v>
      </c>
      <c r="DB10" s="74" t="s">
        <v>251</v>
      </c>
      <c r="DC10" s="112">
        <f t="shared" si="80"/>
        <v>2873.64</v>
      </c>
      <c r="DD10" s="112">
        <f t="shared" si="81"/>
        <v>3129.67</v>
      </c>
      <c r="DE10" s="112">
        <f t="shared" si="82"/>
        <v>3272.55</v>
      </c>
      <c r="DF10" s="112">
        <f t="shared" si="83"/>
        <v>3667.36</v>
      </c>
      <c r="DG10" s="112">
        <f t="shared" si="84"/>
        <v>4000.09</v>
      </c>
      <c r="DH10" s="112">
        <f t="shared" si="85"/>
        <v>4120.1000000000004</v>
      </c>
      <c r="DJ10" s="74" t="s">
        <v>251</v>
      </c>
      <c r="DK10" s="112">
        <f t="shared" si="87"/>
        <v>2997.21</v>
      </c>
      <c r="DL10" s="112">
        <f t="shared" si="88"/>
        <v>3227.32</v>
      </c>
      <c r="DM10" s="112">
        <f t="shared" si="89"/>
        <v>3374.65</v>
      </c>
      <c r="DN10" s="112">
        <f t="shared" si="90"/>
        <v>3781.78</v>
      </c>
      <c r="DO10" s="112">
        <f t="shared" si="91"/>
        <v>4124.8900000000003</v>
      </c>
      <c r="DP10" s="112">
        <f t="shared" si="92"/>
        <v>4248.6499999999996</v>
      </c>
      <c r="DR10" s="74" t="s">
        <v>251</v>
      </c>
      <c r="DS10" s="112">
        <f t="shared" si="94"/>
        <v>3051.16</v>
      </c>
      <c r="DT10" s="112">
        <f t="shared" si="95"/>
        <v>3277.32</v>
      </c>
      <c r="DU10" s="112">
        <f t="shared" si="96"/>
        <v>3424.65</v>
      </c>
      <c r="DV10" s="112">
        <f t="shared" si="97"/>
        <v>3831.78</v>
      </c>
      <c r="DW10" s="112">
        <f t="shared" si="98"/>
        <v>4178.1000000000004</v>
      </c>
      <c r="DX10" s="112">
        <f t="shared" si="99"/>
        <v>4303.46</v>
      </c>
    </row>
    <row r="11" spans="1:128">
      <c r="B11" s="74">
        <v>8</v>
      </c>
      <c r="C11" s="384">
        <v>1926</v>
      </c>
      <c r="D11" s="37">
        <v>2140</v>
      </c>
      <c r="E11" s="37">
        <v>2240</v>
      </c>
      <c r="F11" s="37">
        <v>2330</v>
      </c>
      <c r="G11" s="37">
        <v>2430</v>
      </c>
      <c r="H11" s="385">
        <v>2493</v>
      </c>
      <c r="J11" s="74">
        <f t="shared" si="32"/>
        <v>8</v>
      </c>
      <c r="K11" s="112">
        <v>1985</v>
      </c>
      <c r="L11" s="112">
        <v>2205</v>
      </c>
      <c r="M11" s="112">
        <v>2305</v>
      </c>
      <c r="N11" s="112">
        <v>2400</v>
      </c>
      <c r="O11" s="112">
        <v>2505</v>
      </c>
      <c r="P11" s="112">
        <v>2570</v>
      </c>
      <c r="R11" s="74">
        <f t="shared" si="33"/>
        <v>8</v>
      </c>
      <c r="S11" s="112">
        <f t="shared" si="15"/>
        <v>2085.75</v>
      </c>
      <c r="T11" s="112">
        <f t="shared" si="16"/>
        <v>2312.35</v>
      </c>
      <c r="U11" s="112">
        <f t="shared" si="16"/>
        <v>2415.35</v>
      </c>
      <c r="V11" s="112">
        <f t="shared" si="16"/>
        <v>2513.1999999999998</v>
      </c>
      <c r="W11" s="112">
        <f t="shared" si="16"/>
        <v>2621.35</v>
      </c>
      <c r="X11" s="112">
        <f t="shared" si="16"/>
        <v>2688.3</v>
      </c>
      <c r="Z11" s="74">
        <f t="shared" si="34"/>
        <v>8</v>
      </c>
      <c r="AA11" s="112">
        <f t="shared" si="17"/>
        <v>2110.7800000000002</v>
      </c>
      <c r="AB11" s="112">
        <f t="shared" si="18"/>
        <v>2340.1</v>
      </c>
      <c r="AC11" s="112">
        <f t="shared" si="18"/>
        <v>2444.33</v>
      </c>
      <c r="AD11" s="112">
        <f t="shared" si="18"/>
        <v>2543.36</v>
      </c>
      <c r="AE11" s="112">
        <f t="shared" si="18"/>
        <v>2652.81</v>
      </c>
      <c r="AF11" s="112">
        <f t="shared" si="18"/>
        <v>2720.56</v>
      </c>
      <c r="AH11" s="74">
        <f t="shared" si="35"/>
        <v>8</v>
      </c>
      <c r="AI11" s="112">
        <f t="shared" si="36"/>
        <v>2142.44</v>
      </c>
      <c r="AJ11" s="112">
        <f t="shared" si="37"/>
        <v>2375.1999999999998</v>
      </c>
      <c r="AK11" s="112">
        <f t="shared" si="38"/>
        <v>2480.9899999999998</v>
      </c>
      <c r="AL11" s="112">
        <f t="shared" si="39"/>
        <v>2581.5100000000002</v>
      </c>
      <c r="AM11" s="112">
        <f t="shared" si="40"/>
        <v>2692.6</v>
      </c>
      <c r="AN11" s="112">
        <f t="shared" si="41"/>
        <v>2761.37</v>
      </c>
      <c r="AP11" s="74">
        <f t="shared" si="42"/>
        <v>8</v>
      </c>
      <c r="AQ11" s="112">
        <f t="shared" si="43"/>
        <v>2200.15</v>
      </c>
      <c r="AR11" s="112">
        <f t="shared" si="44"/>
        <v>2437.33</v>
      </c>
      <c r="AS11" s="112">
        <f t="shared" si="45"/>
        <v>2545.13</v>
      </c>
      <c r="AT11" s="112">
        <f t="shared" si="46"/>
        <v>2647.56</v>
      </c>
      <c r="AU11" s="112">
        <f t="shared" si="47"/>
        <v>2760.76</v>
      </c>
      <c r="AV11" s="112">
        <f t="shared" si="48"/>
        <v>2830.84</v>
      </c>
      <c r="AX11" s="74">
        <f t="shared" si="49"/>
        <v>8</v>
      </c>
      <c r="AY11" s="112">
        <f t="shared" si="50"/>
        <v>2258.4499999999998</v>
      </c>
      <c r="AZ11" s="112">
        <f t="shared" si="51"/>
        <v>2501.92</v>
      </c>
      <c r="BA11" s="112">
        <f t="shared" si="52"/>
        <v>2612.58</v>
      </c>
      <c r="BB11" s="112">
        <f t="shared" si="53"/>
        <v>2717.72</v>
      </c>
      <c r="BC11" s="112">
        <f t="shared" si="54"/>
        <v>2833.92</v>
      </c>
      <c r="BD11" s="112">
        <f t="shared" si="55"/>
        <v>2905.86</v>
      </c>
      <c r="BF11" s="74">
        <f t="shared" si="56"/>
        <v>8</v>
      </c>
      <c r="BG11" s="112">
        <f t="shared" si="57"/>
        <v>2325.0700000000002</v>
      </c>
      <c r="BH11" s="112">
        <f t="shared" si="58"/>
        <v>2575.73</v>
      </c>
      <c r="BI11" s="112">
        <f t="shared" si="59"/>
        <v>2689.65</v>
      </c>
      <c r="BJ11" s="112">
        <f t="shared" si="60"/>
        <v>2797.89</v>
      </c>
      <c r="BK11" s="112">
        <f t="shared" si="61"/>
        <v>2917.52</v>
      </c>
      <c r="BL11" s="112">
        <f t="shared" si="62"/>
        <v>2991.58</v>
      </c>
      <c r="BN11" s="74">
        <f t="shared" si="63"/>
        <v>8</v>
      </c>
      <c r="BO11" s="112">
        <f t="shared" si="64"/>
        <v>2373.9</v>
      </c>
      <c r="BP11" s="112">
        <f t="shared" si="65"/>
        <v>2629.82</v>
      </c>
      <c r="BQ11" s="112">
        <f t="shared" si="66"/>
        <v>2746.13</v>
      </c>
      <c r="BR11" s="112">
        <f t="shared" si="67"/>
        <v>2856.65</v>
      </c>
      <c r="BS11" s="112">
        <f t="shared" si="68"/>
        <v>2978.79</v>
      </c>
      <c r="BT11" s="112">
        <f t="shared" si="69"/>
        <v>3054.4</v>
      </c>
      <c r="BV11" s="74">
        <f t="shared" si="70"/>
        <v>8</v>
      </c>
      <c r="BW11" s="112">
        <f t="shared" si="71"/>
        <v>2448.9</v>
      </c>
      <c r="BX11" s="112">
        <f t="shared" si="72"/>
        <v>2704.82</v>
      </c>
      <c r="BY11" s="112">
        <f t="shared" si="73"/>
        <v>2821.13</v>
      </c>
      <c r="BZ11" s="112">
        <f t="shared" si="74"/>
        <v>2931.65</v>
      </c>
      <c r="CA11" s="112">
        <f t="shared" si="75"/>
        <v>3053.79</v>
      </c>
      <c r="CB11" s="112">
        <f t="shared" si="76"/>
        <v>3129.4</v>
      </c>
      <c r="CD11" s="74" t="str">
        <f>J10&amp;" kl"</f>
        <v>9 kl</v>
      </c>
      <c r="CE11" s="465">
        <f>IF(BW10="-","-",IF(BW10&gt;3200,ROUND(BW10*$CE$23,2),IF(ROUND(BW10*$CE$23,2)-BW10&lt;'L Tab'!$CE$21,BW10+$CE$21,ROUND(BW10*$CE$23,2))))</f>
        <v>2686.75</v>
      </c>
      <c r="CF11" s="465">
        <f>IF(BX10="-","-",IF(BX10&gt;3200,ROUND(BX10*$CE$23,2),IF(ROUND(BX10*$CE$23,2)-BX10&lt;'L Tab'!$CE$21,BX10+$CE$21,ROUND(BX10*$CE$23,2))))</f>
        <v>2960.11</v>
      </c>
      <c r="CG11" s="465">
        <f>IF(BY10="-","-",IF(BY10&gt;3200,ROUND(BY10*$CE$23,2),IF(ROUND(BY10*$CE$23,2)-BY10&lt;'L Tab'!$CE$21,BY10+$CE$21,ROUND(BY10*$CE$23,2))))</f>
        <v>3099.71</v>
      </c>
      <c r="CH11" s="493">
        <f>IF(BZ10="-","-",IF(BZ10&gt;3200,ROUND(BZ10*$CE$23,2),IF(ROUND(BZ10*$CE$23,2)-BZ10&lt;'L Tab'!$CE$21,BZ10+$CE$21,ROUND(BZ10*$CE$23,2))))</f>
        <v>3478.46</v>
      </c>
      <c r="CI11" s="465" t="s">
        <v>15</v>
      </c>
      <c r="CJ11" s="465" t="str">
        <f>IF(CB10="-","-",IF(CB10&gt;3200,ROUND(CB10*$CE$23,2),IF(ROUND(CB10*$CE$23,2)-CB10&lt;'L Tab'!$CE$21,CB10+$CE$21,ROUND(CB10*$CE$23,2))))</f>
        <v>-</v>
      </c>
      <c r="CL11" s="74" t="str">
        <f>R10&amp;" kl"</f>
        <v>9 kl</v>
      </c>
      <c r="CM11" s="112">
        <f t="shared" si="26"/>
        <v>2749.89</v>
      </c>
      <c r="CN11" s="112">
        <f t="shared" si="26"/>
        <v>3029.67</v>
      </c>
      <c r="CO11" s="112">
        <f t="shared" si="26"/>
        <v>3172.55</v>
      </c>
      <c r="CP11" s="112">
        <f t="shared" si="26"/>
        <v>3560.2</v>
      </c>
      <c r="CQ11" s="471">
        <f>CP11+53.41</f>
        <v>3613.6099999999997</v>
      </c>
      <c r="CR11" s="112" t="s">
        <v>15</v>
      </c>
      <c r="CT11" s="74" t="str">
        <f>Z10&amp;" kl"</f>
        <v>9 kl</v>
      </c>
      <c r="CU11" s="112">
        <f t="shared" si="27"/>
        <v>2749.89</v>
      </c>
      <c r="CV11" s="112">
        <f t="shared" si="28"/>
        <v>3029.67</v>
      </c>
      <c r="CW11" s="112">
        <f t="shared" si="28"/>
        <v>3172.55</v>
      </c>
      <c r="CX11" s="112">
        <f t="shared" si="28"/>
        <v>3560.2</v>
      </c>
      <c r="CY11" s="471">
        <f>CQ11+53.4</f>
        <v>3667.0099999999998</v>
      </c>
      <c r="CZ11" s="112" t="s">
        <v>15</v>
      </c>
      <c r="DB11" s="74" t="s">
        <v>252</v>
      </c>
      <c r="DC11" s="112">
        <f t="shared" si="80"/>
        <v>2873.64</v>
      </c>
      <c r="DD11" s="112">
        <f t="shared" si="81"/>
        <v>3129.67</v>
      </c>
      <c r="DE11" s="112">
        <f>DF12</f>
        <v>3177.31</v>
      </c>
      <c r="DF11" s="112">
        <f>IF(CW11="-","-",IF(ROUND(CW11*$DC$23,2)-CW11&lt;$DC$21,CW11+$DC$21,ROUND(CW11*$DC$23,2)))</f>
        <v>3272.55</v>
      </c>
      <c r="DG11" s="112">
        <f>IF(CX11="-","-",IF(ROUND(CX11*$DC$23,2)-CX11&lt;$DC$21,CX11+$DC$21,ROUND(CX11*$DC$23,2)))</f>
        <v>3667.36</v>
      </c>
      <c r="DH11" s="112">
        <f>IF(CY11="-","-",IF(ROUND(CY11*$DC$23,2)-CY11&lt;$DC$21,CY11+$DC$21,ROUND(CY11*$DC$23,2)))</f>
        <v>3777.39</v>
      </c>
      <c r="DJ11" s="74" t="s">
        <v>252</v>
      </c>
      <c r="DK11" s="112">
        <f t="shared" si="87"/>
        <v>2997.21</v>
      </c>
      <c r="DL11" s="112">
        <f t="shared" si="88"/>
        <v>3227.32</v>
      </c>
      <c r="DM11" s="112">
        <f t="shared" si="89"/>
        <v>3276.44</v>
      </c>
      <c r="DN11" s="112">
        <f t="shared" si="90"/>
        <v>3374.65</v>
      </c>
      <c r="DO11" s="112">
        <f t="shared" si="91"/>
        <v>3781.78</v>
      </c>
      <c r="DP11" s="112">
        <f t="shared" si="92"/>
        <v>3895.24</v>
      </c>
      <c r="DR11" s="74" t="s">
        <v>252</v>
      </c>
      <c r="DS11" s="112">
        <f t="shared" si="94"/>
        <v>3051.16</v>
      </c>
      <c r="DT11" s="112">
        <f t="shared" si="95"/>
        <v>3277.32</v>
      </c>
      <c r="DU11" s="112">
        <f t="shared" si="96"/>
        <v>3326.44</v>
      </c>
      <c r="DV11" s="112">
        <f t="shared" si="97"/>
        <v>3424.65</v>
      </c>
      <c r="DW11" s="112">
        <f t="shared" si="98"/>
        <v>3831.78</v>
      </c>
      <c r="DX11" s="112">
        <f t="shared" si="99"/>
        <v>3945.49</v>
      </c>
    </row>
    <row r="12" spans="1:128">
      <c r="B12" s="74">
        <v>7</v>
      </c>
      <c r="C12" s="384">
        <v>1800</v>
      </c>
      <c r="D12" s="37">
        <v>2000</v>
      </c>
      <c r="E12" s="37">
        <v>2130</v>
      </c>
      <c r="F12" s="37">
        <v>2230</v>
      </c>
      <c r="G12" s="37">
        <v>2305</v>
      </c>
      <c r="H12" s="385">
        <v>2375</v>
      </c>
      <c r="J12" s="74">
        <f t="shared" si="32"/>
        <v>7</v>
      </c>
      <c r="K12" s="112">
        <v>1855</v>
      </c>
      <c r="L12" s="112">
        <v>2060</v>
      </c>
      <c r="M12" s="112">
        <v>2195</v>
      </c>
      <c r="N12" s="112">
        <v>2295</v>
      </c>
      <c r="O12" s="112">
        <v>2375</v>
      </c>
      <c r="P12" s="112">
        <v>2445</v>
      </c>
      <c r="R12" s="74">
        <f t="shared" si="33"/>
        <v>7</v>
      </c>
      <c r="S12" s="112">
        <f t="shared" si="15"/>
        <v>1951.85</v>
      </c>
      <c r="T12" s="112">
        <f t="shared" si="16"/>
        <v>2163</v>
      </c>
      <c r="U12" s="112">
        <f t="shared" si="16"/>
        <v>2302.0500000000002</v>
      </c>
      <c r="V12" s="112">
        <f t="shared" si="16"/>
        <v>2405.0500000000002</v>
      </c>
      <c r="W12" s="112">
        <f t="shared" si="16"/>
        <v>2487.4499999999998</v>
      </c>
      <c r="X12" s="112">
        <f t="shared" si="16"/>
        <v>2559.5500000000002</v>
      </c>
      <c r="Z12" s="74">
        <f t="shared" si="34"/>
        <v>7</v>
      </c>
      <c r="AA12" s="112">
        <f t="shared" si="17"/>
        <v>1975.27</v>
      </c>
      <c r="AB12" s="112">
        <f t="shared" si="18"/>
        <v>2188.96</v>
      </c>
      <c r="AC12" s="112">
        <f t="shared" si="18"/>
        <v>2329.67</v>
      </c>
      <c r="AD12" s="112">
        <f t="shared" si="18"/>
        <v>2433.91</v>
      </c>
      <c r="AE12" s="112">
        <f t="shared" si="18"/>
        <v>2517.3000000000002</v>
      </c>
      <c r="AF12" s="112">
        <f t="shared" si="18"/>
        <v>2590.2600000000002</v>
      </c>
      <c r="AH12" s="74">
        <f t="shared" si="35"/>
        <v>7</v>
      </c>
      <c r="AI12" s="112">
        <f t="shared" si="36"/>
        <v>2004.9</v>
      </c>
      <c r="AJ12" s="112">
        <f t="shared" si="37"/>
        <v>2221.79</v>
      </c>
      <c r="AK12" s="112">
        <f t="shared" si="38"/>
        <v>2364.62</v>
      </c>
      <c r="AL12" s="112">
        <f t="shared" si="39"/>
        <v>2470.42</v>
      </c>
      <c r="AM12" s="112">
        <f t="shared" si="40"/>
        <v>2555.06</v>
      </c>
      <c r="AN12" s="112">
        <f t="shared" si="41"/>
        <v>2629.11</v>
      </c>
      <c r="AP12" s="74">
        <f t="shared" si="42"/>
        <v>7</v>
      </c>
      <c r="AQ12" s="112">
        <f t="shared" si="43"/>
        <v>2059.9899999999998</v>
      </c>
      <c r="AR12" s="112">
        <f t="shared" si="44"/>
        <v>2281</v>
      </c>
      <c r="AS12" s="112">
        <f t="shared" si="45"/>
        <v>2426.5500000000002</v>
      </c>
      <c r="AT12" s="112">
        <f t="shared" si="46"/>
        <v>2534.36</v>
      </c>
      <c r="AU12" s="112">
        <f t="shared" si="47"/>
        <v>2620.61</v>
      </c>
      <c r="AV12" s="112">
        <f t="shared" si="48"/>
        <v>2696.06</v>
      </c>
      <c r="AX12" s="74">
        <f t="shared" si="49"/>
        <v>7</v>
      </c>
      <c r="AY12" s="112">
        <f t="shared" si="50"/>
        <v>2114.58</v>
      </c>
      <c r="AZ12" s="112">
        <f t="shared" si="51"/>
        <v>2341.4499999999998</v>
      </c>
      <c r="BA12" s="112">
        <f t="shared" si="52"/>
        <v>2490.85</v>
      </c>
      <c r="BB12" s="112">
        <f t="shared" si="53"/>
        <v>2601.52</v>
      </c>
      <c r="BC12" s="112">
        <f t="shared" si="54"/>
        <v>2690.06</v>
      </c>
      <c r="BD12" s="112">
        <f t="shared" si="55"/>
        <v>2767.51</v>
      </c>
      <c r="BF12" s="74">
        <f t="shared" si="56"/>
        <v>7</v>
      </c>
      <c r="BG12" s="112">
        <f t="shared" si="57"/>
        <v>2176.96</v>
      </c>
      <c r="BH12" s="112">
        <f t="shared" si="58"/>
        <v>2410.52</v>
      </c>
      <c r="BI12" s="112">
        <f t="shared" si="59"/>
        <v>2564.33</v>
      </c>
      <c r="BJ12" s="112">
        <f t="shared" si="60"/>
        <v>2678.26</v>
      </c>
      <c r="BK12" s="112">
        <f t="shared" si="61"/>
        <v>2769.42</v>
      </c>
      <c r="BL12" s="112">
        <f t="shared" si="62"/>
        <v>2849.15</v>
      </c>
      <c r="BN12" s="74">
        <f t="shared" si="63"/>
        <v>7</v>
      </c>
      <c r="BO12" s="112">
        <f t="shared" si="64"/>
        <v>2222.6799999999998</v>
      </c>
      <c r="BP12" s="112">
        <f t="shared" si="65"/>
        <v>2461.14</v>
      </c>
      <c r="BQ12" s="112">
        <f t="shared" si="66"/>
        <v>2618.1799999999998</v>
      </c>
      <c r="BR12" s="112">
        <f t="shared" si="67"/>
        <v>2734.5</v>
      </c>
      <c r="BS12" s="112">
        <f t="shared" si="68"/>
        <v>2827.58</v>
      </c>
      <c r="BT12" s="112">
        <f t="shared" si="69"/>
        <v>2908.98</v>
      </c>
      <c r="BV12" s="74">
        <f t="shared" si="70"/>
        <v>7</v>
      </c>
      <c r="BW12" s="112">
        <f t="shared" si="71"/>
        <v>2297.6799999999998</v>
      </c>
      <c r="BX12" s="112">
        <f t="shared" si="72"/>
        <v>2536.14</v>
      </c>
      <c r="BY12" s="112">
        <f t="shared" si="73"/>
        <v>2693.18</v>
      </c>
      <c r="BZ12" s="112">
        <f t="shared" si="74"/>
        <v>2809.5</v>
      </c>
      <c r="CA12" s="112">
        <f t="shared" si="75"/>
        <v>2902.58</v>
      </c>
      <c r="CB12" s="112">
        <f t="shared" si="76"/>
        <v>2983.98</v>
      </c>
      <c r="CD12" s="74">
        <f t="shared" ref="CD12:CD20" si="100">J11</f>
        <v>8</v>
      </c>
      <c r="CE12" s="465">
        <f>IF(BW11="-","-",IF(BW11&gt;3200,ROUND(BW11*$CE$23,2),IF(ROUND(BW11*$CE$23,2)-BW11&lt;'L Tab'!$CE$21,BW11+$CE$21,ROUND(BW11*$CE$23,2))))</f>
        <v>2523.9</v>
      </c>
      <c r="CF12" s="465">
        <f>IF(BX11="-","-",IF(BX11&gt;3200,ROUND(BX11*$CE$23,2),IF(ROUND(BX11*$CE$23,2)-BX11&lt;'L Tab'!$CE$21,BX11+$CE$21,ROUND(BX11*$CE$23,2))))</f>
        <v>2779.82</v>
      </c>
      <c r="CG12" s="465">
        <f>IF(BY11="-","-",IF(BY11&gt;3200,ROUND(BY11*$CE$23,2),IF(ROUND(BY11*$CE$23,2)-BY11&lt;'L Tab'!$CE$21,BY11+$CE$21,ROUND(BY11*$CE$23,2))))</f>
        <v>2896.13</v>
      </c>
      <c r="CH12" s="465">
        <f>IF(BZ11="-","-",IF(BZ11&gt;3200,ROUND(BZ11*$CE$23,2),IF(ROUND(BZ11*$CE$23,2)-BZ11&lt;'L Tab'!$CE$21,BZ11+$CE$21,ROUND(BZ11*$CE$23,2))))</f>
        <v>3006.65</v>
      </c>
      <c r="CI12" s="465">
        <f>IF(CA11="-","-",IF(CA11&gt;3200,ROUND(CA11*$CE$23,2),IF(ROUND(CA11*$CE$23,2)-CA11&lt;'L Tab'!$CE$21,CA11+$CE$21,ROUND(CA11*$CE$23,2))))</f>
        <v>3128.79</v>
      </c>
      <c r="CJ12" s="465">
        <f>IF(CB11="-","-",IF(CB11&gt;3200,ROUND(CB11*$CE$23,2),IF(ROUND(CB11*$CE$23,2)-CB11&lt;'L Tab'!$CE$21,CB11+$CE$21,ROUND(CB11*$CE$23,2))))</f>
        <v>3204.4</v>
      </c>
      <c r="CL12" s="74">
        <f t="shared" ref="CL12:CL20" si="101">R11</f>
        <v>8</v>
      </c>
      <c r="CM12" s="112">
        <f t="shared" ref="CM12:CM20" si="102">IF(CE12="-","-",ROUND(CE12*$CM$23,2))</f>
        <v>2583.21</v>
      </c>
      <c r="CN12" s="112">
        <f t="shared" ref="CN12:CN20" si="103">IF(CF12="-","-",ROUND(CF12*$CM$23,2))</f>
        <v>2845.15</v>
      </c>
      <c r="CO12" s="112">
        <f t="shared" ref="CO12:CO20" si="104">IF(CG12="-","-",ROUND(CG12*$CM$23,2))</f>
        <v>2964.19</v>
      </c>
      <c r="CP12" s="112">
        <f t="shared" ref="CP12:CP20" si="105">IF(CH12="-","-",ROUND(CH12*$CM$23,2))</f>
        <v>3077.31</v>
      </c>
      <c r="CQ12" s="112">
        <f t="shared" ref="CQ12:CQ20" si="106">IF(CI12="-","-",ROUND(CI12*$CM$23,2))</f>
        <v>3202.32</v>
      </c>
      <c r="CR12" s="112">
        <f t="shared" ref="CR12:CR20" si="107">IF(CJ12="-","-",ROUND(CJ12*$CM$23,2))</f>
        <v>3279.7</v>
      </c>
      <c r="CT12" s="74">
        <f t="shared" ref="CT12:CT20" si="108">Z11</f>
        <v>8</v>
      </c>
      <c r="CU12" s="112">
        <f t="shared" si="27"/>
        <v>2583.21</v>
      </c>
      <c r="CV12" s="112">
        <f t="shared" ref="CV12:CV20" si="109">CN12</f>
        <v>2845.15</v>
      </c>
      <c r="CW12" s="112">
        <f t="shared" ref="CW12:CW20" si="110">CO12</f>
        <v>2964.19</v>
      </c>
      <c r="CX12" s="112">
        <f t="shared" ref="CX12:CX20" si="111">CP12</f>
        <v>3077.31</v>
      </c>
      <c r="CY12" s="112">
        <f t="shared" ref="CY12:CY20" si="112">CQ12</f>
        <v>3202.32</v>
      </c>
      <c r="CZ12" s="112">
        <f t="shared" ref="CZ12:CZ20" si="113">CR12</f>
        <v>3279.7</v>
      </c>
      <c r="DB12" s="74">
        <f t="shared" ref="DB12:DB20" si="114">AH11</f>
        <v>8</v>
      </c>
      <c r="DC12" s="112">
        <f t="shared" si="80"/>
        <v>2699.45</v>
      </c>
      <c r="DD12" s="112">
        <f t="shared" si="81"/>
        <v>2945.15</v>
      </c>
      <c r="DE12" s="112">
        <f t="shared" si="82"/>
        <v>3064.19</v>
      </c>
      <c r="DF12" s="112">
        <f t="shared" si="83"/>
        <v>3177.31</v>
      </c>
      <c r="DG12" s="112">
        <f t="shared" si="84"/>
        <v>3302.32</v>
      </c>
      <c r="DH12" s="112">
        <f t="shared" si="85"/>
        <v>3379.7</v>
      </c>
      <c r="DJ12" s="74">
        <f t="shared" ref="DJ12:DJ20" si="115">AP11</f>
        <v>8</v>
      </c>
      <c r="DK12" s="112">
        <f t="shared" si="87"/>
        <v>2815.53</v>
      </c>
      <c r="DL12" s="112">
        <f t="shared" si="88"/>
        <v>3037.04</v>
      </c>
      <c r="DM12" s="112">
        <f t="shared" si="89"/>
        <v>3159.79</v>
      </c>
      <c r="DN12" s="112">
        <f t="shared" si="90"/>
        <v>3276.44</v>
      </c>
      <c r="DO12" s="112">
        <f t="shared" si="91"/>
        <v>3405.35</v>
      </c>
      <c r="DP12" s="112">
        <f t="shared" si="92"/>
        <v>3485.15</v>
      </c>
      <c r="DR12" s="74">
        <f t="shared" ref="DR12:DR20" si="116">AX11</f>
        <v>8</v>
      </c>
      <c r="DS12" s="112">
        <f t="shared" si="94"/>
        <v>2866.21</v>
      </c>
      <c r="DT12" s="112">
        <f t="shared" si="95"/>
        <v>3087.04</v>
      </c>
      <c r="DU12" s="112">
        <f t="shared" si="96"/>
        <v>3209.79</v>
      </c>
      <c r="DV12" s="112">
        <f t="shared" si="97"/>
        <v>3326.44</v>
      </c>
      <c r="DW12" s="112">
        <f t="shared" si="98"/>
        <v>3455.35</v>
      </c>
      <c r="DX12" s="112">
        <f t="shared" si="99"/>
        <v>3535.15</v>
      </c>
    </row>
    <row r="13" spans="1:128">
      <c r="B13" s="74">
        <v>6</v>
      </c>
      <c r="C13" s="384">
        <v>1764</v>
      </c>
      <c r="D13" s="37">
        <v>1960</v>
      </c>
      <c r="E13" s="37">
        <v>2060</v>
      </c>
      <c r="F13" s="37">
        <v>2155</v>
      </c>
      <c r="G13" s="37">
        <v>2220</v>
      </c>
      <c r="H13" s="385">
        <v>2285</v>
      </c>
      <c r="J13" s="74">
        <f t="shared" si="32"/>
        <v>6</v>
      </c>
      <c r="K13" s="112">
        <v>1820</v>
      </c>
      <c r="L13" s="112">
        <v>2020</v>
      </c>
      <c r="M13" s="112">
        <v>2120</v>
      </c>
      <c r="N13" s="112">
        <v>2220</v>
      </c>
      <c r="O13" s="112">
        <v>2285</v>
      </c>
      <c r="P13" s="112">
        <v>2355</v>
      </c>
      <c r="R13" s="74">
        <f t="shared" si="33"/>
        <v>6</v>
      </c>
      <c r="S13" s="112">
        <f t="shared" si="15"/>
        <v>1915.8</v>
      </c>
      <c r="T13" s="112">
        <f t="shared" si="16"/>
        <v>2121.8000000000002</v>
      </c>
      <c r="U13" s="112">
        <f t="shared" si="16"/>
        <v>2224.8000000000002</v>
      </c>
      <c r="V13" s="112">
        <f t="shared" si="16"/>
        <v>2327.8000000000002</v>
      </c>
      <c r="W13" s="112">
        <f t="shared" si="16"/>
        <v>2394.75</v>
      </c>
      <c r="X13" s="112">
        <f t="shared" si="16"/>
        <v>2466.85</v>
      </c>
      <c r="Z13" s="74">
        <f t="shared" si="34"/>
        <v>6</v>
      </c>
      <c r="AA13" s="112">
        <f t="shared" si="17"/>
        <v>1938.79</v>
      </c>
      <c r="AB13" s="112">
        <f t="shared" si="18"/>
        <v>2147.2600000000002</v>
      </c>
      <c r="AC13" s="112">
        <f t="shared" si="18"/>
        <v>2251.5</v>
      </c>
      <c r="AD13" s="112">
        <f t="shared" si="18"/>
        <v>2355.73</v>
      </c>
      <c r="AE13" s="112">
        <f t="shared" si="18"/>
        <v>2423.4899999999998</v>
      </c>
      <c r="AF13" s="112">
        <f t="shared" si="18"/>
        <v>2496.4499999999998</v>
      </c>
      <c r="AH13" s="74">
        <f t="shared" si="35"/>
        <v>6</v>
      </c>
      <c r="AI13" s="112">
        <f t="shared" si="36"/>
        <v>1967.87</v>
      </c>
      <c r="AJ13" s="112">
        <f t="shared" si="37"/>
        <v>2179.4699999999998</v>
      </c>
      <c r="AK13" s="112">
        <f t="shared" si="38"/>
        <v>2285.27</v>
      </c>
      <c r="AL13" s="112">
        <f t="shared" si="39"/>
        <v>2391.0700000000002</v>
      </c>
      <c r="AM13" s="112">
        <f t="shared" si="40"/>
        <v>2459.84</v>
      </c>
      <c r="AN13" s="112">
        <f t="shared" si="41"/>
        <v>2533.9</v>
      </c>
      <c r="AP13" s="74">
        <f t="shared" si="42"/>
        <v>6</v>
      </c>
      <c r="AQ13" s="112">
        <f t="shared" si="43"/>
        <v>2022.26</v>
      </c>
      <c r="AR13" s="112">
        <f t="shared" si="44"/>
        <v>2237.88</v>
      </c>
      <c r="AS13" s="112">
        <f t="shared" si="45"/>
        <v>2345.69</v>
      </c>
      <c r="AT13" s="112">
        <f t="shared" si="46"/>
        <v>2453.5</v>
      </c>
      <c r="AU13" s="112">
        <f t="shared" si="47"/>
        <v>2523.58</v>
      </c>
      <c r="AV13" s="112">
        <f t="shared" si="48"/>
        <v>2599.04</v>
      </c>
      <c r="AX13" s="74">
        <f t="shared" si="49"/>
        <v>6</v>
      </c>
      <c r="AY13" s="112">
        <f t="shared" si="50"/>
        <v>2075.85</v>
      </c>
      <c r="AZ13" s="112">
        <f t="shared" si="51"/>
        <v>2297.1799999999998</v>
      </c>
      <c r="BA13" s="112">
        <f t="shared" si="52"/>
        <v>2407.85</v>
      </c>
      <c r="BB13" s="112">
        <f t="shared" si="53"/>
        <v>2518.52</v>
      </c>
      <c r="BC13" s="112">
        <f t="shared" si="54"/>
        <v>2590.4499999999998</v>
      </c>
      <c r="BD13" s="112">
        <f t="shared" si="55"/>
        <v>2667.91</v>
      </c>
      <c r="BF13" s="74">
        <f t="shared" si="56"/>
        <v>6</v>
      </c>
      <c r="BG13" s="112">
        <f t="shared" si="57"/>
        <v>2137.09</v>
      </c>
      <c r="BH13" s="112">
        <f t="shared" si="58"/>
        <v>2364.9499999999998</v>
      </c>
      <c r="BI13" s="112">
        <f t="shared" si="59"/>
        <v>2478.88</v>
      </c>
      <c r="BJ13" s="112">
        <f t="shared" si="60"/>
        <v>2592.8200000000002</v>
      </c>
      <c r="BK13" s="112">
        <f t="shared" si="61"/>
        <v>2666.87</v>
      </c>
      <c r="BL13" s="112">
        <f t="shared" si="62"/>
        <v>2746.61</v>
      </c>
      <c r="BN13" s="74">
        <f t="shared" si="63"/>
        <v>6</v>
      </c>
      <c r="BO13" s="112">
        <f t="shared" si="64"/>
        <v>2181.9699999999998</v>
      </c>
      <c r="BP13" s="112">
        <f t="shared" si="65"/>
        <v>2414.61</v>
      </c>
      <c r="BQ13" s="112">
        <f t="shared" si="66"/>
        <v>2530.94</v>
      </c>
      <c r="BR13" s="112">
        <f t="shared" si="67"/>
        <v>2647.27</v>
      </c>
      <c r="BS13" s="112">
        <f t="shared" si="68"/>
        <v>2722.87</v>
      </c>
      <c r="BT13" s="112">
        <f t="shared" si="69"/>
        <v>2804.29</v>
      </c>
      <c r="BV13" s="74">
        <f t="shared" si="70"/>
        <v>6</v>
      </c>
      <c r="BW13" s="112">
        <f t="shared" si="71"/>
        <v>2256.9699999999998</v>
      </c>
      <c r="BX13" s="112">
        <f t="shared" si="72"/>
        <v>2489.61</v>
      </c>
      <c r="BY13" s="112">
        <f t="shared" si="73"/>
        <v>2605.94</v>
      </c>
      <c r="BZ13" s="112">
        <f t="shared" si="74"/>
        <v>2722.27</v>
      </c>
      <c r="CA13" s="112">
        <f t="shared" si="75"/>
        <v>2797.87</v>
      </c>
      <c r="CB13" s="112">
        <f t="shared" si="76"/>
        <v>2879.29</v>
      </c>
      <c r="CD13" s="74">
        <f t="shared" si="100"/>
        <v>7</v>
      </c>
      <c r="CE13" s="465">
        <f>IF(BW12="-","-",IF(BW12&gt;3200,ROUND(BW12*$CE$23,2),IF(ROUND(BW12*$CE$23,2)-BW12&lt;'L Tab'!$CE$21,BW12+$CE$21,ROUND(BW12*$CE$23,2))))</f>
        <v>2372.6799999999998</v>
      </c>
      <c r="CF13" s="465">
        <f>IF(BX12="-","-",IF(BX12&gt;3200,ROUND(BX12*$CE$23,2),IF(ROUND(BX12*$CE$23,2)-BX12&lt;'L Tab'!$CE$21,BX12+$CE$21,ROUND(BX12*$CE$23,2))))</f>
        <v>2611.14</v>
      </c>
      <c r="CG13" s="465">
        <f>IF(BY12="-","-",IF(BY12&gt;3200,ROUND(BY12*$CE$23,2),IF(ROUND(BY12*$CE$23,2)-BY12&lt;'L Tab'!$CE$21,BY12+$CE$21,ROUND(BY12*$CE$23,2))))</f>
        <v>2768.18</v>
      </c>
      <c r="CH13" s="465">
        <f>IF(BZ12="-","-",IF(BZ12&gt;3200,ROUND(BZ12*$CE$23,2),IF(ROUND(BZ12*$CE$23,2)-BZ12&lt;'L Tab'!$CE$21,BZ12+$CE$21,ROUND(BZ12*$CE$23,2))))</f>
        <v>2884.5</v>
      </c>
      <c r="CI13" s="465">
        <f>IF(CA12="-","-",IF(CA12&gt;3200,ROUND(CA12*$CE$23,2),IF(ROUND(CA12*$CE$23,2)-CA12&lt;'L Tab'!$CE$21,CA12+$CE$21,ROUND(CA12*$CE$23,2))))</f>
        <v>2977.58</v>
      </c>
      <c r="CJ13" s="465">
        <f>IF(CB12="-","-",IF(CB12&gt;3200,ROUND(CB12*$CE$23,2),IF(ROUND(CB12*$CE$23,2)-CB12&lt;'L Tab'!$CE$21,CB12+$CE$21,ROUND(CB12*$CE$23,2))))</f>
        <v>3058.98</v>
      </c>
      <c r="CL13" s="74">
        <f t="shared" si="101"/>
        <v>7</v>
      </c>
      <c r="CM13" s="112">
        <f t="shared" si="102"/>
        <v>2428.44</v>
      </c>
      <c r="CN13" s="112">
        <f t="shared" si="103"/>
        <v>2672.5</v>
      </c>
      <c r="CO13" s="112">
        <f t="shared" si="104"/>
        <v>2833.23</v>
      </c>
      <c r="CP13" s="112">
        <f t="shared" si="105"/>
        <v>2952.29</v>
      </c>
      <c r="CQ13" s="112">
        <f t="shared" si="106"/>
        <v>3047.55</v>
      </c>
      <c r="CR13" s="112">
        <f t="shared" si="107"/>
        <v>3130.87</v>
      </c>
      <c r="CT13" s="74">
        <f t="shared" si="108"/>
        <v>7</v>
      </c>
      <c r="CU13" s="112">
        <f t="shared" si="27"/>
        <v>2428.44</v>
      </c>
      <c r="CV13" s="112">
        <f t="shared" si="109"/>
        <v>2672.5</v>
      </c>
      <c r="CW13" s="112">
        <f t="shared" si="110"/>
        <v>2833.23</v>
      </c>
      <c r="CX13" s="112">
        <f t="shared" si="111"/>
        <v>2952.29</v>
      </c>
      <c r="CY13" s="112">
        <f t="shared" si="112"/>
        <v>3047.55</v>
      </c>
      <c r="CZ13" s="112">
        <f t="shared" si="113"/>
        <v>3130.87</v>
      </c>
      <c r="DB13" s="74">
        <f t="shared" si="114"/>
        <v>7</v>
      </c>
      <c r="DC13" s="112">
        <f t="shared" si="80"/>
        <v>2537.7199999999998</v>
      </c>
      <c r="DD13" s="112">
        <f t="shared" si="81"/>
        <v>2772.5</v>
      </c>
      <c r="DE13" s="112">
        <f t="shared" si="82"/>
        <v>2933.23</v>
      </c>
      <c r="DF13" s="112">
        <f t="shared" si="83"/>
        <v>3052.29</v>
      </c>
      <c r="DG13" s="112">
        <f t="shared" si="84"/>
        <v>3147.55</v>
      </c>
      <c r="DH13" s="112">
        <f t="shared" si="85"/>
        <v>3230.87</v>
      </c>
      <c r="DJ13" s="74">
        <f t="shared" si="115"/>
        <v>7</v>
      </c>
      <c r="DK13" s="112">
        <f t="shared" si="87"/>
        <v>2646.84</v>
      </c>
      <c r="DL13" s="112">
        <f t="shared" si="88"/>
        <v>2862.5</v>
      </c>
      <c r="DM13" s="112">
        <f t="shared" si="89"/>
        <v>3024.75</v>
      </c>
      <c r="DN13" s="112">
        <f t="shared" si="90"/>
        <v>3147.52</v>
      </c>
      <c r="DO13" s="112">
        <f t="shared" si="91"/>
        <v>3245.75</v>
      </c>
      <c r="DP13" s="112">
        <f t="shared" si="92"/>
        <v>3331.67</v>
      </c>
      <c r="DR13" s="74">
        <f t="shared" si="116"/>
        <v>7</v>
      </c>
      <c r="DS13" s="112">
        <f t="shared" si="94"/>
        <v>2696.84</v>
      </c>
      <c r="DT13" s="112">
        <f t="shared" si="95"/>
        <v>2912.5</v>
      </c>
      <c r="DU13" s="112">
        <f t="shared" si="96"/>
        <v>3074.75</v>
      </c>
      <c r="DV13" s="112">
        <f t="shared" si="97"/>
        <v>3197.52</v>
      </c>
      <c r="DW13" s="112">
        <f t="shared" si="98"/>
        <v>3295.75</v>
      </c>
      <c r="DX13" s="112">
        <f t="shared" si="99"/>
        <v>3381.67</v>
      </c>
    </row>
    <row r="14" spans="1:128">
      <c r="B14" s="74">
        <v>5</v>
      </c>
      <c r="C14" s="384">
        <v>1688</v>
      </c>
      <c r="D14" s="37">
        <v>1875</v>
      </c>
      <c r="E14" s="37">
        <v>1970</v>
      </c>
      <c r="F14" s="37">
        <v>2065</v>
      </c>
      <c r="G14" s="37">
        <v>2135</v>
      </c>
      <c r="H14" s="385">
        <v>2185</v>
      </c>
      <c r="J14" s="74">
        <f t="shared" si="32"/>
        <v>5</v>
      </c>
      <c r="K14" s="112">
        <v>1740</v>
      </c>
      <c r="L14" s="112">
        <v>1930</v>
      </c>
      <c r="M14" s="112">
        <v>2030</v>
      </c>
      <c r="N14" s="112">
        <v>2125</v>
      </c>
      <c r="O14" s="112">
        <v>2200</v>
      </c>
      <c r="P14" s="112">
        <v>2250</v>
      </c>
      <c r="R14" s="74">
        <f t="shared" si="33"/>
        <v>5</v>
      </c>
      <c r="S14" s="112">
        <f t="shared" si="15"/>
        <v>1833.4</v>
      </c>
      <c r="T14" s="112">
        <f t="shared" si="16"/>
        <v>2029.1</v>
      </c>
      <c r="U14" s="112">
        <f t="shared" si="16"/>
        <v>2132.1</v>
      </c>
      <c r="V14" s="112">
        <f t="shared" si="16"/>
        <v>2229.9499999999998</v>
      </c>
      <c r="W14" s="112">
        <f t="shared" si="16"/>
        <v>2307.1999999999998</v>
      </c>
      <c r="X14" s="112">
        <f t="shared" si="16"/>
        <v>2358.6999999999998</v>
      </c>
      <c r="Z14" s="74">
        <f t="shared" si="34"/>
        <v>5</v>
      </c>
      <c r="AA14" s="112">
        <f t="shared" si="17"/>
        <v>1855.4</v>
      </c>
      <c r="AB14" s="112">
        <f t="shared" si="18"/>
        <v>2053.4499999999998</v>
      </c>
      <c r="AC14" s="112">
        <f t="shared" si="18"/>
        <v>2157.69</v>
      </c>
      <c r="AD14" s="112">
        <f t="shared" si="18"/>
        <v>2256.71</v>
      </c>
      <c r="AE14" s="112">
        <f t="shared" si="18"/>
        <v>2334.89</v>
      </c>
      <c r="AF14" s="112">
        <f t="shared" si="18"/>
        <v>2387</v>
      </c>
      <c r="AH14" s="74">
        <f t="shared" si="35"/>
        <v>5</v>
      </c>
      <c r="AI14" s="112">
        <f t="shared" si="36"/>
        <v>1883.23</v>
      </c>
      <c r="AJ14" s="112">
        <f t="shared" si="37"/>
        <v>2084.25</v>
      </c>
      <c r="AK14" s="112">
        <f t="shared" si="38"/>
        <v>2190.06</v>
      </c>
      <c r="AL14" s="112">
        <f t="shared" si="39"/>
        <v>2290.56</v>
      </c>
      <c r="AM14" s="112">
        <f t="shared" si="40"/>
        <v>2369.91</v>
      </c>
      <c r="AN14" s="112">
        <f t="shared" si="41"/>
        <v>2422.81</v>
      </c>
      <c r="AP14" s="74">
        <f t="shared" si="42"/>
        <v>5</v>
      </c>
      <c r="AQ14" s="112">
        <f t="shared" si="43"/>
        <v>1936.01</v>
      </c>
      <c r="AR14" s="112">
        <f t="shared" si="44"/>
        <v>2140.85</v>
      </c>
      <c r="AS14" s="112">
        <f t="shared" si="45"/>
        <v>2248.67</v>
      </c>
      <c r="AT14" s="112">
        <f t="shared" si="46"/>
        <v>2351.08</v>
      </c>
      <c r="AU14" s="112">
        <f t="shared" si="47"/>
        <v>2431.94</v>
      </c>
      <c r="AV14" s="112">
        <f t="shared" si="48"/>
        <v>2485.84</v>
      </c>
      <c r="AX14" s="74">
        <f t="shared" si="49"/>
        <v>5</v>
      </c>
      <c r="AY14" s="112">
        <f t="shared" si="50"/>
        <v>1987.31</v>
      </c>
      <c r="AZ14" s="112">
        <f t="shared" si="51"/>
        <v>2197.58</v>
      </c>
      <c r="BA14" s="112">
        <f t="shared" si="52"/>
        <v>2308.2600000000002</v>
      </c>
      <c r="BB14" s="112">
        <f t="shared" si="53"/>
        <v>2413.38</v>
      </c>
      <c r="BC14" s="112">
        <f t="shared" si="54"/>
        <v>2496.39</v>
      </c>
      <c r="BD14" s="112">
        <f t="shared" si="55"/>
        <v>2551.71</v>
      </c>
      <c r="BF14" s="74">
        <f t="shared" si="56"/>
        <v>5</v>
      </c>
      <c r="BG14" s="112">
        <f t="shared" si="57"/>
        <v>2045.94</v>
      </c>
      <c r="BH14" s="112">
        <f t="shared" si="58"/>
        <v>2262.41</v>
      </c>
      <c r="BI14" s="112">
        <f t="shared" si="59"/>
        <v>2376.35</v>
      </c>
      <c r="BJ14" s="112">
        <f t="shared" si="60"/>
        <v>2484.5700000000002</v>
      </c>
      <c r="BK14" s="112">
        <f t="shared" si="61"/>
        <v>2570.0300000000002</v>
      </c>
      <c r="BL14" s="112">
        <f t="shared" si="62"/>
        <v>2626.99</v>
      </c>
      <c r="BN14" s="74">
        <f t="shared" si="63"/>
        <v>5</v>
      </c>
      <c r="BO14" s="112">
        <f t="shared" si="64"/>
        <v>2088.9</v>
      </c>
      <c r="BP14" s="112">
        <f t="shared" si="65"/>
        <v>2309.92</v>
      </c>
      <c r="BQ14" s="112">
        <f t="shared" si="66"/>
        <v>2426.25</v>
      </c>
      <c r="BR14" s="112">
        <f t="shared" si="67"/>
        <v>2536.75</v>
      </c>
      <c r="BS14" s="112">
        <f t="shared" si="68"/>
        <v>2624</v>
      </c>
      <c r="BT14" s="112">
        <f t="shared" si="69"/>
        <v>2682.16</v>
      </c>
      <c r="BV14" s="74">
        <f t="shared" si="70"/>
        <v>5</v>
      </c>
      <c r="BW14" s="112">
        <f t="shared" si="71"/>
        <v>2163.9</v>
      </c>
      <c r="BX14" s="112">
        <f t="shared" si="72"/>
        <v>2384.92</v>
      </c>
      <c r="BY14" s="112">
        <f t="shared" si="73"/>
        <v>2501.25</v>
      </c>
      <c r="BZ14" s="112">
        <f t="shared" si="74"/>
        <v>2611.75</v>
      </c>
      <c r="CA14" s="112">
        <f t="shared" si="75"/>
        <v>2699</v>
      </c>
      <c r="CB14" s="112">
        <f t="shared" si="76"/>
        <v>2757.16</v>
      </c>
      <c r="CD14" s="74">
        <f t="shared" si="100"/>
        <v>6</v>
      </c>
      <c r="CE14" s="465">
        <f>IF(BW13="-","-",IF(BW13&gt;3200,ROUND(BW13*$CE$23,2),IF(ROUND(BW13*$CE$23,2)-BW13&lt;'L Tab'!$CE$21,BW13+$CE$21,ROUND(BW13*$CE$23,2))))</f>
        <v>2331.9699999999998</v>
      </c>
      <c r="CF14" s="465">
        <f>IF(BX13="-","-",IF(BX13&gt;3200,ROUND(BX13*$CE$23,2),IF(ROUND(BX13*$CE$23,2)-BX13&lt;'L Tab'!$CE$21,BX13+$CE$21,ROUND(BX13*$CE$23,2))))</f>
        <v>2564.61</v>
      </c>
      <c r="CG14" s="465">
        <f>IF(BY13="-","-",IF(BY13&gt;3200,ROUND(BY13*$CE$23,2),IF(ROUND(BY13*$CE$23,2)-BY13&lt;'L Tab'!$CE$21,BY13+$CE$21,ROUND(BY13*$CE$23,2))))</f>
        <v>2680.94</v>
      </c>
      <c r="CH14" s="465">
        <f>IF(BZ13="-","-",IF(BZ13&gt;3200,ROUND(BZ13*$CE$23,2),IF(ROUND(BZ13*$CE$23,2)-BZ13&lt;'L Tab'!$CE$21,BZ13+$CE$21,ROUND(BZ13*$CE$23,2))))</f>
        <v>2797.27</v>
      </c>
      <c r="CI14" s="465">
        <f>IF(CA13="-","-",IF(CA13&gt;3200,ROUND(CA13*$CE$23,2),IF(ROUND(CA13*$CE$23,2)-CA13&lt;'L Tab'!$CE$21,CA13+$CE$21,ROUND(CA13*$CE$23,2))))</f>
        <v>2872.87</v>
      </c>
      <c r="CJ14" s="465">
        <f>IF(CB13="-","-",IF(CB13&gt;3200,ROUND(CB13*$CE$23,2),IF(ROUND(CB13*$CE$23,2)-CB13&lt;'L Tab'!$CE$21,CB13+$CE$21,ROUND(CB13*$CE$23,2))))</f>
        <v>2954.29</v>
      </c>
      <c r="CL14" s="74">
        <f t="shared" si="101"/>
        <v>6</v>
      </c>
      <c r="CM14" s="112">
        <f t="shared" si="102"/>
        <v>2386.77</v>
      </c>
      <c r="CN14" s="112">
        <f t="shared" si="103"/>
        <v>2624.88</v>
      </c>
      <c r="CO14" s="112">
        <f t="shared" si="104"/>
        <v>2743.94</v>
      </c>
      <c r="CP14" s="112">
        <f t="shared" si="105"/>
        <v>2863.01</v>
      </c>
      <c r="CQ14" s="112">
        <f t="shared" si="106"/>
        <v>2940.38</v>
      </c>
      <c r="CR14" s="112">
        <f t="shared" si="107"/>
        <v>3023.72</v>
      </c>
      <c r="CT14" s="74">
        <f t="shared" si="108"/>
        <v>6</v>
      </c>
      <c r="CU14" s="112">
        <f t="shared" si="27"/>
        <v>2386.77</v>
      </c>
      <c r="CV14" s="112">
        <f t="shared" si="109"/>
        <v>2624.88</v>
      </c>
      <c r="CW14" s="112">
        <f t="shared" si="110"/>
        <v>2743.94</v>
      </c>
      <c r="CX14" s="112">
        <f t="shared" si="111"/>
        <v>2863.01</v>
      </c>
      <c r="CY14" s="112">
        <f t="shared" si="112"/>
        <v>2940.38</v>
      </c>
      <c r="CZ14" s="112">
        <f t="shared" si="113"/>
        <v>3023.72</v>
      </c>
      <c r="DB14" s="74">
        <f t="shared" si="114"/>
        <v>6</v>
      </c>
      <c r="DC14" s="112">
        <f t="shared" si="80"/>
        <v>2494.17</v>
      </c>
      <c r="DD14" s="112">
        <f t="shared" si="81"/>
        <v>2724.88</v>
      </c>
      <c r="DE14" s="112">
        <f t="shared" si="82"/>
        <v>2843.94</v>
      </c>
      <c r="DF14" s="112">
        <f t="shared" si="83"/>
        <v>2963.01</v>
      </c>
      <c r="DG14" s="112">
        <f t="shared" si="84"/>
        <v>3040.38</v>
      </c>
      <c r="DH14" s="112">
        <f t="shared" si="85"/>
        <v>3123.72</v>
      </c>
      <c r="DJ14" s="74">
        <f t="shared" si="115"/>
        <v>6</v>
      </c>
      <c r="DK14" s="112">
        <f t="shared" si="87"/>
        <v>2601.42</v>
      </c>
      <c r="DL14" s="112">
        <f t="shared" si="88"/>
        <v>2814.88</v>
      </c>
      <c r="DM14" s="112">
        <f t="shared" si="89"/>
        <v>2933.94</v>
      </c>
      <c r="DN14" s="112">
        <f t="shared" si="90"/>
        <v>3055.46</v>
      </c>
      <c r="DO14" s="112">
        <f t="shared" si="91"/>
        <v>3135.24</v>
      </c>
      <c r="DP14" s="112">
        <f t="shared" si="92"/>
        <v>3221.18</v>
      </c>
      <c r="DR14" s="74">
        <f t="shared" si="116"/>
        <v>6</v>
      </c>
      <c r="DS14" s="112">
        <f t="shared" si="94"/>
        <v>2651.42</v>
      </c>
      <c r="DT14" s="112">
        <f t="shared" si="95"/>
        <v>2864.88</v>
      </c>
      <c r="DU14" s="112">
        <f t="shared" si="96"/>
        <v>2983.94</v>
      </c>
      <c r="DV14" s="112">
        <f t="shared" si="97"/>
        <v>3105.46</v>
      </c>
      <c r="DW14" s="112">
        <f t="shared" si="98"/>
        <v>3185.24</v>
      </c>
      <c r="DX14" s="112">
        <f t="shared" si="99"/>
        <v>3271.18</v>
      </c>
    </row>
    <row r="15" spans="1:128">
      <c r="B15" s="74">
        <v>4</v>
      </c>
      <c r="C15" s="384">
        <v>1602</v>
      </c>
      <c r="D15" s="37">
        <v>1780</v>
      </c>
      <c r="E15" s="37">
        <v>1900</v>
      </c>
      <c r="F15" s="37">
        <v>1970</v>
      </c>
      <c r="G15" s="37">
        <v>2040</v>
      </c>
      <c r="H15" s="385">
        <v>2081</v>
      </c>
      <c r="J15" s="74">
        <f t="shared" si="32"/>
        <v>4</v>
      </c>
      <c r="K15" s="112">
        <v>1650</v>
      </c>
      <c r="L15" s="112">
        <v>1835</v>
      </c>
      <c r="M15" s="112">
        <v>1960</v>
      </c>
      <c r="N15" s="112">
        <v>2030</v>
      </c>
      <c r="O15" s="112">
        <v>2100</v>
      </c>
      <c r="P15" s="112">
        <v>2145</v>
      </c>
      <c r="R15" s="74">
        <f t="shared" si="33"/>
        <v>4</v>
      </c>
      <c r="S15" s="112">
        <f t="shared" si="15"/>
        <v>1740.7</v>
      </c>
      <c r="T15" s="112">
        <f t="shared" si="16"/>
        <v>1931.25</v>
      </c>
      <c r="U15" s="112">
        <f t="shared" si="16"/>
        <v>2060</v>
      </c>
      <c r="V15" s="112">
        <f t="shared" si="16"/>
        <v>2132.1</v>
      </c>
      <c r="W15" s="112">
        <f t="shared" si="16"/>
        <v>2204.1999999999998</v>
      </c>
      <c r="X15" s="112">
        <f t="shared" si="16"/>
        <v>2250.5500000000002</v>
      </c>
      <c r="Z15" s="74">
        <f t="shared" si="34"/>
        <v>4</v>
      </c>
      <c r="AA15" s="112">
        <f t="shared" si="17"/>
        <v>1761.59</v>
      </c>
      <c r="AB15" s="112">
        <f t="shared" si="18"/>
        <v>1954.43</v>
      </c>
      <c r="AC15" s="112">
        <f t="shared" si="18"/>
        <v>2084.7199999999998</v>
      </c>
      <c r="AD15" s="112">
        <f t="shared" si="18"/>
        <v>2157.69</v>
      </c>
      <c r="AE15" s="112">
        <f t="shared" si="18"/>
        <v>2230.65</v>
      </c>
      <c r="AF15" s="112">
        <f t="shared" si="18"/>
        <v>2277.56</v>
      </c>
      <c r="AH15" s="74">
        <f t="shared" si="35"/>
        <v>4</v>
      </c>
      <c r="AI15" s="112">
        <f t="shared" si="36"/>
        <v>1788.01</v>
      </c>
      <c r="AJ15" s="112">
        <f t="shared" si="37"/>
        <v>1983.75</v>
      </c>
      <c r="AK15" s="112">
        <f t="shared" si="38"/>
        <v>2115.9899999999998</v>
      </c>
      <c r="AL15" s="112">
        <f t="shared" si="39"/>
        <v>2190.06</v>
      </c>
      <c r="AM15" s="112">
        <f t="shared" si="40"/>
        <v>2264.11</v>
      </c>
      <c r="AN15" s="112">
        <f t="shared" si="41"/>
        <v>2311.7199999999998</v>
      </c>
      <c r="AP15" s="74">
        <f t="shared" si="42"/>
        <v>4</v>
      </c>
      <c r="AQ15" s="112">
        <f t="shared" si="43"/>
        <v>1838.98</v>
      </c>
      <c r="AR15" s="112">
        <f t="shared" si="44"/>
        <v>2038.44</v>
      </c>
      <c r="AS15" s="112">
        <f t="shared" si="45"/>
        <v>2173.19</v>
      </c>
      <c r="AT15" s="112">
        <f t="shared" si="46"/>
        <v>2248.67</v>
      </c>
      <c r="AU15" s="112">
        <f t="shared" si="47"/>
        <v>2324.13</v>
      </c>
      <c r="AV15" s="112">
        <f t="shared" si="48"/>
        <v>2372.64</v>
      </c>
      <c r="AX15" s="74">
        <f t="shared" si="49"/>
        <v>4</v>
      </c>
      <c r="AY15" s="112">
        <f t="shared" si="50"/>
        <v>1887.71</v>
      </c>
      <c r="AZ15" s="112">
        <f t="shared" si="51"/>
        <v>2092.46</v>
      </c>
      <c r="BA15" s="112">
        <f t="shared" si="52"/>
        <v>2230.7800000000002</v>
      </c>
      <c r="BB15" s="112">
        <f t="shared" si="53"/>
        <v>2308.2600000000002</v>
      </c>
      <c r="BC15" s="112">
        <f t="shared" si="54"/>
        <v>2385.7199999999998</v>
      </c>
      <c r="BD15" s="112">
        <f t="shared" si="55"/>
        <v>2435.5100000000002</v>
      </c>
      <c r="BF15" s="74">
        <f t="shared" si="56"/>
        <v>4</v>
      </c>
      <c r="BG15" s="112">
        <f t="shared" si="57"/>
        <v>1943.4</v>
      </c>
      <c r="BH15" s="112">
        <f t="shared" si="58"/>
        <v>2154.19</v>
      </c>
      <c r="BI15" s="112">
        <f t="shared" si="59"/>
        <v>2296.59</v>
      </c>
      <c r="BJ15" s="112">
        <f t="shared" si="60"/>
        <v>2376.35</v>
      </c>
      <c r="BK15" s="112">
        <f t="shared" si="61"/>
        <v>2456.1</v>
      </c>
      <c r="BL15" s="112">
        <f t="shared" si="62"/>
        <v>2507.36</v>
      </c>
      <c r="BN15" s="74">
        <f t="shared" si="63"/>
        <v>4</v>
      </c>
      <c r="BO15" s="112">
        <f t="shared" si="64"/>
        <v>1984.21</v>
      </c>
      <c r="BP15" s="112">
        <f t="shared" si="65"/>
        <v>2199.4299999999998</v>
      </c>
      <c r="BQ15" s="112">
        <f t="shared" si="66"/>
        <v>2344.8200000000002</v>
      </c>
      <c r="BR15" s="112">
        <f t="shared" si="67"/>
        <v>2426.25</v>
      </c>
      <c r="BS15" s="112">
        <f t="shared" si="68"/>
        <v>2507.6799999999998</v>
      </c>
      <c r="BT15" s="112">
        <f t="shared" si="69"/>
        <v>2560.0100000000002</v>
      </c>
      <c r="BV15" s="74">
        <f t="shared" si="70"/>
        <v>4</v>
      </c>
      <c r="BW15" s="112">
        <f t="shared" si="71"/>
        <v>2059.21</v>
      </c>
      <c r="BX15" s="112">
        <f t="shared" si="72"/>
        <v>2274.4299999999998</v>
      </c>
      <c r="BY15" s="112">
        <f t="shared" si="73"/>
        <v>2419.8200000000002</v>
      </c>
      <c r="BZ15" s="112">
        <f t="shared" si="74"/>
        <v>2501.25</v>
      </c>
      <c r="CA15" s="112">
        <f t="shared" si="75"/>
        <v>2582.6799999999998</v>
      </c>
      <c r="CB15" s="112">
        <f t="shared" si="76"/>
        <v>2635.01</v>
      </c>
      <c r="CD15" s="74">
        <f t="shared" si="100"/>
        <v>5</v>
      </c>
      <c r="CE15" s="465">
        <f>IF(BW14="-","-",IF(BW14&gt;3200,ROUND(BW14*$CE$23,2),IF(ROUND(BW14*$CE$23,2)-BW14&lt;'L Tab'!$CE$21,BW14+$CE$21,ROUND(BW14*$CE$23,2))))</f>
        <v>2238.9</v>
      </c>
      <c r="CF15" s="465">
        <f>IF(BX14="-","-",IF(BX14&gt;3200,ROUND(BX14*$CE$23,2),IF(ROUND(BX14*$CE$23,2)-BX14&lt;'L Tab'!$CE$21,BX14+$CE$21,ROUND(BX14*$CE$23,2))))</f>
        <v>2459.92</v>
      </c>
      <c r="CG15" s="465">
        <f>IF(BY14="-","-",IF(BY14&gt;3200,ROUND(BY14*$CE$23,2),IF(ROUND(BY14*$CE$23,2)-BY14&lt;'L Tab'!$CE$21,BY14+$CE$21,ROUND(BY14*$CE$23,2))))</f>
        <v>2576.25</v>
      </c>
      <c r="CH15" s="465">
        <f>IF(BZ14="-","-",IF(BZ14&gt;3200,ROUND(BZ14*$CE$23,2),IF(ROUND(BZ14*$CE$23,2)-BZ14&lt;'L Tab'!$CE$21,BZ14+$CE$21,ROUND(BZ14*$CE$23,2))))</f>
        <v>2686.75</v>
      </c>
      <c r="CI15" s="465">
        <f>IF(CA14="-","-",IF(CA14&gt;3200,ROUND(CA14*$CE$23,2),IF(ROUND(CA14*$CE$23,2)-CA14&lt;'L Tab'!$CE$21,CA14+$CE$21,ROUND(CA14*$CE$23,2))))</f>
        <v>2774</v>
      </c>
      <c r="CJ15" s="465">
        <f>IF(CB14="-","-",IF(CB14&gt;3200,ROUND(CB14*$CE$23,2),IF(ROUND(CB14*$CE$23,2)-CB14&lt;'L Tab'!$CE$21,CB14+$CE$21,ROUND(CB14*$CE$23,2))))</f>
        <v>2832.16</v>
      </c>
      <c r="CL15" s="74">
        <f t="shared" si="101"/>
        <v>5</v>
      </c>
      <c r="CM15" s="112">
        <f t="shared" si="102"/>
        <v>2291.5100000000002</v>
      </c>
      <c r="CN15" s="112">
        <f t="shared" si="103"/>
        <v>2517.73</v>
      </c>
      <c r="CO15" s="112">
        <f t="shared" si="104"/>
        <v>2636.79</v>
      </c>
      <c r="CP15" s="112">
        <f t="shared" si="105"/>
        <v>2749.89</v>
      </c>
      <c r="CQ15" s="112">
        <f t="shared" si="106"/>
        <v>2839.19</v>
      </c>
      <c r="CR15" s="112">
        <f t="shared" si="107"/>
        <v>2898.72</v>
      </c>
      <c r="CT15" s="74">
        <f t="shared" si="108"/>
        <v>5</v>
      </c>
      <c r="CU15" s="112">
        <f t="shared" si="27"/>
        <v>2291.5100000000002</v>
      </c>
      <c r="CV15" s="112">
        <f t="shared" si="109"/>
        <v>2517.73</v>
      </c>
      <c r="CW15" s="112">
        <f t="shared" si="110"/>
        <v>2636.79</v>
      </c>
      <c r="CX15" s="112">
        <f t="shared" si="111"/>
        <v>2749.89</v>
      </c>
      <c r="CY15" s="112">
        <f t="shared" si="112"/>
        <v>2839.19</v>
      </c>
      <c r="CZ15" s="112">
        <f t="shared" si="113"/>
        <v>2898.72</v>
      </c>
      <c r="DB15" s="74">
        <f t="shared" si="114"/>
        <v>5</v>
      </c>
      <c r="DC15" s="112">
        <f t="shared" si="80"/>
        <v>2394.63</v>
      </c>
      <c r="DD15" s="112">
        <f t="shared" si="81"/>
        <v>2617.73</v>
      </c>
      <c r="DE15" s="112">
        <f t="shared" si="82"/>
        <v>2736.79</v>
      </c>
      <c r="DF15" s="112">
        <f t="shared" si="83"/>
        <v>2849.89</v>
      </c>
      <c r="DG15" s="112">
        <f t="shared" si="84"/>
        <v>2939.19</v>
      </c>
      <c r="DH15" s="112">
        <f t="shared" si="85"/>
        <v>2998.72</v>
      </c>
      <c r="DJ15" s="74">
        <f t="shared" si="115"/>
        <v>5</v>
      </c>
      <c r="DK15" s="112">
        <f t="shared" si="87"/>
        <v>2497.6</v>
      </c>
      <c r="DL15" s="112">
        <f t="shared" si="88"/>
        <v>2707.73</v>
      </c>
      <c r="DM15" s="112">
        <f t="shared" si="89"/>
        <v>2826.79</v>
      </c>
      <c r="DN15" s="112">
        <f t="shared" si="90"/>
        <v>2939.89</v>
      </c>
      <c r="DO15" s="112">
        <f t="shared" si="91"/>
        <v>3030.89</v>
      </c>
      <c r="DP15" s="112">
        <f t="shared" si="92"/>
        <v>3092.28</v>
      </c>
      <c r="DR15" s="74">
        <f t="shared" si="116"/>
        <v>5</v>
      </c>
      <c r="DS15" s="112">
        <f t="shared" si="94"/>
        <v>2547.6</v>
      </c>
      <c r="DT15" s="112">
        <f t="shared" si="95"/>
        <v>2757.73</v>
      </c>
      <c r="DU15" s="112">
        <f t="shared" si="96"/>
        <v>2876.79</v>
      </c>
      <c r="DV15" s="112">
        <f t="shared" si="97"/>
        <v>2989.89</v>
      </c>
      <c r="DW15" s="112">
        <f t="shared" si="98"/>
        <v>3080.89</v>
      </c>
      <c r="DX15" s="112">
        <f t="shared" si="99"/>
        <v>3142.28</v>
      </c>
    </row>
    <row r="16" spans="1:128">
      <c r="B16" s="74">
        <v>3</v>
      </c>
      <c r="C16" s="384">
        <v>1575</v>
      </c>
      <c r="D16" s="37">
        <v>1750</v>
      </c>
      <c r="E16" s="37">
        <v>1800</v>
      </c>
      <c r="F16" s="37">
        <v>1880</v>
      </c>
      <c r="G16" s="37">
        <v>1940</v>
      </c>
      <c r="H16" s="385">
        <v>1995</v>
      </c>
      <c r="J16" s="74">
        <f t="shared" si="32"/>
        <v>3</v>
      </c>
      <c r="K16" s="112">
        <v>1625</v>
      </c>
      <c r="L16" s="112">
        <v>1805</v>
      </c>
      <c r="M16" s="112">
        <v>1855</v>
      </c>
      <c r="N16" s="112">
        <v>1935</v>
      </c>
      <c r="O16" s="112">
        <v>2000</v>
      </c>
      <c r="P16" s="112">
        <v>2055</v>
      </c>
      <c r="R16" s="74">
        <f t="shared" si="33"/>
        <v>3</v>
      </c>
      <c r="S16" s="112">
        <f t="shared" si="15"/>
        <v>1714.95</v>
      </c>
      <c r="T16" s="112">
        <f t="shared" si="16"/>
        <v>1900.35</v>
      </c>
      <c r="U16" s="112">
        <f t="shared" si="16"/>
        <v>1951.85</v>
      </c>
      <c r="V16" s="112">
        <f t="shared" si="16"/>
        <v>2034.25</v>
      </c>
      <c r="W16" s="112">
        <f t="shared" si="16"/>
        <v>2101.1999999999998</v>
      </c>
      <c r="X16" s="112">
        <f t="shared" si="16"/>
        <v>2157.85</v>
      </c>
      <c r="Z16" s="74">
        <f t="shared" si="34"/>
        <v>3</v>
      </c>
      <c r="AA16" s="112">
        <f t="shared" si="17"/>
        <v>1735.53</v>
      </c>
      <c r="AB16" s="112">
        <f t="shared" si="18"/>
        <v>1923.15</v>
      </c>
      <c r="AC16" s="112">
        <f t="shared" si="18"/>
        <v>1975.27</v>
      </c>
      <c r="AD16" s="112">
        <f t="shared" si="18"/>
        <v>2058.66</v>
      </c>
      <c r="AE16" s="112">
        <f t="shared" si="18"/>
        <v>2126.41</v>
      </c>
      <c r="AF16" s="112">
        <f t="shared" si="18"/>
        <v>2183.7399999999998</v>
      </c>
      <c r="AH16" s="74">
        <f t="shared" si="35"/>
        <v>3</v>
      </c>
      <c r="AI16" s="112">
        <f t="shared" si="36"/>
        <v>1761.56</v>
      </c>
      <c r="AJ16" s="112">
        <f t="shared" si="37"/>
        <v>1952</v>
      </c>
      <c r="AK16" s="112">
        <f t="shared" si="38"/>
        <v>2004.9</v>
      </c>
      <c r="AL16" s="112">
        <f t="shared" si="39"/>
        <v>2089.54</v>
      </c>
      <c r="AM16" s="112">
        <f t="shared" si="40"/>
        <v>2158.31</v>
      </c>
      <c r="AN16" s="112">
        <f t="shared" si="41"/>
        <v>2216.5</v>
      </c>
      <c r="AP16" s="74">
        <f t="shared" si="42"/>
        <v>3</v>
      </c>
      <c r="AQ16" s="112">
        <f t="shared" si="43"/>
        <v>1812.03</v>
      </c>
      <c r="AR16" s="112">
        <f t="shared" si="44"/>
        <v>2006.09</v>
      </c>
      <c r="AS16" s="112">
        <f t="shared" si="45"/>
        <v>2059.9899999999998</v>
      </c>
      <c r="AT16" s="112">
        <f t="shared" si="46"/>
        <v>2146.2399999999998</v>
      </c>
      <c r="AU16" s="112">
        <f t="shared" si="47"/>
        <v>2216.3200000000002</v>
      </c>
      <c r="AV16" s="112">
        <f t="shared" si="48"/>
        <v>2275.61</v>
      </c>
      <c r="AX16" s="74">
        <f t="shared" si="49"/>
        <v>3</v>
      </c>
      <c r="AY16" s="112">
        <f t="shared" si="50"/>
        <v>1860.05</v>
      </c>
      <c r="AZ16" s="112">
        <f t="shared" si="51"/>
        <v>2059.25</v>
      </c>
      <c r="BA16" s="112">
        <f t="shared" si="52"/>
        <v>2114.58</v>
      </c>
      <c r="BB16" s="112">
        <f t="shared" si="53"/>
        <v>2203.12</v>
      </c>
      <c r="BC16" s="112">
        <f t="shared" si="54"/>
        <v>2275.0500000000002</v>
      </c>
      <c r="BD16" s="112">
        <f t="shared" si="55"/>
        <v>2335.91</v>
      </c>
      <c r="BF16" s="74">
        <f t="shared" si="56"/>
        <v>3</v>
      </c>
      <c r="BG16" s="112">
        <f t="shared" si="57"/>
        <v>1914.92</v>
      </c>
      <c r="BH16" s="112">
        <f t="shared" si="58"/>
        <v>2120</v>
      </c>
      <c r="BI16" s="112">
        <f t="shared" si="59"/>
        <v>2176.96</v>
      </c>
      <c r="BJ16" s="112">
        <f t="shared" si="60"/>
        <v>2268.11</v>
      </c>
      <c r="BK16" s="112">
        <f t="shared" si="61"/>
        <v>2342.16</v>
      </c>
      <c r="BL16" s="112">
        <f t="shared" si="62"/>
        <v>2404.8200000000002</v>
      </c>
      <c r="BN16" s="74">
        <f t="shared" si="63"/>
        <v>3</v>
      </c>
      <c r="BO16" s="112">
        <f t="shared" si="64"/>
        <v>1955.13</v>
      </c>
      <c r="BP16" s="112">
        <f t="shared" si="65"/>
        <v>2164.52</v>
      </c>
      <c r="BQ16" s="112">
        <f t="shared" si="66"/>
        <v>2222.6799999999998</v>
      </c>
      <c r="BR16" s="112">
        <f t="shared" si="67"/>
        <v>2315.7399999999998</v>
      </c>
      <c r="BS16" s="112">
        <f t="shared" si="68"/>
        <v>2391.35</v>
      </c>
      <c r="BT16" s="112">
        <f t="shared" si="69"/>
        <v>2455.3200000000002</v>
      </c>
      <c r="BV16" s="74">
        <f t="shared" si="70"/>
        <v>3</v>
      </c>
      <c r="BW16" s="112">
        <f t="shared" si="71"/>
        <v>2030.13</v>
      </c>
      <c r="BX16" s="112">
        <f t="shared" si="72"/>
        <v>2239.52</v>
      </c>
      <c r="BY16" s="112">
        <f t="shared" si="73"/>
        <v>2297.6799999999998</v>
      </c>
      <c r="BZ16" s="112">
        <f t="shared" si="74"/>
        <v>2390.7399999999998</v>
      </c>
      <c r="CA16" s="112">
        <f t="shared" si="75"/>
        <v>2466.35</v>
      </c>
      <c r="CB16" s="112">
        <f t="shared" si="76"/>
        <v>2530.3200000000002</v>
      </c>
      <c r="CD16" s="74">
        <f t="shared" si="100"/>
        <v>4</v>
      </c>
      <c r="CE16" s="465">
        <f>IF(BW15="-","-",IF(BW15&gt;3200,ROUND(BW15*$CE$23,2),IF(ROUND(BW15*$CE$23,2)-BW15&lt;'L Tab'!$CE$21,BW15+$CE$21,ROUND(BW15*$CE$23,2))))</f>
        <v>2134.21</v>
      </c>
      <c r="CF16" s="465">
        <f>IF(BX15="-","-",IF(BX15&gt;3200,ROUND(BX15*$CE$23,2),IF(ROUND(BX15*$CE$23,2)-BX15&lt;'L Tab'!$CE$21,BX15+$CE$21,ROUND(BX15*$CE$23,2))))</f>
        <v>2349.4299999999998</v>
      </c>
      <c r="CG16" s="465">
        <f>IF(BY15="-","-",IF(BY15&gt;3200,ROUND(BY15*$CE$23,2),IF(ROUND(BY15*$CE$23,2)-BY15&lt;'L Tab'!$CE$21,BY15+$CE$21,ROUND(BY15*$CE$23,2))))</f>
        <v>2494.8200000000002</v>
      </c>
      <c r="CH16" s="465">
        <f>IF(BZ15="-","-",IF(BZ15&gt;3200,ROUND(BZ15*$CE$23,2),IF(ROUND(BZ15*$CE$23,2)-BZ15&lt;'L Tab'!$CE$21,BZ15+$CE$21,ROUND(BZ15*$CE$23,2))))</f>
        <v>2576.25</v>
      </c>
      <c r="CI16" s="465">
        <f>IF(CA15="-","-",IF(CA15&gt;3200,ROUND(CA15*$CE$23,2),IF(ROUND(CA15*$CE$23,2)-CA15&lt;'L Tab'!$CE$21,CA15+$CE$21,ROUND(CA15*$CE$23,2))))</f>
        <v>2657.68</v>
      </c>
      <c r="CJ16" s="465">
        <f>IF(CB15="-","-",IF(CB15&gt;3200,ROUND(CB15*$CE$23,2),IF(ROUND(CB15*$CE$23,2)-CB15&lt;'L Tab'!$CE$21,CB15+$CE$21,ROUND(CB15*$CE$23,2))))</f>
        <v>2710.01</v>
      </c>
      <c r="CL16" s="74">
        <f t="shared" si="101"/>
        <v>4</v>
      </c>
      <c r="CM16" s="112">
        <f t="shared" si="102"/>
        <v>2184.36</v>
      </c>
      <c r="CN16" s="112">
        <f t="shared" si="103"/>
        <v>2404.64</v>
      </c>
      <c r="CO16" s="112">
        <f t="shared" si="104"/>
        <v>2553.4499999999998</v>
      </c>
      <c r="CP16" s="112">
        <f t="shared" si="105"/>
        <v>2636.79</v>
      </c>
      <c r="CQ16" s="112">
        <f t="shared" si="106"/>
        <v>2720.14</v>
      </c>
      <c r="CR16" s="112">
        <f t="shared" si="107"/>
        <v>2773.7</v>
      </c>
      <c r="CT16" s="74">
        <f t="shared" si="108"/>
        <v>4</v>
      </c>
      <c r="CU16" s="112">
        <f t="shared" si="27"/>
        <v>2184.36</v>
      </c>
      <c r="CV16" s="112">
        <f t="shared" si="109"/>
        <v>2404.64</v>
      </c>
      <c r="CW16" s="112">
        <f t="shared" si="110"/>
        <v>2553.4499999999998</v>
      </c>
      <c r="CX16" s="112">
        <f t="shared" si="111"/>
        <v>2636.79</v>
      </c>
      <c r="CY16" s="112">
        <f t="shared" si="112"/>
        <v>2720.14</v>
      </c>
      <c r="CZ16" s="112">
        <f t="shared" si="113"/>
        <v>2773.7</v>
      </c>
      <c r="DB16" s="74">
        <f t="shared" si="114"/>
        <v>4</v>
      </c>
      <c r="DC16" s="112">
        <f t="shared" si="80"/>
        <v>2284.36</v>
      </c>
      <c r="DD16" s="112">
        <f t="shared" si="81"/>
        <v>2504.64</v>
      </c>
      <c r="DE16" s="112">
        <f t="shared" si="82"/>
        <v>2653.45</v>
      </c>
      <c r="DF16" s="112">
        <f t="shared" si="83"/>
        <v>2736.79</v>
      </c>
      <c r="DG16" s="112">
        <f t="shared" si="84"/>
        <v>2820.14</v>
      </c>
      <c r="DH16" s="112">
        <f t="shared" si="85"/>
        <v>2873.7</v>
      </c>
      <c r="DJ16" s="74">
        <f t="shared" si="115"/>
        <v>4</v>
      </c>
      <c r="DK16" s="112">
        <f t="shared" si="87"/>
        <v>2382.59</v>
      </c>
      <c r="DL16" s="112">
        <f t="shared" si="88"/>
        <v>2594.64</v>
      </c>
      <c r="DM16" s="112">
        <f t="shared" si="89"/>
        <v>2743.45</v>
      </c>
      <c r="DN16" s="112">
        <f t="shared" si="90"/>
        <v>2826.79</v>
      </c>
      <c r="DO16" s="112">
        <f t="shared" si="91"/>
        <v>2910.14</v>
      </c>
      <c r="DP16" s="112">
        <f t="shared" si="92"/>
        <v>2963.7</v>
      </c>
      <c r="DR16" s="74">
        <f t="shared" si="116"/>
        <v>4</v>
      </c>
      <c r="DS16" s="112">
        <f t="shared" si="94"/>
        <v>2432.59</v>
      </c>
      <c r="DT16" s="112">
        <f t="shared" si="95"/>
        <v>2644.64</v>
      </c>
      <c r="DU16" s="112">
        <f t="shared" si="96"/>
        <v>2793.45</v>
      </c>
      <c r="DV16" s="112">
        <f t="shared" si="97"/>
        <v>2876.79</v>
      </c>
      <c r="DW16" s="112">
        <f t="shared" si="98"/>
        <v>2960.14</v>
      </c>
      <c r="DX16" s="112">
        <f t="shared" si="99"/>
        <v>3013.7</v>
      </c>
    </row>
    <row r="17" spans="1:128">
      <c r="B17" s="74" t="s">
        <v>14</v>
      </c>
      <c r="C17" s="384">
        <v>1503</v>
      </c>
      <c r="D17" s="37">
        <v>1670</v>
      </c>
      <c r="E17" s="37">
        <v>1730</v>
      </c>
      <c r="F17" s="37">
        <v>1810</v>
      </c>
      <c r="G17" s="37">
        <v>1865</v>
      </c>
      <c r="H17" s="385">
        <v>1906</v>
      </c>
      <c r="J17" s="74" t="str">
        <f t="shared" si="32"/>
        <v>2Ü</v>
      </c>
      <c r="K17" s="112">
        <v>1550</v>
      </c>
      <c r="L17" s="112">
        <v>1720</v>
      </c>
      <c r="M17" s="112">
        <v>1785</v>
      </c>
      <c r="N17" s="112">
        <v>1865</v>
      </c>
      <c r="O17" s="112">
        <v>1920</v>
      </c>
      <c r="P17" s="112">
        <v>1965</v>
      </c>
      <c r="R17" s="74" t="str">
        <f t="shared" si="33"/>
        <v>2Ü</v>
      </c>
      <c r="S17" s="112">
        <f t="shared" si="15"/>
        <v>1637.7</v>
      </c>
      <c r="T17" s="112">
        <f t="shared" si="16"/>
        <v>1812.8</v>
      </c>
      <c r="U17" s="112">
        <f t="shared" si="16"/>
        <v>1879.75</v>
      </c>
      <c r="V17" s="112">
        <f t="shared" si="16"/>
        <v>1962.15</v>
      </c>
      <c r="W17" s="112">
        <f t="shared" si="16"/>
        <v>2018.8</v>
      </c>
      <c r="X17" s="112">
        <f t="shared" si="16"/>
        <v>2065.15</v>
      </c>
      <c r="Z17" s="74" t="str">
        <f t="shared" si="34"/>
        <v>2Ü</v>
      </c>
      <c r="AA17" s="112">
        <f t="shared" si="17"/>
        <v>1657.35</v>
      </c>
      <c r="AB17" s="112">
        <f t="shared" si="18"/>
        <v>1834.55</v>
      </c>
      <c r="AC17" s="112">
        <f t="shared" si="18"/>
        <v>1902.31</v>
      </c>
      <c r="AD17" s="112">
        <f t="shared" si="18"/>
        <v>1985.7</v>
      </c>
      <c r="AE17" s="112">
        <f t="shared" si="18"/>
        <v>2043.03</v>
      </c>
      <c r="AF17" s="112">
        <f t="shared" si="18"/>
        <v>2089.9299999999998</v>
      </c>
      <c r="AH17" s="74" t="str">
        <f t="shared" si="35"/>
        <v>2Ü</v>
      </c>
      <c r="AI17" s="112">
        <f t="shared" si="36"/>
        <v>1682.21</v>
      </c>
      <c r="AJ17" s="112">
        <f t="shared" si="37"/>
        <v>1862.07</v>
      </c>
      <c r="AK17" s="112">
        <f t="shared" si="38"/>
        <v>1930.84</v>
      </c>
      <c r="AL17" s="112">
        <f t="shared" si="39"/>
        <v>2015.49</v>
      </c>
      <c r="AM17" s="112">
        <f t="shared" si="40"/>
        <v>2073.6799999999998</v>
      </c>
      <c r="AN17" s="112">
        <f t="shared" si="41"/>
        <v>2121.2800000000002</v>
      </c>
      <c r="AP17" s="74" t="str">
        <f t="shared" si="42"/>
        <v>2Ü</v>
      </c>
      <c r="AQ17" s="112">
        <f t="shared" si="43"/>
        <v>1731.17</v>
      </c>
      <c r="AR17" s="112">
        <f t="shared" si="44"/>
        <v>1914.45</v>
      </c>
      <c r="AS17" s="112">
        <f t="shared" si="45"/>
        <v>1984.53</v>
      </c>
      <c r="AT17" s="112">
        <f t="shared" si="46"/>
        <v>2070.7800000000002</v>
      </c>
      <c r="AU17" s="112">
        <f t="shared" si="47"/>
        <v>2130.08</v>
      </c>
      <c r="AV17" s="112">
        <f t="shared" si="48"/>
        <v>2178.58</v>
      </c>
      <c r="AX17" s="74" t="str">
        <f t="shared" si="49"/>
        <v>2Ü</v>
      </c>
      <c r="AY17" s="112">
        <f t="shared" si="50"/>
        <v>1777.05</v>
      </c>
      <c r="AZ17" s="112">
        <f t="shared" si="51"/>
        <v>1965.18</v>
      </c>
      <c r="BA17" s="112">
        <f t="shared" si="52"/>
        <v>2037.12</v>
      </c>
      <c r="BB17" s="112">
        <f t="shared" si="53"/>
        <v>2125.66</v>
      </c>
      <c r="BC17" s="112">
        <f t="shared" si="54"/>
        <v>2186.5300000000002</v>
      </c>
      <c r="BD17" s="112">
        <f t="shared" si="55"/>
        <v>2236.31</v>
      </c>
      <c r="BF17" s="74" t="str">
        <f t="shared" si="56"/>
        <v>2Ü</v>
      </c>
      <c r="BG17" s="112">
        <f t="shared" si="57"/>
        <v>1829.47</v>
      </c>
      <c r="BH17" s="112">
        <f t="shared" si="58"/>
        <v>2023.15</v>
      </c>
      <c r="BI17" s="112">
        <f t="shared" si="59"/>
        <v>2097.2199999999998</v>
      </c>
      <c r="BJ17" s="112">
        <f t="shared" si="60"/>
        <v>2188.37</v>
      </c>
      <c r="BK17" s="112">
        <f t="shared" si="61"/>
        <v>2251.0300000000002</v>
      </c>
      <c r="BL17" s="112">
        <f t="shared" si="62"/>
        <v>2302.2800000000002</v>
      </c>
      <c r="BN17" s="74" t="str">
        <f t="shared" si="63"/>
        <v>2Ü</v>
      </c>
      <c r="BO17" s="112">
        <f t="shared" si="64"/>
        <v>1867.89</v>
      </c>
      <c r="BP17" s="112">
        <f t="shared" si="65"/>
        <v>2065.64</v>
      </c>
      <c r="BQ17" s="112">
        <f t="shared" si="66"/>
        <v>2141.2600000000002</v>
      </c>
      <c r="BR17" s="112">
        <f t="shared" si="67"/>
        <v>2234.33</v>
      </c>
      <c r="BS17" s="112">
        <f t="shared" si="68"/>
        <v>2298.3000000000002</v>
      </c>
      <c r="BT17" s="112">
        <f t="shared" si="69"/>
        <v>2350.63</v>
      </c>
      <c r="BV17" s="74" t="str">
        <f t="shared" si="70"/>
        <v>2Ü</v>
      </c>
      <c r="BW17" s="112">
        <f t="shared" si="71"/>
        <v>1942.89</v>
      </c>
      <c r="BX17" s="112">
        <f t="shared" si="72"/>
        <v>2140.64</v>
      </c>
      <c r="BY17" s="112">
        <f t="shared" si="73"/>
        <v>2216.2600000000002</v>
      </c>
      <c r="BZ17" s="112">
        <f t="shared" si="74"/>
        <v>2309.33</v>
      </c>
      <c r="CA17" s="112">
        <f t="shared" si="75"/>
        <v>2373.3000000000002</v>
      </c>
      <c r="CB17" s="112">
        <f t="shared" si="76"/>
        <v>2425.63</v>
      </c>
      <c r="CD17" s="74">
        <f t="shared" si="100"/>
        <v>3</v>
      </c>
      <c r="CE17" s="465">
        <f>IF(BW16="-","-",IF(BW16&gt;3200,ROUND(BW16*$CE$23,2),IF(ROUND(BW16*$CE$23,2)-BW16&lt;'L Tab'!$CE$21,BW16+$CE$21,ROUND(BW16*$CE$23,2))))</f>
        <v>2105.13</v>
      </c>
      <c r="CF17" s="465">
        <f>IF(BX16="-","-",IF(BX16&gt;3200,ROUND(BX16*$CE$23,2),IF(ROUND(BX16*$CE$23,2)-BX16&lt;'L Tab'!$CE$21,BX16+$CE$21,ROUND(BX16*$CE$23,2))))</f>
        <v>2314.52</v>
      </c>
      <c r="CG17" s="465">
        <f>IF(BY16="-","-",IF(BY16&gt;3200,ROUND(BY16*$CE$23,2),IF(ROUND(BY16*$CE$23,2)-BY16&lt;'L Tab'!$CE$21,BY16+$CE$21,ROUND(BY16*$CE$23,2))))</f>
        <v>2372.6799999999998</v>
      </c>
      <c r="CH17" s="465">
        <f>IF(BZ16="-","-",IF(BZ16&gt;3200,ROUND(BZ16*$CE$23,2),IF(ROUND(BZ16*$CE$23,2)-BZ16&lt;'L Tab'!$CE$21,BZ16+$CE$21,ROUND(BZ16*$CE$23,2))))</f>
        <v>2465.7399999999998</v>
      </c>
      <c r="CI17" s="465">
        <f>IF(CA16="-","-",IF(CA16&gt;3200,ROUND(CA16*$CE$23,2),IF(ROUND(CA16*$CE$23,2)-CA16&lt;'L Tab'!$CE$21,CA16+$CE$21,ROUND(CA16*$CE$23,2))))</f>
        <v>2541.35</v>
      </c>
      <c r="CJ17" s="465">
        <f>IF(CB16="-","-",IF(CB16&gt;3200,ROUND(CB16*$CE$23,2),IF(ROUND(CB16*$CE$23,2)-CB16&lt;'L Tab'!$CE$21,CB16+$CE$21,ROUND(CB16*$CE$23,2))))</f>
        <v>2605.3200000000002</v>
      </c>
      <c r="CL17" s="74">
        <f t="shared" si="101"/>
        <v>3</v>
      </c>
      <c r="CM17" s="112">
        <f t="shared" si="102"/>
        <v>2154.6</v>
      </c>
      <c r="CN17" s="112">
        <f t="shared" si="103"/>
        <v>2368.91</v>
      </c>
      <c r="CO17" s="112">
        <f t="shared" si="104"/>
        <v>2428.44</v>
      </c>
      <c r="CP17" s="112">
        <f t="shared" si="105"/>
        <v>2523.6799999999998</v>
      </c>
      <c r="CQ17" s="112">
        <f t="shared" si="106"/>
        <v>2601.0700000000002</v>
      </c>
      <c r="CR17" s="112">
        <f t="shared" si="107"/>
        <v>2666.55</v>
      </c>
      <c r="CT17" s="74">
        <f t="shared" si="108"/>
        <v>3</v>
      </c>
      <c r="CU17" s="112">
        <f t="shared" si="27"/>
        <v>2154.6</v>
      </c>
      <c r="CV17" s="112">
        <f t="shared" si="109"/>
        <v>2368.91</v>
      </c>
      <c r="CW17" s="112">
        <f t="shared" si="110"/>
        <v>2428.44</v>
      </c>
      <c r="CX17" s="112">
        <f t="shared" si="111"/>
        <v>2523.6799999999998</v>
      </c>
      <c r="CY17" s="112">
        <f t="shared" si="112"/>
        <v>2601.0700000000002</v>
      </c>
      <c r="CZ17" s="112">
        <f t="shared" si="113"/>
        <v>2666.55</v>
      </c>
      <c r="DB17" s="74">
        <f t="shared" si="114"/>
        <v>3</v>
      </c>
      <c r="DC17" s="112">
        <f t="shared" si="80"/>
        <v>2254.6</v>
      </c>
      <c r="DD17" s="112">
        <f t="shared" si="81"/>
        <v>2468.91</v>
      </c>
      <c r="DE17" s="112">
        <f t="shared" si="82"/>
        <v>2528.44</v>
      </c>
      <c r="DF17" s="112">
        <f t="shared" si="83"/>
        <v>2623.68</v>
      </c>
      <c r="DG17" s="112">
        <f t="shared" si="84"/>
        <v>2701.07</v>
      </c>
      <c r="DH17" s="112">
        <f t="shared" si="85"/>
        <v>2766.55</v>
      </c>
      <c r="DJ17" s="74">
        <f t="shared" si="115"/>
        <v>3</v>
      </c>
      <c r="DK17" s="112">
        <f t="shared" si="87"/>
        <v>2351.5500000000002</v>
      </c>
      <c r="DL17" s="112">
        <f t="shared" si="88"/>
        <v>2558.91</v>
      </c>
      <c r="DM17" s="112">
        <f t="shared" si="89"/>
        <v>2618.44</v>
      </c>
      <c r="DN17" s="112">
        <f t="shared" si="90"/>
        <v>2713.68</v>
      </c>
      <c r="DO17" s="112">
        <f t="shared" si="91"/>
        <v>2791.07</v>
      </c>
      <c r="DP17" s="112">
        <f t="shared" si="92"/>
        <v>2856.55</v>
      </c>
      <c r="DR17" s="74">
        <f t="shared" si="116"/>
        <v>3</v>
      </c>
      <c r="DS17" s="112">
        <f t="shared" si="94"/>
        <v>2401.5500000000002</v>
      </c>
      <c r="DT17" s="112">
        <f t="shared" si="95"/>
        <v>2608.91</v>
      </c>
      <c r="DU17" s="112">
        <f t="shared" si="96"/>
        <v>2668.44</v>
      </c>
      <c r="DV17" s="112">
        <f t="shared" si="97"/>
        <v>2763.68</v>
      </c>
      <c r="DW17" s="112">
        <f t="shared" si="98"/>
        <v>2841.07</v>
      </c>
      <c r="DX17" s="112">
        <f t="shared" si="99"/>
        <v>2906.55</v>
      </c>
    </row>
    <row r="18" spans="1:128">
      <c r="B18" s="74">
        <v>2</v>
      </c>
      <c r="C18" s="384">
        <v>1449</v>
      </c>
      <c r="D18" s="37">
        <v>1610</v>
      </c>
      <c r="E18" s="37">
        <v>1660</v>
      </c>
      <c r="F18" s="37">
        <v>1710</v>
      </c>
      <c r="G18" s="37">
        <v>1820</v>
      </c>
      <c r="H18" s="385">
        <v>1935</v>
      </c>
      <c r="J18" s="74">
        <f t="shared" si="32"/>
        <v>2</v>
      </c>
      <c r="K18" s="112">
        <v>1495</v>
      </c>
      <c r="L18" s="112">
        <v>1660</v>
      </c>
      <c r="M18" s="112">
        <v>1710</v>
      </c>
      <c r="N18" s="112">
        <v>1760</v>
      </c>
      <c r="O18" s="112">
        <v>1875</v>
      </c>
      <c r="P18" s="112">
        <v>1995</v>
      </c>
      <c r="R18" s="74">
        <f t="shared" si="33"/>
        <v>2</v>
      </c>
      <c r="S18" s="112">
        <f t="shared" si="15"/>
        <v>1581.05</v>
      </c>
      <c r="T18" s="112">
        <f t="shared" ref="T18:X19" si="117">IF(L18="-","-",ROUND((L18+$S$22)*$S$23,2))</f>
        <v>1751</v>
      </c>
      <c r="U18" s="112">
        <f t="shared" si="117"/>
        <v>1802.5</v>
      </c>
      <c r="V18" s="112">
        <f t="shared" si="117"/>
        <v>1854</v>
      </c>
      <c r="W18" s="112">
        <f t="shared" si="117"/>
        <v>1972.45</v>
      </c>
      <c r="X18" s="112">
        <f t="shared" si="117"/>
        <v>2096.0500000000002</v>
      </c>
      <c r="Z18" s="74">
        <f t="shared" si="34"/>
        <v>2</v>
      </c>
      <c r="AA18" s="112">
        <f t="shared" si="17"/>
        <v>1600.02</v>
      </c>
      <c r="AB18" s="112">
        <f t="shared" ref="AB18:AF19" si="118">IF(T18="-","-",ROUND(T18*$AA$23,2))</f>
        <v>1772.01</v>
      </c>
      <c r="AC18" s="112">
        <f t="shared" si="118"/>
        <v>1824.13</v>
      </c>
      <c r="AD18" s="112">
        <f t="shared" si="118"/>
        <v>1876.25</v>
      </c>
      <c r="AE18" s="112">
        <f t="shared" si="118"/>
        <v>1996.12</v>
      </c>
      <c r="AF18" s="112">
        <f t="shared" si="118"/>
        <v>2121.1999999999998</v>
      </c>
      <c r="AH18" s="74">
        <f t="shared" si="35"/>
        <v>2</v>
      </c>
      <c r="AI18" s="112">
        <f t="shared" si="36"/>
        <v>1624.02</v>
      </c>
      <c r="AJ18" s="112">
        <f t="shared" si="37"/>
        <v>1798.59</v>
      </c>
      <c r="AK18" s="112">
        <f t="shared" si="38"/>
        <v>1851.49</v>
      </c>
      <c r="AL18" s="112">
        <f t="shared" si="39"/>
        <v>1904.39</v>
      </c>
      <c r="AM18" s="112">
        <f t="shared" si="40"/>
        <v>2026.06</v>
      </c>
      <c r="AN18" s="112">
        <f t="shared" si="41"/>
        <v>2153.02</v>
      </c>
      <c r="AP18" s="74">
        <f t="shared" si="42"/>
        <v>2</v>
      </c>
      <c r="AQ18" s="112">
        <f t="shared" si="43"/>
        <v>1671.88</v>
      </c>
      <c r="AR18" s="112">
        <f t="shared" si="44"/>
        <v>1849.76</v>
      </c>
      <c r="AS18" s="112">
        <f t="shared" si="45"/>
        <v>1903.67</v>
      </c>
      <c r="AT18" s="112">
        <f t="shared" si="46"/>
        <v>1957.57</v>
      </c>
      <c r="AU18" s="112">
        <f t="shared" si="47"/>
        <v>2081.56</v>
      </c>
      <c r="AV18" s="112">
        <f t="shared" si="48"/>
        <v>2210.9299999999998</v>
      </c>
      <c r="AX18" s="74">
        <f t="shared" si="49"/>
        <v>2</v>
      </c>
      <c r="AY18" s="112">
        <f t="shared" si="50"/>
        <v>1716.18</v>
      </c>
      <c r="AZ18" s="112">
        <f t="shared" si="51"/>
        <v>1898.78</v>
      </c>
      <c r="BA18" s="112">
        <f t="shared" si="52"/>
        <v>1954.12</v>
      </c>
      <c r="BB18" s="112">
        <f t="shared" si="53"/>
        <v>2009.45</v>
      </c>
      <c r="BC18" s="112">
        <f t="shared" si="54"/>
        <v>2136.7199999999998</v>
      </c>
      <c r="BD18" s="112">
        <f t="shared" si="55"/>
        <v>2269.52</v>
      </c>
      <c r="BF18" s="74">
        <f t="shared" si="56"/>
        <v>2</v>
      </c>
      <c r="BG18" s="112">
        <f t="shared" si="57"/>
        <v>1766.81</v>
      </c>
      <c r="BH18" s="112">
        <f t="shared" si="58"/>
        <v>1954.79</v>
      </c>
      <c r="BI18" s="112">
        <f t="shared" si="59"/>
        <v>2011.77</v>
      </c>
      <c r="BJ18" s="112">
        <f t="shared" si="60"/>
        <v>2068.73</v>
      </c>
      <c r="BK18" s="112">
        <f t="shared" si="61"/>
        <v>2199.75</v>
      </c>
      <c r="BL18" s="112">
        <f t="shared" si="62"/>
        <v>2336.4699999999998</v>
      </c>
      <c r="BN18" s="74">
        <f t="shared" si="63"/>
        <v>2</v>
      </c>
      <c r="BO18" s="112">
        <f t="shared" si="64"/>
        <v>1803.91</v>
      </c>
      <c r="BP18" s="112">
        <f t="shared" si="65"/>
        <v>1995.84</v>
      </c>
      <c r="BQ18" s="112">
        <f t="shared" si="66"/>
        <v>2054.02</v>
      </c>
      <c r="BR18" s="112">
        <f t="shared" si="67"/>
        <v>2112.17</v>
      </c>
      <c r="BS18" s="112">
        <f t="shared" si="68"/>
        <v>2245.94</v>
      </c>
      <c r="BT18" s="112">
        <f t="shared" si="69"/>
        <v>2385.54</v>
      </c>
      <c r="BV18" s="74">
        <f t="shared" si="70"/>
        <v>2</v>
      </c>
      <c r="BW18" s="112">
        <f t="shared" si="71"/>
        <v>1878.91</v>
      </c>
      <c r="BX18" s="112">
        <f t="shared" si="72"/>
        <v>2070.84</v>
      </c>
      <c r="BY18" s="112">
        <f t="shared" si="73"/>
        <v>2129.02</v>
      </c>
      <c r="BZ18" s="112">
        <f t="shared" si="74"/>
        <v>2187.17</v>
      </c>
      <c r="CA18" s="112">
        <f t="shared" si="75"/>
        <v>2320.94</v>
      </c>
      <c r="CB18" s="112">
        <f t="shared" si="76"/>
        <v>2460.54</v>
      </c>
      <c r="CD18" s="74" t="str">
        <f t="shared" si="100"/>
        <v>2Ü</v>
      </c>
      <c r="CE18" s="465">
        <f>IF(BW17="-","-",IF(BW17&gt;3200,ROUND(BW17*$CE$23,2),IF(ROUND(BW17*$CE$23,2)-BW17&lt;'L Tab'!$CE$21,BW17+$CE$21,ROUND(BW17*$CE$23,2))))</f>
        <v>2017.89</v>
      </c>
      <c r="CF18" s="465">
        <f>IF(BX17="-","-",IF(BX17&gt;3200,ROUND(BX17*$CE$23,2),IF(ROUND(BX17*$CE$23,2)-BX17&lt;'L Tab'!$CE$21,BX17+$CE$21,ROUND(BX17*$CE$23,2))))</f>
        <v>2215.64</v>
      </c>
      <c r="CG18" s="465">
        <f>IF(BY17="-","-",IF(BY17&gt;3200,ROUND(BY17*$CE$23,2),IF(ROUND(BY17*$CE$23,2)-BY17&lt;'L Tab'!$CE$21,BY17+$CE$21,ROUND(BY17*$CE$23,2))))</f>
        <v>2291.2600000000002</v>
      </c>
      <c r="CH18" s="465">
        <f>IF(BZ17="-","-",IF(BZ17&gt;3200,ROUND(BZ17*$CE$23,2),IF(ROUND(BZ17*$CE$23,2)-BZ17&lt;'L Tab'!$CE$21,BZ17+$CE$21,ROUND(BZ17*$CE$23,2))))</f>
        <v>2384.33</v>
      </c>
      <c r="CI18" s="465">
        <f>IF(CA17="-","-",IF(CA17&gt;3200,ROUND(CA17*$CE$23,2),IF(ROUND(CA17*$CE$23,2)-CA17&lt;'L Tab'!$CE$21,CA17+$CE$21,ROUND(CA17*$CE$23,2))))</f>
        <v>2448.3000000000002</v>
      </c>
      <c r="CJ18" s="465">
        <f>IF(CB17="-","-",IF(CB17&gt;3200,ROUND(CB17*$CE$23,2),IF(ROUND(CB17*$CE$23,2)-CB17&lt;'L Tab'!$CE$21,CB17+$CE$21,ROUND(CB17*$CE$23,2))))</f>
        <v>2500.63</v>
      </c>
      <c r="CL18" s="74" t="str">
        <f t="shared" si="101"/>
        <v>2Ü</v>
      </c>
      <c r="CM18" s="112">
        <f t="shared" si="102"/>
        <v>2065.31</v>
      </c>
      <c r="CN18" s="112">
        <f t="shared" si="103"/>
        <v>2267.71</v>
      </c>
      <c r="CO18" s="112">
        <f t="shared" si="104"/>
        <v>2345.1</v>
      </c>
      <c r="CP18" s="112">
        <f t="shared" si="105"/>
        <v>2440.36</v>
      </c>
      <c r="CQ18" s="112">
        <f t="shared" si="106"/>
        <v>2505.84</v>
      </c>
      <c r="CR18" s="112">
        <f t="shared" si="107"/>
        <v>2559.39</v>
      </c>
      <c r="CT18" s="74" t="str">
        <f t="shared" si="108"/>
        <v>2Ü</v>
      </c>
      <c r="CU18" s="112">
        <f t="shared" si="27"/>
        <v>2065.31</v>
      </c>
      <c r="CV18" s="112">
        <f t="shared" si="109"/>
        <v>2267.71</v>
      </c>
      <c r="CW18" s="112">
        <f t="shared" si="110"/>
        <v>2345.1</v>
      </c>
      <c r="CX18" s="112">
        <f t="shared" si="111"/>
        <v>2440.36</v>
      </c>
      <c r="CY18" s="112">
        <f t="shared" si="112"/>
        <v>2505.84</v>
      </c>
      <c r="CZ18" s="112">
        <f t="shared" si="113"/>
        <v>2559.39</v>
      </c>
      <c r="DB18" s="74" t="str">
        <f t="shared" si="114"/>
        <v>2Ü</v>
      </c>
      <c r="DC18" s="112">
        <f t="shared" si="81"/>
        <v>2165.31</v>
      </c>
      <c r="DD18" s="112">
        <f t="shared" si="81"/>
        <v>2367.71</v>
      </c>
      <c r="DE18" s="112">
        <f t="shared" si="82"/>
        <v>2445.1</v>
      </c>
      <c r="DF18" s="112">
        <f t="shared" si="83"/>
        <v>2540.36</v>
      </c>
      <c r="DG18" s="112">
        <f t="shared" si="84"/>
        <v>2605.84</v>
      </c>
      <c r="DH18" s="464">
        <f>DH19</f>
        <v>2695.13</v>
      </c>
      <c r="DJ18" s="74" t="str">
        <f t="shared" si="115"/>
        <v>2Ü</v>
      </c>
      <c r="DK18" s="112">
        <f t="shared" si="88"/>
        <v>2255.31</v>
      </c>
      <c r="DL18" s="112">
        <f t="shared" si="88"/>
        <v>2457.71</v>
      </c>
      <c r="DM18" s="112">
        <f t="shared" si="89"/>
        <v>2535.1</v>
      </c>
      <c r="DN18" s="112">
        <f t="shared" si="90"/>
        <v>2630.36</v>
      </c>
      <c r="DO18" s="112">
        <f t="shared" si="91"/>
        <v>2695.84</v>
      </c>
      <c r="DP18" s="112">
        <f t="shared" si="92"/>
        <v>2785.13</v>
      </c>
      <c r="DR18" s="74" t="str">
        <f t="shared" si="116"/>
        <v>2Ü</v>
      </c>
      <c r="DS18" s="112">
        <f>IF(DK18="-","-",IF(ROUND(DK18*$DS$23,2)-DK18&lt;$DS$21,DK18+$DS$21,ROUND(DK18*$DS$23,2)))</f>
        <v>2305.31</v>
      </c>
      <c r="DT18" s="112">
        <f t="shared" si="95"/>
        <v>2507.71</v>
      </c>
      <c r="DU18" s="112">
        <f t="shared" si="96"/>
        <v>2585.1</v>
      </c>
      <c r="DV18" s="112">
        <f t="shared" si="97"/>
        <v>2680.36</v>
      </c>
      <c r="DW18" s="112">
        <f t="shared" si="98"/>
        <v>2745.84</v>
      </c>
      <c r="DX18" s="112">
        <f t="shared" si="99"/>
        <v>2835.13</v>
      </c>
    </row>
    <row r="19" spans="1:128">
      <c r="B19" s="74">
        <v>1</v>
      </c>
      <c r="C19" s="384" t="s">
        <v>15</v>
      </c>
      <c r="D19" s="37">
        <v>1286</v>
      </c>
      <c r="E19" s="37">
        <v>1310</v>
      </c>
      <c r="F19" s="37">
        <v>1340</v>
      </c>
      <c r="G19" s="37">
        <v>1368</v>
      </c>
      <c r="H19" s="385">
        <v>1440</v>
      </c>
      <c r="J19" s="74">
        <f t="shared" si="32"/>
        <v>1</v>
      </c>
      <c r="K19" s="112" t="s">
        <v>15</v>
      </c>
      <c r="L19" s="112">
        <v>1325</v>
      </c>
      <c r="M19" s="112">
        <v>1350</v>
      </c>
      <c r="N19" s="112">
        <v>1380</v>
      </c>
      <c r="O19" s="112">
        <v>1410</v>
      </c>
      <c r="P19" s="112">
        <v>1485</v>
      </c>
      <c r="R19" s="74">
        <f t="shared" si="33"/>
        <v>1</v>
      </c>
      <c r="S19" s="112" t="str">
        <f t="shared" si="15"/>
        <v>-</v>
      </c>
      <c r="T19" s="112">
        <f t="shared" si="117"/>
        <v>1405.95</v>
      </c>
      <c r="U19" s="112">
        <f t="shared" si="117"/>
        <v>1431.7</v>
      </c>
      <c r="V19" s="112">
        <f t="shared" si="117"/>
        <v>1462.6</v>
      </c>
      <c r="W19" s="112">
        <f t="shared" si="117"/>
        <v>1493.5</v>
      </c>
      <c r="X19" s="112">
        <f t="shared" si="117"/>
        <v>1570.75</v>
      </c>
      <c r="Z19" s="74">
        <f t="shared" si="34"/>
        <v>1</v>
      </c>
      <c r="AA19" s="112" t="str">
        <f t="shared" si="17"/>
        <v>-</v>
      </c>
      <c r="AB19" s="112">
        <f t="shared" si="118"/>
        <v>1422.82</v>
      </c>
      <c r="AC19" s="112">
        <f t="shared" si="118"/>
        <v>1448.88</v>
      </c>
      <c r="AD19" s="112">
        <f t="shared" si="118"/>
        <v>1480.15</v>
      </c>
      <c r="AE19" s="112">
        <f t="shared" si="118"/>
        <v>1511.42</v>
      </c>
      <c r="AF19" s="112">
        <f t="shared" si="118"/>
        <v>1589.6</v>
      </c>
      <c r="AH19" s="74">
        <f t="shared" si="35"/>
        <v>1</v>
      </c>
      <c r="AI19" s="112" t="str">
        <f t="shared" si="36"/>
        <v>-</v>
      </c>
      <c r="AJ19" s="112">
        <f t="shared" si="37"/>
        <v>1444.16</v>
      </c>
      <c r="AK19" s="112">
        <f t="shared" si="38"/>
        <v>1470.61</v>
      </c>
      <c r="AL19" s="112">
        <f t="shared" si="39"/>
        <v>1502.35</v>
      </c>
      <c r="AM19" s="112">
        <f t="shared" si="40"/>
        <v>1534.09</v>
      </c>
      <c r="AN19" s="112">
        <f t="shared" si="41"/>
        <v>1613.44</v>
      </c>
      <c r="AP19" s="74">
        <f t="shared" si="42"/>
        <v>1</v>
      </c>
      <c r="AQ19" s="112" t="str">
        <f t="shared" si="43"/>
        <v>-</v>
      </c>
      <c r="AR19" s="112">
        <f t="shared" si="44"/>
        <v>1488.6</v>
      </c>
      <c r="AS19" s="112">
        <f t="shared" si="45"/>
        <v>1515.55</v>
      </c>
      <c r="AT19" s="112">
        <f t="shared" si="46"/>
        <v>1547.89</v>
      </c>
      <c r="AU19" s="112">
        <f t="shared" si="47"/>
        <v>1580.24</v>
      </c>
      <c r="AV19" s="112">
        <f t="shared" si="48"/>
        <v>1661.1</v>
      </c>
      <c r="AX19" s="74">
        <f t="shared" si="49"/>
        <v>1</v>
      </c>
      <c r="AY19" s="112" t="str">
        <f t="shared" si="50"/>
        <v>-</v>
      </c>
      <c r="AZ19" s="112">
        <f t="shared" si="51"/>
        <v>1528.05</v>
      </c>
      <c r="BA19" s="112">
        <f t="shared" si="52"/>
        <v>1555.71</v>
      </c>
      <c r="BB19" s="112">
        <f t="shared" si="53"/>
        <v>1588.91</v>
      </c>
      <c r="BC19" s="112">
        <f t="shared" si="54"/>
        <v>1622.12</v>
      </c>
      <c r="BD19" s="112">
        <f t="shared" si="55"/>
        <v>1705.12</v>
      </c>
      <c r="BF19" s="74">
        <f t="shared" si="56"/>
        <v>1</v>
      </c>
      <c r="BG19" s="112" t="str">
        <f t="shared" si="57"/>
        <v>-</v>
      </c>
      <c r="BH19" s="112">
        <f t="shared" si="58"/>
        <v>1573.13</v>
      </c>
      <c r="BI19" s="112">
        <f t="shared" si="59"/>
        <v>1601.6</v>
      </c>
      <c r="BJ19" s="112">
        <f t="shared" si="60"/>
        <v>1635.78</v>
      </c>
      <c r="BK19" s="112">
        <f t="shared" si="61"/>
        <v>1669.97</v>
      </c>
      <c r="BL19" s="112">
        <f t="shared" si="62"/>
        <v>1755.42</v>
      </c>
      <c r="BN19" s="74">
        <f t="shared" si="63"/>
        <v>1</v>
      </c>
      <c r="BO19" s="112" t="str">
        <f t="shared" si="64"/>
        <v>-</v>
      </c>
      <c r="BP19" s="112">
        <f t="shared" si="65"/>
        <v>1606.17</v>
      </c>
      <c r="BQ19" s="112">
        <f t="shared" si="66"/>
        <v>1635.23</v>
      </c>
      <c r="BR19" s="112">
        <f t="shared" si="67"/>
        <v>1670.13</v>
      </c>
      <c r="BS19" s="112">
        <f t="shared" si="68"/>
        <v>1705.04</v>
      </c>
      <c r="BT19" s="112">
        <f t="shared" si="69"/>
        <v>1792.28</v>
      </c>
      <c r="BV19" s="74">
        <f t="shared" si="70"/>
        <v>1</v>
      </c>
      <c r="BW19" s="112" t="str">
        <f t="shared" si="71"/>
        <v>-</v>
      </c>
      <c r="BX19" s="112">
        <f t="shared" si="72"/>
        <v>1681.17</v>
      </c>
      <c r="BY19" s="112">
        <f t="shared" si="73"/>
        <v>1710.23</v>
      </c>
      <c r="BZ19" s="112">
        <f t="shared" si="74"/>
        <v>1745.13</v>
      </c>
      <c r="CA19" s="112">
        <f t="shared" si="75"/>
        <v>1780.04</v>
      </c>
      <c r="CB19" s="112">
        <f t="shared" si="76"/>
        <v>1867.28</v>
      </c>
      <c r="CD19" s="74">
        <f t="shared" si="100"/>
        <v>2</v>
      </c>
      <c r="CE19" s="465">
        <f>IF(BW18="-","-",IF(BW18&gt;3200,ROUND(BW18*$CE$23,2),IF(ROUND(BW18*$CE$23,2)-BW18&lt;'L Tab'!$CE$21,BW18+$CE$21,ROUND(BW18*$CE$23,2))))</f>
        <v>1953.91</v>
      </c>
      <c r="CF19" s="465">
        <f>IF(BX18="-","-",IF(BX18&gt;3200,ROUND(BX18*$CE$23,2),IF(ROUND(BX18*$CE$23,2)-BX18&lt;'L Tab'!$CE$21,BX18+$CE$21,ROUND(BX18*$CE$23,2))))</f>
        <v>2145.84</v>
      </c>
      <c r="CG19" s="465">
        <f>IF(BY18="-","-",IF(BY18&gt;3200,ROUND(BY18*$CE$23,2),IF(ROUND(BY18*$CE$23,2)-BY18&lt;'L Tab'!$CE$21,BY18+$CE$21,ROUND(BY18*$CE$23,2))))</f>
        <v>2204.02</v>
      </c>
      <c r="CH19" s="465">
        <f>IF(BZ18="-","-",IF(BZ18&gt;3200,ROUND(BZ18*$CE$23,2),IF(ROUND(BZ18*$CE$23,2)-BZ18&lt;'L Tab'!$CE$21,BZ18+$CE$21,ROUND(BZ18*$CE$23,2))))</f>
        <v>2262.17</v>
      </c>
      <c r="CI19" s="465">
        <f>IF(CA18="-","-",IF(CA18&gt;3200,ROUND(CA18*$CE$23,2),IF(ROUND(CA18*$CE$23,2)-CA18&lt;'L Tab'!$CE$21,CA18+$CE$21,ROUND(CA18*$CE$23,2))))</f>
        <v>2395.94</v>
      </c>
      <c r="CJ19" s="465">
        <f>IF(CB18="-","-",IF(CB18&gt;3200,ROUND(CB18*$CE$23,2),IF(ROUND(CB18*$CE$23,2)-CB18&lt;'L Tab'!$CE$21,CB18+$CE$21,ROUND(CB18*$CE$23,2))))</f>
        <v>2535.54</v>
      </c>
      <c r="CL19" s="74">
        <f t="shared" si="101"/>
        <v>2</v>
      </c>
      <c r="CM19" s="112">
        <f t="shared" si="102"/>
        <v>1999.83</v>
      </c>
      <c r="CN19" s="112">
        <f t="shared" si="103"/>
        <v>2196.27</v>
      </c>
      <c r="CO19" s="112">
        <f t="shared" si="104"/>
        <v>2255.81</v>
      </c>
      <c r="CP19" s="112">
        <f t="shared" si="105"/>
        <v>2315.33</v>
      </c>
      <c r="CQ19" s="112">
        <f t="shared" si="106"/>
        <v>2452.2399999999998</v>
      </c>
      <c r="CR19" s="112">
        <f t="shared" si="107"/>
        <v>2595.13</v>
      </c>
      <c r="CT19" s="74">
        <f t="shared" si="108"/>
        <v>2</v>
      </c>
      <c r="CU19" s="112">
        <f t="shared" si="27"/>
        <v>1999.83</v>
      </c>
      <c r="CV19" s="112">
        <f t="shared" si="109"/>
        <v>2196.27</v>
      </c>
      <c r="CW19" s="112">
        <f t="shared" si="110"/>
        <v>2255.81</v>
      </c>
      <c r="CX19" s="112">
        <f t="shared" si="111"/>
        <v>2315.33</v>
      </c>
      <c r="CY19" s="112">
        <f t="shared" si="112"/>
        <v>2452.2399999999998</v>
      </c>
      <c r="CZ19" s="112">
        <f t="shared" si="113"/>
        <v>2595.13</v>
      </c>
      <c r="DB19" s="74">
        <f t="shared" si="114"/>
        <v>2</v>
      </c>
      <c r="DC19" s="112">
        <f t="shared" si="80"/>
        <v>2099.83</v>
      </c>
      <c r="DD19" s="112">
        <f t="shared" si="81"/>
        <v>2296.27</v>
      </c>
      <c r="DE19" s="112">
        <f t="shared" si="82"/>
        <v>2355.81</v>
      </c>
      <c r="DF19" s="112">
        <f t="shared" si="83"/>
        <v>2415.33</v>
      </c>
      <c r="DG19" s="112">
        <f t="shared" si="84"/>
        <v>2552.2399999999998</v>
      </c>
      <c r="DH19" s="112">
        <f t="shared" si="85"/>
        <v>2695.13</v>
      </c>
      <c r="DJ19" s="74">
        <f t="shared" si="115"/>
        <v>2</v>
      </c>
      <c r="DK19" s="112">
        <f t="shared" si="87"/>
        <v>2190.12</v>
      </c>
      <c r="DL19" s="112">
        <f t="shared" si="88"/>
        <v>2386.27</v>
      </c>
      <c r="DM19" s="112">
        <f t="shared" si="89"/>
        <v>2445.81</v>
      </c>
      <c r="DN19" s="112">
        <f t="shared" si="90"/>
        <v>2505.33</v>
      </c>
      <c r="DO19" s="112">
        <f t="shared" si="91"/>
        <v>2642.24</v>
      </c>
      <c r="DP19" s="112">
        <f t="shared" si="92"/>
        <v>2785.13</v>
      </c>
      <c r="DR19" s="74">
        <f t="shared" si="116"/>
        <v>2</v>
      </c>
      <c r="DS19" s="112">
        <f t="shared" si="94"/>
        <v>2240.12</v>
      </c>
      <c r="DT19" s="112">
        <f t="shared" si="95"/>
        <v>2436.27</v>
      </c>
      <c r="DU19" s="112">
        <f t="shared" si="96"/>
        <v>2495.81</v>
      </c>
      <c r="DV19" s="112">
        <f t="shared" si="97"/>
        <v>2555.33</v>
      </c>
      <c r="DW19" s="112">
        <f t="shared" si="98"/>
        <v>2692.24</v>
      </c>
      <c r="DX19" s="112">
        <f t="shared" si="99"/>
        <v>2835.13</v>
      </c>
    </row>
    <row r="20" spans="1:128" ht="12" thickBot="1">
      <c r="B20" s="135" t="str">
        <f>""</f>
        <v/>
      </c>
      <c r="C20" s="386" t="str">
        <f>""</f>
        <v/>
      </c>
      <c r="D20" s="387" t="str">
        <f>""</f>
        <v/>
      </c>
      <c r="E20" s="387" t="str">
        <f>""</f>
        <v/>
      </c>
      <c r="F20" s="387" t="str">
        <f>""</f>
        <v/>
      </c>
      <c r="G20" s="387" t="str">
        <f>""</f>
        <v/>
      </c>
      <c r="H20" s="388" t="str">
        <f>""</f>
        <v/>
      </c>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f t="shared" si="100"/>
        <v>1</v>
      </c>
      <c r="CE20" s="465" t="str">
        <f>IF(BW19="-","-",IF(BW19&gt;3200,ROUND(BW19*$CE$23,2),IF(ROUND(BW19*$CE$23,2)-BW19&lt;'L Tab'!$CE$21,BW19+$CE$21,ROUND(BW19*$CE$23,2))))</f>
        <v>-</v>
      </c>
      <c r="CF20" s="465">
        <f>IF(BX19="-","-",IF(BX19&gt;3200,ROUND(BX19*$CE$23,2),IF(ROUND(BX19*$CE$23,2)-BX19&lt;'L Tab'!$CE$21,BX19+$CE$21,ROUND(BX19*$CE$23,2))))</f>
        <v>1756.17</v>
      </c>
      <c r="CG20" s="465">
        <f>IF(BY19="-","-",IF(BY19&gt;3200,ROUND(BY19*$CE$23,2),IF(ROUND(BY19*$CE$23,2)-BY19&lt;'L Tab'!$CE$21,BY19+$CE$21,ROUND(BY19*$CE$23,2))))</f>
        <v>1785.23</v>
      </c>
      <c r="CH20" s="465">
        <f>IF(BZ19="-","-",IF(BZ19&gt;3200,ROUND(BZ19*$CE$23,2),IF(ROUND(BZ19*$CE$23,2)-BZ19&lt;'L Tab'!$CE$21,BZ19+$CE$21,ROUND(BZ19*$CE$23,2))))</f>
        <v>1820.13</v>
      </c>
      <c r="CI20" s="465">
        <f>IF(CA19="-","-",IF(CA19&gt;3200,ROUND(CA19*$CE$23,2),IF(ROUND(CA19*$CE$23,2)-CA19&lt;'L Tab'!$CE$21,CA19+$CE$21,ROUND(CA19*$CE$23,2))))</f>
        <v>1855.04</v>
      </c>
      <c r="CJ20" s="465">
        <f>IF(CB19="-","-",IF(CB19&gt;3200,ROUND(CB19*$CE$23,2),IF(ROUND(CB19*$CE$23,2)-CB19&lt;'L Tab'!$CE$21,CB19+$CE$21,ROUND(CB19*$CE$23,2))))</f>
        <v>1942.28</v>
      </c>
      <c r="CL20" s="74">
        <f t="shared" si="101"/>
        <v>1</v>
      </c>
      <c r="CM20" s="112" t="str">
        <f t="shared" si="102"/>
        <v>-</v>
      </c>
      <c r="CN20" s="112">
        <f t="shared" si="103"/>
        <v>1797.44</v>
      </c>
      <c r="CO20" s="112">
        <f t="shared" si="104"/>
        <v>1827.18</v>
      </c>
      <c r="CP20" s="112">
        <f t="shared" si="105"/>
        <v>1862.9</v>
      </c>
      <c r="CQ20" s="112">
        <f t="shared" si="106"/>
        <v>1898.63</v>
      </c>
      <c r="CR20" s="112">
        <f t="shared" si="107"/>
        <v>1987.92</v>
      </c>
      <c r="CT20" s="74">
        <f t="shared" si="108"/>
        <v>1</v>
      </c>
      <c r="CU20" s="112" t="str">
        <f t="shared" si="27"/>
        <v>-</v>
      </c>
      <c r="CV20" s="112">
        <f t="shared" si="109"/>
        <v>1797.44</v>
      </c>
      <c r="CW20" s="112">
        <f t="shared" si="110"/>
        <v>1827.18</v>
      </c>
      <c r="CX20" s="112">
        <f t="shared" si="111"/>
        <v>1862.9</v>
      </c>
      <c r="CY20" s="112">
        <f t="shared" si="112"/>
        <v>1898.63</v>
      </c>
      <c r="CZ20" s="112">
        <f t="shared" si="113"/>
        <v>1987.92</v>
      </c>
      <c r="DB20" s="74">
        <f t="shared" si="114"/>
        <v>1</v>
      </c>
      <c r="DC20" s="112" t="str">
        <f t="shared" si="80"/>
        <v>-</v>
      </c>
      <c r="DD20" s="112">
        <f t="shared" si="81"/>
        <v>1897.44</v>
      </c>
      <c r="DE20" s="112">
        <f t="shared" si="82"/>
        <v>1927.18</v>
      </c>
      <c r="DF20" s="112">
        <f t="shared" si="83"/>
        <v>1962.9</v>
      </c>
      <c r="DG20" s="112">
        <f t="shared" si="84"/>
        <v>1998.63</v>
      </c>
      <c r="DH20" s="112">
        <f t="shared" si="85"/>
        <v>2087.92</v>
      </c>
      <c r="DJ20" s="74">
        <f t="shared" si="115"/>
        <v>1</v>
      </c>
      <c r="DK20" s="112" t="str">
        <f t="shared" si="87"/>
        <v>-</v>
      </c>
      <c r="DL20" s="112">
        <f t="shared" si="88"/>
        <v>1987.44</v>
      </c>
      <c r="DM20" s="112">
        <f t="shared" si="89"/>
        <v>2017.18</v>
      </c>
      <c r="DN20" s="112">
        <f t="shared" si="90"/>
        <v>2052.9</v>
      </c>
      <c r="DO20" s="112">
        <f t="shared" si="91"/>
        <v>2088.63</v>
      </c>
      <c r="DP20" s="112">
        <f t="shared" si="92"/>
        <v>2177.92</v>
      </c>
      <c r="DR20" s="74">
        <f t="shared" si="116"/>
        <v>1</v>
      </c>
      <c r="DS20" s="112" t="str">
        <f t="shared" si="94"/>
        <v>-</v>
      </c>
      <c r="DT20" s="112">
        <f t="shared" si="95"/>
        <v>2037.44</v>
      </c>
      <c r="DU20" s="112">
        <f t="shared" si="96"/>
        <v>2067.1800000000003</v>
      </c>
      <c r="DV20" s="112">
        <f t="shared" si="97"/>
        <v>2102.9</v>
      </c>
      <c r="DW20" s="112">
        <f t="shared" si="98"/>
        <v>2138.63</v>
      </c>
      <c r="DX20" s="112">
        <f t="shared" si="99"/>
        <v>2227.92</v>
      </c>
    </row>
    <row r="21" spans="1:128">
      <c r="C21" s="153"/>
      <c r="BN21" s="396" t="s">
        <v>325</v>
      </c>
      <c r="BO21" s="228">
        <v>0</v>
      </c>
      <c r="BV21" s="396" t="s">
        <v>325</v>
      </c>
      <c r="BW21" s="228">
        <v>75</v>
      </c>
      <c r="CD21" s="396" t="s">
        <v>325</v>
      </c>
      <c r="CE21" s="466">
        <v>75</v>
      </c>
      <c r="CK21" s="81"/>
      <c r="CL21" s="396" t="s">
        <v>325</v>
      </c>
      <c r="CM21" s="466"/>
      <c r="CS21" s="81"/>
      <c r="CT21" s="396" t="s">
        <v>325</v>
      </c>
      <c r="CU21" s="466"/>
      <c r="DA21" s="81"/>
      <c r="DB21" s="396" t="s">
        <v>325</v>
      </c>
      <c r="DC21" s="466">
        <v>100</v>
      </c>
      <c r="DI21" s="81"/>
      <c r="DJ21" s="396" t="s">
        <v>325</v>
      </c>
      <c r="DK21" s="466">
        <v>90</v>
      </c>
      <c r="DQ21" s="81"/>
      <c r="DR21" s="396" t="s">
        <v>325</v>
      </c>
      <c r="DS21" s="466">
        <v>50</v>
      </c>
    </row>
    <row r="22" spans="1:128">
      <c r="A22" s="155" t="s">
        <v>81</v>
      </c>
      <c r="B22" s="152">
        <f>Para!C49</f>
        <v>0.92500000000000004</v>
      </c>
      <c r="C22" s="147"/>
      <c r="D22" s="147"/>
      <c r="E22" s="147"/>
      <c r="F22" s="147"/>
      <c r="G22" s="147"/>
      <c r="H22" s="147"/>
      <c r="K22" s="148"/>
      <c r="R22" s="175" t="s">
        <v>133</v>
      </c>
      <c r="S22" s="135">
        <v>40</v>
      </c>
      <c r="Z22" s="220" t="str">
        <f>$R$22</f>
        <v>Sockel</v>
      </c>
      <c r="AA22" s="160">
        <v>0</v>
      </c>
      <c r="AG22" s="161" t="s">
        <v>204</v>
      </c>
      <c r="AH22" s="220" t="str">
        <f>$R$22</f>
        <v>Sockel</v>
      </c>
      <c r="AI22" s="135">
        <v>0</v>
      </c>
      <c r="AO22" s="161" t="s">
        <v>137</v>
      </c>
      <c r="AP22" s="220" t="str">
        <f>$R$22</f>
        <v>Sockel</v>
      </c>
      <c r="AQ22" s="160">
        <v>17</v>
      </c>
      <c r="AW22" s="161" t="s">
        <v>137</v>
      </c>
      <c r="AX22" s="220" t="str">
        <f>$R$22</f>
        <v>Sockel</v>
      </c>
      <c r="AY22" s="228">
        <v>0</v>
      </c>
      <c r="BA22" s="135">
        <v>1</v>
      </c>
      <c r="BB22" s="135" t="s">
        <v>233</v>
      </c>
      <c r="BC22" s="158">
        <v>2</v>
      </c>
      <c r="BE22" s="161" t="s">
        <v>137</v>
      </c>
      <c r="BF22" s="220" t="str">
        <f>$R$22</f>
        <v>Sockel</v>
      </c>
      <c r="BG22" s="228">
        <v>0</v>
      </c>
      <c r="BI22" s="394">
        <v>1</v>
      </c>
      <c r="BJ22" s="394" t="s">
        <v>233</v>
      </c>
      <c r="BK22" s="395">
        <v>2</v>
      </c>
      <c r="BM22" s="161" t="s">
        <v>137</v>
      </c>
      <c r="BN22" s="220" t="str">
        <f>$R$22</f>
        <v>Sockel</v>
      </c>
      <c r="BO22" s="228">
        <v>0</v>
      </c>
      <c r="BQ22" s="394">
        <v>1</v>
      </c>
      <c r="BR22" s="394" t="s">
        <v>233</v>
      </c>
      <c r="BS22" s="395">
        <v>2</v>
      </c>
      <c r="BU22" s="161" t="s">
        <v>137</v>
      </c>
      <c r="BV22" s="220" t="str">
        <f>$R$22</f>
        <v>Sockel</v>
      </c>
      <c r="BW22" s="228">
        <v>0</v>
      </c>
      <c r="BY22" s="394">
        <v>1</v>
      </c>
      <c r="BZ22" s="394" t="s">
        <v>233</v>
      </c>
      <c r="CA22" s="395">
        <v>2</v>
      </c>
      <c r="CC22" s="161" t="s">
        <v>137</v>
      </c>
      <c r="CD22" s="220" t="str">
        <f>$R$22</f>
        <v>Sockel</v>
      </c>
      <c r="CE22" s="228">
        <v>0</v>
      </c>
      <c r="CG22" s="394">
        <v>1</v>
      </c>
      <c r="CH22" s="394" t="s">
        <v>233</v>
      </c>
      <c r="CI22" s="395">
        <v>2</v>
      </c>
      <c r="CK22" s="161" t="s">
        <v>137</v>
      </c>
      <c r="CL22" s="220" t="str">
        <f>$R$22</f>
        <v>Sockel</v>
      </c>
      <c r="CM22" s="228">
        <v>0</v>
      </c>
      <c r="CO22" s="394">
        <v>1</v>
      </c>
      <c r="CP22" s="394" t="s">
        <v>233</v>
      </c>
      <c r="CQ22" s="395">
        <v>2</v>
      </c>
      <c r="CS22" s="161" t="s">
        <v>137</v>
      </c>
      <c r="CT22" s="220" t="str">
        <f>$R$22</f>
        <v>Sockel</v>
      </c>
      <c r="CU22" s="228">
        <v>0</v>
      </c>
      <c r="CW22" s="394">
        <v>1</v>
      </c>
      <c r="CX22" s="394" t="s">
        <v>233</v>
      </c>
      <c r="CY22" s="395">
        <v>2</v>
      </c>
      <c r="DA22" s="161" t="s">
        <v>137</v>
      </c>
      <c r="DB22" s="220" t="str">
        <f>$R$22</f>
        <v>Sockel</v>
      </c>
      <c r="DC22" s="228"/>
      <c r="DE22" s="394">
        <v>1</v>
      </c>
      <c r="DF22" s="394" t="s">
        <v>233</v>
      </c>
      <c r="DG22" s="395">
        <v>2</v>
      </c>
      <c r="DI22" s="161" t="s">
        <v>137</v>
      </c>
      <c r="DJ22" s="220" t="str">
        <f>$R$22</f>
        <v>Sockel</v>
      </c>
      <c r="DK22" s="228"/>
      <c r="DM22" s="394">
        <v>1</v>
      </c>
      <c r="DN22" s="394" t="s">
        <v>233</v>
      </c>
      <c r="DO22" s="395">
        <v>2</v>
      </c>
      <c r="DQ22" s="161" t="s">
        <v>137</v>
      </c>
      <c r="DR22" s="220" t="str">
        <f>$R$22</f>
        <v>Sockel</v>
      </c>
      <c r="DS22" s="228"/>
      <c r="DU22" s="394">
        <v>1</v>
      </c>
      <c r="DV22" s="394" t="s">
        <v>233</v>
      </c>
      <c r="DW22" s="395">
        <v>2</v>
      </c>
    </row>
    <row r="23" spans="1:128" ht="12" thickBot="1">
      <c r="B23" s="75" t="str">
        <f t="shared" ref="B23:H23" si="119">B1</f>
        <v>EG</v>
      </c>
      <c r="C23" s="75" t="str">
        <f t="shared" si="119"/>
        <v>Stufe 1</v>
      </c>
      <c r="D23" s="75" t="str">
        <f t="shared" si="119"/>
        <v>Stufe 2</v>
      </c>
      <c r="E23" s="75" t="str">
        <f t="shared" si="119"/>
        <v>Stufe 3</v>
      </c>
      <c r="F23" s="75" t="str">
        <f t="shared" si="119"/>
        <v>Stufe 4</v>
      </c>
      <c r="G23" s="75" t="str">
        <f t="shared" si="119"/>
        <v>Stufe 5</v>
      </c>
      <c r="H23" s="75" t="str">
        <f t="shared" si="119"/>
        <v>Stufe 6</v>
      </c>
      <c r="K23" s="75"/>
      <c r="L23" s="75"/>
      <c r="M23" s="75"/>
      <c r="N23" s="75"/>
      <c r="O23" s="75"/>
      <c r="P23" s="75"/>
      <c r="R23" s="175" t="s">
        <v>134</v>
      </c>
      <c r="S23" s="135">
        <v>1.03</v>
      </c>
      <c r="T23" s="157" t="str">
        <f>IF(S23&gt;0,FIXED((S23-1)*100,2),0)</f>
        <v>3,00</v>
      </c>
      <c r="Z23" s="220" t="str">
        <f>$R$23</f>
        <v>linear</v>
      </c>
      <c r="AA23" s="135">
        <v>1.012</v>
      </c>
      <c r="AB23" s="135" t="str">
        <f>IF(AA23&gt;0,FIXED((AA23-1)*100,2),0)</f>
        <v>1,20</v>
      </c>
      <c r="AG23" s="161" t="s">
        <v>204</v>
      </c>
      <c r="AH23" s="220" t="str">
        <f>$R$23</f>
        <v>linear</v>
      </c>
      <c r="AI23" s="135">
        <v>1.0149999999999999</v>
      </c>
      <c r="AJ23" s="157" t="str">
        <f>IF(AI23&gt;0,FIXED((AI23-1)*100,2),0)</f>
        <v>1,50</v>
      </c>
      <c r="AO23" s="161" t="s">
        <v>137</v>
      </c>
      <c r="AP23" s="220" t="str">
        <f>$R$23</f>
        <v>linear</v>
      </c>
      <c r="AQ23" s="135">
        <v>1.0189999999999999</v>
      </c>
      <c r="AR23" s="135" t="str">
        <f>IF(AQ23&gt;0,FIXED((AQ23-1)*100,2),0)</f>
        <v>1,90</v>
      </c>
      <c r="AW23" s="161" t="s">
        <v>137</v>
      </c>
      <c r="AX23" s="220" t="str">
        <f>$R$23</f>
        <v>linear</v>
      </c>
      <c r="AY23" s="229">
        <v>1.0265</v>
      </c>
      <c r="AZ23" s="135" t="str">
        <f>IF(AY23&gt;0,FIXED((AY23-1)*100,2),0)</f>
        <v>2,65</v>
      </c>
      <c r="BA23" s="135">
        <v>2</v>
      </c>
      <c r="BB23" s="135" t="s">
        <v>234</v>
      </c>
      <c r="BE23" s="161" t="s">
        <v>137</v>
      </c>
      <c r="BF23" s="220" t="str">
        <f>$R$23</f>
        <v>linear</v>
      </c>
      <c r="BG23" s="229">
        <v>1.0295000000000001</v>
      </c>
      <c r="BH23" s="135" t="str">
        <f>IF(BG23&gt;0,FIXED((BG23-1)*100,2),0)</f>
        <v>2,95</v>
      </c>
      <c r="BI23" s="394">
        <v>2</v>
      </c>
      <c r="BJ23" s="394" t="s">
        <v>234</v>
      </c>
      <c r="BK23" s="394"/>
      <c r="BM23" s="161" t="s">
        <v>137</v>
      </c>
      <c r="BN23" s="175" t="str">
        <f>$R$23</f>
        <v>linear</v>
      </c>
      <c r="BO23" s="229">
        <v>1.0209999999999999</v>
      </c>
      <c r="BP23" s="135" t="str">
        <f>IF(BO23&gt;0,FIXED((BO23-1)*100,2),0)</f>
        <v>2,10</v>
      </c>
      <c r="BQ23" s="394">
        <v>2</v>
      </c>
      <c r="BR23" s="394" t="s">
        <v>234</v>
      </c>
      <c r="BS23" s="394"/>
      <c r="BU23" s="161" t="s">
        <v>137</v>
      </c>
      <c r="BV23" s="220" t="str">
        <f>$R$23</f>
        <v>linear</v>
      </c>
      <c r="BW23" s="229">
        <v>1.0229999999999999</v>
      </c>
      <c r="BX23" s="135" t="str">
        <f>IF(BW23&gt;0,FIXED((BW23-1)*100,2),0)</f>
        <v>2,30</v>
      </c>
      <c r="BY23" s="394">
        <v>2</v>
      </c>
      <c r="BZ23" s="394" t="s">
        <v>234</v>
      </c>
      <c r="CA23" s="394"/>
      <c r="CC23" s="161" t="s">
        <v>137</v>
      </c>
      <c r="CD23" s="220" t="str">
        <f>$R$23</f>
        <v>linear</v>
      </c>
      <c r="CE23" s="229">
        <v>1.02</v>
      </c>
      <c r="CF23" s="135" t="str">
        <f>IF(CE23&gt;0,FIXED((CE23-1)*100,2),0)</f>
        <v>2,00</v>
      </c>
      <c r="CG23" s="394">
        <v>2</v>
      </c>
      <c r="CH23" s="394" t="s">
        <v>234</v>
      </c>
      <c r="CK23" s="161" t="s">
        <v>137</v>
      </c>
      <c r="CL23" s="220" t="str">
        <f>$R$23</f>
        <v>linear</v>
      </c>
      <c r="CM23" s="229">
        <v>1.0235000000000001</v>
      </c>
      <c r="CN23" s="135" t="str">
        <f>IF(CM23&gt;0,FIXED((CM23-1)*100,2),0)</f>
        <v>2,35</v>
      </c>
      <c r="CO23" s="394">
        <v>2</v>
      </c>
      <c r="CP23" s="394" t="s">
        <v>234</v>
      </c>
      <c r="CS23" s="161" t="s">
        <v>137</v>
      </c>
      <c r="CT23" s="220" t="str">
        <f>$R$23</f>
        <v>linear</v>
      </c>
      <c r="CU23" s="229">
        <v>1</v>
      </c>
      <c r="CV23" s="135" t="str">
        <f>IF(CU23&gt;0,FIXED((CU23-1)*100,2),0)</f>
        <v>0,00</v>
      </c>
      <c r="CW23" s="394">
        <v>2</v>
      </c>
      <c r="CX23" s="394" t="s">
        <v>234</v>
      </c>
      <c r="DA23" s="161" t="s">
        <v>137</v>
      </c>
      <c r="DB23" s="220" t="str">
        <f>$R$23</f>
        <v>linear</v>
      </c>
      <c r="DC23" s="229">
        <v>1.0301</v>
      </c>
      <c r="DD23" s="135" t="str">
        <f>IF(DC23&gt;0,FIXED((DC23-1)*100,2),0)</f>
        <v>3,01</v>
      </c>
      <c r="DE23" s="394">
        <v>2</v>
      </c>
      <c r="DF23" s="394" t="s">
        <v>234</v>
      </c>
      <c r="DI23" s="161" t="s">
        <v>137</v>
      </c>
      <c r="DJ23" s="220" t="str">
        <f>$R$23</f>
        <v>linear</v>
      </c>
      <c r="DK23" s="229">
        <v>1.0311999999999999</v>
      </c>
      <c r="DL23" s="135" t="str">
        <f>IF(DK23&gt;0,FIXED((DK23-1)*100,2),0)</f>
        <v>3,12</v>
      </c>
      <c r="DM23" s="394">
        <v>2</v>
      </c>
      <c r="DN23" s="394" t="s">
        <v>234</v>
      </c>
      <c r="DQ23" s="161" t="s">
        <v>137</v>
      </c>
      <c r="DR23" s="220" t="str">
        <f>$R$23</f>
        <v>linear</v>
      </c>
      <c r="DS23" s="229">
        <v>1.0128999999999999</v>
      </c>
      <c r="DT23" s="135" t="str">
        <f>IF(DS23&gt;0,FIXED((DS23-1)*100,2),0)</f>
        <v>1,29</v>
      </c>
      <c r="DU23" s="394">
        <v>2</v>
      </c>
      <c r="DV23" s="394" t="s">
        <v>234</v>
      </c>
    </row>
    <row r="24" spans="1:128">
      <c r="B24" s="75" t="str">
        <f>B2</f>
        <v>15Ü</v>
      </c>
      <c r="C24" s="381">
        <f>IF(C2="-","-",ROUND(C2*Para!$C$49,0))</f>
        <v>3954</v>
      </c>
      <c r="D24" s="382">
        <f>IF(D2="-","-",ROUND(D2*Para!$C$49,0))</f>
        <v>4394</v>
      </c>
      <c r="E24" s="382">
        <f>IF(E2="-","-",ROUND(E2*Para!$C$49,0))</f>
        <v>4810</v>
      </c>
      <c r="F24" s="382">
        <f>IF(F2="-","-",ROUND(F2*Para!$C$49,0))</f>
        <v>5088</v>
      </c>
      <c r="G24" s="382">
        <f>IF(G2="-","-",ROUND(G2*Para!$C$49,0))</f>
        <v>5152</v>
      </c>
      <c r="H24" s="383" t="str">
        <f>IF(H2="-","-",ROUND(H2*Para!$C$49,0))</f>
        <v>-</v>
      </c>
      <c r="K24" s="37"/>
      <c r="L24" s="37"/>
      <c r="M24" s="37"/>
      <c r="N24" s="37"/>
      <c r="O24" s="37"/>
      <c r="P24" s="37"/>
      <c r="R24" s="221" t="s">
        <v>136</v>
      </c>
      <c r="Z24" s="221" t="str">
        <f>$R$24</f>
        <v>Eingabe hier</v>
      </c>
      <c r="AH24" s="221" t="str">
        <f>$R$24</f>
        <v>Eingabe hier</v>
      </c>
      <c r="AP24" s="221" t="str">
        <f>$R$24</f>
        <v>Eingabe hier</v>
      </c>
      <c r="AX24" s="221" t="str">
        <f>$R$24</f>
        <v>Eingabe hier</v>
      </c>
      <c r="BF24" s="221" t="str">
        <f>$R$24</f>
        <v>Eingabe hier</v>
      </c>
      <c r="BN24" s="221" t="str">
        <f>$R$24</f>
        <v>Eingabe hier</v>
      </c>
      <c r="BU24" s="396" t="s">
        <v>327</v>
      </c>
      <c r="BV24" s="221" t="str">
        <f>$R$24</f>
        <v>Eingabe hier</v>
      </c>
      <c r="BW24" s="229">
        <v>1.0245</v>
      </c>
      <c r="BX24" s="135" t="str">
        <f>IF(BW24&gt;0,FIXED((BW24-1)*100,2),0)</f>
        <v>2,45</v>
      </c>
      <c r="CC24" s="396" t="s">
        <v>327</v>
      </c>
      <c r="CD24" s="221" t="str">
        <f>$R$24</f>
        <v>Eingabe hier</v>
      </c>
      <c r="CE24" s="229">
        <v>1.022</v>
      </c>
      <c r="CF24" s="135" t="str">
        <f>IF(CE24&gt;0,FIXED((CE24-1)*100,2),0)</f>
        <v>2,20</v>
      </c>
      <c r="CK24" s="396" t="s">
        <v>327</v>
      </c>
      <c r="CL24" s="221" t="str">
        <f>$R$24</f>
        <v>Eingabe hier</v>
      </c>
      <c r="CM24" s="229">
        <v>1.0235000000000001</v>
      </c>
      <c r="CN24" s="135" t="str">
        <f>IF(CM24&gt;0,FIXED((CM24-1)*100,2),0)</f>
        <v>2,35</v>
      </c>
      <c r="CS24" s="396" t="s">
        <v>327</v>
      </c>
      <c r="CT24" s="221" t="str">
        <f>$R$24</f>
        <v>Eingabe hier</v>
      </c>
      <c r="CU24" s="229">
        <v>1</v>
      </c>
      <c r="CV24" s="135" t="str">
        <f>IF(CU24&gt;0,FIXED((CU24-1)*100,2),0)</f>
        <v>0,00</v>
      </c>
      <c r="DA24" s="396" t="s">
        <v>327</v>
      </c>
      <c r="DB24" s="221" t="str">
        <f>$R$24</f>
        <v>Eingabe hier</v>
      </c>
      <c r="DC24" s="229">
        <v>1.0449999999999999</v>
      </c>
      <c r="DD24" s="135" t="str">
        <f>IF(DC24&gt;0,FIXED((DC24-1)*100,2),0)</f>
        <v>4,50</v>
      </c>
      <c r="DI24" s="396" t="s">
        <v>327</v>
      </c>
      <c r="DJ24" s="221" t="str">
        <f>$R$24</f>
        <v>Eingabe hier</v>
      </c>
      <c r="DK24" s="229">
        <v>1.0429999999999999</v>
      </c>
      <c r="DL24" s="135" t="str">
        <f>IF(DK24&gt;0,FIXED((DK24-1)*100,2),0)</f>
        <v>4,30</v>
      </c>
      <c r="DQ24" s="396" t="s">
        <v>327</v>
      </c>
      <c r="DR24" s="221" t="str">
        <f>$R$24</f>
        <v>Eingabe hier</v>
      </c>
      <c r="DS24" s="229">
        <v>1.018</v>
      </c>
      <c r="DT24" s="135" t="str">
        <f>IF(DS24&gt;0,FIXED((DS24-1)*100,2),0)</f>
        <v>1,80</v>
      </c>
    </row>
    <row r="25" spans="1:128">
      <c r="B25" s="75">
        <f>B3</f>
        <v>15</v>
      </c>
      <c r="C25" s="384">
        <f>IF(C3="-","-",ROUND(C3*Para!$C$49,0))</f>
        <v>3130</v>
      </c>
      <c r="D25" s="37">
        <f>IF(D3="-","-",ROUND(D3*Para!$C$49,0))</f>
        <v>3478</v>
      </c>
      <c r="E25" s="37">
        <f>IF(E3="-","-",ROUND(E3*Para!$C$49,0))</f>
        <v>3608</v>
      </c>
      <c r="F25" s="37">
        <f>IF(F3="-","-",ROUND(F3*Para!$C$49,0))</f>
        <v>4070</v>
      </c>
      <c r="G25" s="37">
        <f>IF(G3="-","-",ROUND(G3*Para!$C$49,0))</f>
        <v>4422</v>
      </c>
      <c r="H25" s="385" t="str">
        <f>IF(H3="-","-",ROUND(H3*Para!$C$49,0))</f>
        <v>-</v>
      </c>
      <c r="K25" s="37"/>
      <c r="L25" s="37"/>
      <c r="M25" s="37"/>
      <c r="N25" s="37"/>
      <c r="O25" s="37"/>
      <c r="P25" s="37"/>
      <c r="AG25" s="159"/>
      <c r="AH25" s="162" t="s">
        <v>196</v>
      </c>
      <c r="AI25" s="159"/>
      <c r="AO25" s="159"/>
      <c r="AP25" s="162" t="s">
        <v>196</v>
      </c>
      <c r="AQ25" s="159"/>
      <c r="AW25" s="159"/>
      <c r="AX25" s="162" t="s">
        <v>196</v>
      </c>
      <c r="AY25" s="159"/>
      <c r="BE25" s="159"/>
      <c r="BF25" s="162" t="s">
        <v>196</v>
      </c>
      <c r="BG25" s="159"/>
      <c r="BM25" s="159"/>
      <c r="BN25" s="162" t="s">
        <v>196</v>
      </c>
      <c r="BO25" s="159"/>
      <c r="BV25" s="162" t="s">
        <v>196</v>
      </c>
      <c r="CD25" s="162" t="s">
        <v>196</v>
      </c>
      <c r="CK25" s="81"/>
      <c r="CL25" s="162" t="s">
        <v>196</v>
      </c>
      <c r="CS25" s="81"/>
      <c r="CT25" s="162" t="s">
        <v>196</v>
      </c>
      <c r="DA25" s="81"/>
      <c r="DB25" s="162" t="s">
        <v>196</v>
      </c>
      <c r="DI25" s="81"/>
      <c r="DJ25" s="162" t="s">
        <v>196</v>
      </c>
      <c r="DQ25" s="81"/>
      <c r="DR25" s="162" t="s">
        <v>196</v>
      </c>
    </row>
    <row r="26" spans="1:128">
      <c r="B26" s="75">
        <f>B4</f>
        <v>14</v>
      </c>
      <c r="C26" s="384">
        <f>IF(C4="-","-",ROUND(C4*Para!$C$49,0))</f>
        <v>2831</v>
      </c>
      <c r="D26" s="37">
        <f>IF(D4="-","-",ROUND(D4*Para!$C$49,0))</f>
        <v>3145</v>
      </c>
      <c r="E26" s="37">
        <f>IF(E4="-","-",ROUND(E4*Para!$C$49,0))</f>
        <v>3330</v>
      </c>
      <c r="F26" s="37">
        <f>IF(F4="-","-",ROUND(F4*Para!$C$49,0))</f>
        <v>3608</v>
      </c>
      <c r="G26" s="37">
        <f>IF(G4="-","-",ROUND(G4*Para!$C$49,0))</f>
        <v>4033</v>
      </c>
      <c r="H26" s="385" t="str">
        <f>IF(H4="-","-",ROUND(H4*Para!$C$49,0))</f>
        <v>-</v>
      </c>
      <c r="K26" s="37"/>
      <c r="L26" s="37"/>
      <c r="M26" s="37"/>
      <c r="N26" s="37"/>
      <c r="O26" s="37"/>
      <c r="P26" s="37"/>
      <c r="AH26" s="135" t="str">
        <f>Para!F125</f>
        <v>( ab 1.04.2011 )</v>
      </c>
      <c r="AI26" s="159"/>
      <c r="AP26" s="158" t="str">
        <f>Para!F126</f>
        <v>( ab 1.01.2012 )</v>
      </c>
      <c r="AQ26" s="159"/>
      <c r="AX26" s="158" t="str">
        <f>Para!F127</f>
        <v>( ab 1.01.2013 )</v>
      </c>
      <c r="AY26" s="159"/>
      <c r="BF26" s="158" t="str">
        <f>Para!F128</f>
        <v>( ab 1.01.2014 )</v>
      </c>
      <c r="BG26" s="159"/>
      <c r="BN26" s="158" t="str">
        <f>Para!F129</f>
        <v>( ab 1.03.2015 )</v>
      </c>
      <c r="BO26" s="159"/>
      <c r="BV26" s="158" t="str">
        <f>Para!F130</f>
        <v>( ab 1.03.2016 )</v>
      </c>
      <c r="CD26" s="158" t="str">
        <f>Para!F131</f>
        <v>( ab 1.01.2017 )</v>
      </c>
      <c r="CK26" s="81"/>
      <c r="CL26" s="158" t="str">
        <f>Para!$F132</f>
        <v>( ab 1.01.2018 )</v>
      </c>
      <c r="CS26" s="81"/>
      <c r="CT26" s="158" t="str">
        <f>Para!$F133</f>
        <v>( ab 1.10.2018 )</v>
      </c>
      <c r="DA26" s="81"/>
      <c r="DB26" s="158" t="str">
        <f>Para!$F134</f>
        <v>( ab 1.01.2019 )</v>
      </c>
      <c r="DI26" s="81"/>
      <c r="DJ26" s="158" t="str">
        <f>Para!$F135</f>
        <v>( ab 1.01.2020 )</v>
      </c>
      <c r="DQ26" s="81"/>
      <c r="DR26" s="158" t="str">
        <f>Para!$F136</f>
        <v>( ab 1.01.2021 )</v>
      </c>
    </row>
    <row r="27" spans="1:128">
      <c r="B27" s="74" t="s">
        <v>16</v>
      </c>
      <c r="C27" s="384" t="str">
        <f>IF(C5="-","-",ROUND(C5*Para!$C$49,0))</f>
        <v>-</v>
      </c>
      <c r="D27" s="37">
        <f>IF(D5="-","-",ROUND(D5*Para!$C$49,0))</f>
        <v>2895</v>
      </c>
      <c r="E27" s="37">
        <f>IF(E5="-","-",ROUND(E5*Para!$C$49,0))</f>
        <v>3053</v>
      </c>
      <c r="F27" s="37">
        <f>IF(F5="-","-",ROUND(F5*Para!$C$49,0))</f>
        <v>3330</v>
      </c>
      <c r="G27" s="37">
        <f>IF(G5="-","-",ROUND(G5*Para!$C$49,0))</f>
        <v>3608</v>
      </c>
      <c r="H27" s="385">
        <f>IF(H5="-","-",ROUND(H5*Para!$C$49,0))</f>
        <v>4033</v>
      </c>
      <c r="K27" s="37"/>
      <c r="L27" s="37"/>
      <c r="M27" s="37"/>
      <c r="N27" s="37"/>
      <c r="O27" s="37"/>
      <c r="P27" s="37"/>
      <c r="AH27" s="135" t="str">
        <f>Para!G125</f>
        <v>Stand 1.04.2011</v>
      </c>
      <c r="AI27" s="159"/>
      <c r="AP27" s="158" t="str">
        <f>Para!G126</f>
        <v>Stand 1.01.2012</v>
      </c>
      <c r="AQ27" s="159"/>
      <c r="AX27" s="158" t="str">
        <f>Para!G127</f>
        <v>Stand 1.01.2013</v>
      </c>
      <c r="AY27" s="159"/>
      <c r="BF27" s="158" t="str">
        <f>Para!G128</f>
        <v>Stand 1.01.2014</v>
      </c>
      <c r="BG27" s="159"/>
      <c r="BN27" s="158" t="str">
        <f>Para!G129</f>
        <v>Stand 1.03.2015</v>
      </c>
      <c r="BO27" s="159"/>
      <c r="BV27" s="158" t="str">
        <f>Para!G130</f>
        <v>Stand 1.03.2016</v>
      </c>
      <c r="CD27" s="158" t="str">
        <f>Para!G131</f>
        <v>Stand 1.01.2017</v>
      </c>
      <c r="CK27" s="81"/>
      <c r="CL27" s="158" t="str">
        <f>Para!$G132</f>
        <v>Stand 1.01.2018</v>
      </c>
      <c r="CS27" s="81"/>
      <c r="CT27" s="158" t="str">
        <f>Para!$G133</f>
        <v>Stand 1.10.2018</v>
      </c>
      <c r="DA27" s="81"/>
      <c r="DB27" s="158" t="str">
        <f>Para!$G134</f>
        <v>Stand 1.01.2019</v>
      </c>
      <c r="DI27" s="81"/>
      <c r="DJ27" s="158" t="str">
        <f>Para!$G135</f>
        <v>Stand 1.01.2020</v>
      </c>
      <c r="DQ27" s="81"/>
      <c r="DR27" s="158" t="str">
        <f>Para!$G136</f>
        <v>Stand 1.01.2021</v>
      </c>
    </row>
    <row r="28" spans="1:128">
      <c r="B28" s="75">
        <f t="shared" ref="B28:B42" si="120">B6</f>
        <v>13</v>
      </c>
      <c r="C28" s="384">
        <f>IF(C6="-","-",ROUND(C6*Para!$C$49,0))</f>
        <v>2606</v>
      </c>
      <c r="D28" s="37">
        <f>IF(D6="-","-",ROUND(D6*Para!$C$49,0))</f>
        <v>2895</v>
      </c>
      <c r="E28" s="37">
        <f>IF(E6="-","-",ROUND(E6*Para!$C$49,0))</f>
        <v>3053</v>
      </c>
      <c r="F28" s="37">
        <f>IF(F6="-","-",ROUND(F6*Para!$C$49,0))</f>
        <v>3358</v>
      </c>
      <c r="G28" s="37">
        <f>IF(G6="-","-",ROUND(G6*Para!$C$49,0))</f>
        <v>3783</v>
      </c>
      <c r="H28" s="385" t="str">
        <f>IF(H6="-","-",ROUND(H6*Para!$C$49,0))</f>
        <v>-</v>
      </c>
      <c r="K28" s="37"/>
      <c r="L28" s="37"/>
      <c r="M28" s="37"/>
      <c r="N28" s="37"/>
      <c r="O28" s="37"/>
      <c r="P28" s="37"/>
      <c r="AH28" s="135" t="str">
        <f>Para!E125</f>
        <v>ab 1.04.2011</v>
      </c>
      <c r="AI28" s="159"/>
      <c r="AO28" s="161"/>
      <c r="AP28" s="135" t="str">
        <f>Para!E126</f>
        <v>ab 1.01.2012</v>
      </c>
      <c r="AQ28" s="159"/>
      <c r="AW28" s="161"/>
      <c r="AX28" s="135" t="str">
        <f>Para!E127</f>
        <v>ab 1.01.2013</v>
      </c>
      <c r="AY28" s="159"/>
      <c r="BE28" s="161"/>
      <c r="BF28" s="135" t="str">
        <f>Para!E128</f>
        <v>ab 1.01.2014</v>
      </c>
      <c r="BG28" s="159"/>
      <c r="BM28" s="161"/>
      <c r="BN28" s="135" t="str">
        <f>Para!E129</f>
        <v>ab 1.03.2015</v>
      </c>
      <c r="BO28" s="159"/>
      <c r="BV28" s="135" t="str">
        <f>Para!E130</f>
        <v>ab 1.03.2016</v>
      </c>
      <c r="CD28" s="135" t="str">
        <f>Para!E131</f>
        <v>ab 1.01.2017</v>
      </c>
      <c r="CK28" s="81"/>
      <c r="CL28" s="135" t="str">
        <f>Para!$E132</f>
        <v>ab 1.01.2018</v>
      </c>
      <c r="CS28" s="81"/>
      <c r="CT28" s="135" t="str">
        <f>Para!$E133</f>
        <v>ab 1.10.2018</v>
      </c>
      <c r="DA28" s="81"/>
      <c r="DB28" s="135" t="str">
        <f>Para!$E134</f>
        <v>ab 1.01.2019</v>
      </c>
      <c r="DI28" s="81"/>
      <c r="DJ28" s="135" t="str">
        <f>Para!$E135</f>
        <v>ab 1.01.2020</v>
      </c>
      <c r="DQ28" s="81"/>
      <c r="DR28" s="135" t="str">
        <f>Para!$E136</f>
        <v>ab 1.01.2021</v>
      </c>
    </row>
    <row r="29" spans="1:128">
      <c r="B29" s="75">
        <f t="shared" si="120"/>
        <v>12</v>
      </c>
      <c r="C29" s="384">
        <f>IF(C7="-","-",ROUND(C7*Para!$C$49,0))</f>
        <v>2331</v>
      </c>
      <c r="D29" s="37">
        <f>IF(D7="-","-",ROUND(D7*Para!$C$49,0))</f>
        <v>2590</v>
      </c>
      <c r="E29" s="37">
        <f>IF(E7="-","-",ROUND(E7*Para!$C$49,0))</f>
        <v>2960</v>
      </c>
      <c r="F29" s="37">
        <f>IF(F7="-","-",ROUND(F7*Para!$C$49,0))</f>
        <v>3284</v>
      </c>
      <c r="G29" s="37">
        <f>IF(G7="-","-",ROUND(G7*Para!$C$49,0))</f>
        <v>3700</v>
      </c>
      <c r="H29" s="385" t="str">
        <f>IF(H7="-","-",ROUND(H7*Para!$C$49,0))</f>
        <v>-</v>
      </c>
      <c r="K29" s="37"/>
      <c r="L29" s="37"/>
      <c r="M29" s="37"/>
      <c r="N29" s="37"/>
      <c r="O29" s="37"/>
      <c r="P29" s="37"/>
      <c r="AH29" s="135" t="str">
        <f>IF(Umse!$B$11="8.1.",Para!H162,Para!H125)</f>
        <v xml:space="preserve"> (gilt bis 31.12.2011)</v>
      </c>
      <c r="AI29" s="159"/>
      <c r="AO29" s="161"/>
      <c r="AP29" s="158" t="str">
        <f>Para!H126</f>
        <v xml:space="preserve"> (gilt bis 31.12.2012)</v>
      </c>
      <c r="AQ29" s="159"/>
      <c r="AW29" s="161"/>
      <c r="AX29" s="158" t="str">
        <f>Para!H127</f>
        <v xml:space="preserve"> (gilt bis 31.12.2013)</v>
      </c>
      <c r="AY29" s="159"/>
      <c r="BE29" s="161"/>
      <c r="BF29" s="158" t="str">
        <f>Para!H128</f>
        <v xml:space="preserve"> (mind bis 31.12.2014)</v>
      </c>
      <c r="BG29" s="159"/>
      <c r="BM29" s="161"/>
      <c r="BN29" s="158" t="str">
        <f>Para!H129</f>
        <v xml:space="preserve"> (gilt bis 29.02.2016)</v>
      </c>
      <c r="BO29" s="159"/>
      <c r="BV29" s="158" t="str">
        <f>Para!H130</f>
        <v xml:space="preserve"> (mind. bis 31.12.2016)</v>
      </c>
      <c r="CD29" s="158" t="str">
        <f>Para!H131</f>
        <v xml:space="preserve"> (gilt bis 31.12.2017)</v>
      </c>
      <c r="CK29" s="81"/>
      <c r="CL29" s="158" t="str">
        <f>Para!$H132</f>
        <v xml:space="preserve"> (gilt bis 30.09.2018)</v>
      </c>
      <c r="CS29" s="81"/>
      <c r="CT29" s="158" t="str">
        <f>Para!$H133</f>
        <v xml:space="preserve"> (mind bis 31.12.2018)</v>
      </c>
      <c r="DA29" s="81"/>
      <c r="DB29" s="158" t="str">
        <f>Para!$H134</f>
        <v xml:space="preserve"> (gilt bis 31.12.2019)</v>
      </c>
      <c r="DI29" s="81"/>
      <c r="DJ29" s="158" t="str">
        <f>Para!$H135</f>
        <v xml:space="preserve"> (gilt bis 31.12.2020)</v>
      </c>
      <c r="DQ29" s="81"/>
      <c r="DR29" s="158" t="str">
        <f>Para!$H136</f>
        <v xml:space="preserve"> (mind bis 30.09.2021)</v>
      </c>
    </row>
    <row r="30" spans="1:128">
      <c r="B30" s="75">
        <f t="shared" si="120"/>
        <v>11</v>
      </c>
      <c r="C30" s="384">
        <f>IF(C8="-","-",ROUND(C8*Para!$C$49,0))</f>
        <v>2248</v>
      </c>
      <c r="D30" s="37">
        <f>IF(D8="-","-",ROUND(D8*Para!$C$49,0))</f>
        <v>2498</v>
      </c>
      <c r="E30" s="37">
        <f>IF(E8="-","-",ROUND(E8*Para!$C$49,0))</f>
        <v>2683</v>
      </c>
      <c r="F30" s="37">
        <f>IF(F8="-","-",ROUND(F8*Para!$C$49,0))</f>
        <v>2960</v>
      </c>
      <c r="G30" s="37">
        <f>IF(G8="-","-",ROUND(G8*Para!$C$49,0))</f>
        <v>3362</v>
      </c>
      <c r="H30" s="385" t="str">
        <f>IF(H8="-","-",ROUND(H8*Para!$C$49,0))</f>
        <v>-</v>
      </c>
      <c r="K30" s="37"/>
      <c r="L30" s="37"/>
      <c r="M30" s="37"/>
      <c r="N30" s="37"/>
      <c r="O30" s="37"/>
      <c r="P30" s="37"/>
      <c r="AH30" s="135" t="str">
        <f>IF(AND(AI22&gt;0,AI23&gt;1)," ( + "&amp;AI22&amp;" Euro ",IF(AND(AI22&gt;0,AI23=1)," ( + "&amp;AI22&amp;" Euro) ",""))</f>
        <v/>
      </c>
      <c r="AP30" s="135" t="str">
        <f>IF(AND(AQ22&gt;0,AQ23&gt;1)," ( + "&amp;AR23&amp;" % ",IF(AND(AQ22=0,AQ23&gt;1)," ( + "&amp;AR23&amp;" % ) ",""))</f>
        <v xml:space="preserve"> ( + 1,90 % </v>
      </c>
      <c r="AX30" s="135" t="str">
        <f>IF(AND(AY22=0,AY23&gt;1)," ( + "&amp;AZ23&amp;" % ) ",IF(AND(AY22&gt;0,AY23&gt;1,BC22=1)," ( + "&amp;AY22&amp;" Euro ",IF(AND(AY22&gt;0,AY23&gt;1,BC22=2)," ( + "&amp;AZ23&amp;" % ","")))</f>
        <v xml:space="preserve"> ( + 2,65 % ) </v>
      </c>
      <c r="BF30" s="135" t="str">
        <f>IF(AND(BG22=0,BG23&gt;1)," ( + "&amp;BH23&amp;" % ) ",IF(AND(BG22&gt;0,BG23&gt;1,BK22=1)," ( + "&amp;BG22&amp;" Euro ",IF(AND(BG22&gt;0,BG23&gt;1,BK22=2)," ( + "&amp;BH23&amp;" % ","")))</f>
        <v xml:space="preserve"> ( + 2,95 % ) </v>
      </c>
      <c r="BN30" s="135" t="str">
        <f>IF(AND(BO22=0,BO23&gt;1)," ( + "&amp;BP23&amp;" % ) ",IF(AND(BO22&gt;0,BO23&gt;1,BS22=1)," ( + "&amp;BO22&amp;" Euro ",IF(AND(BO22&gt;0,BO23&gt;1,BS22=2)," ( + "&amp;BP23&amp;" % ","")))</f>
        <v xml:space="preserve"> ( + 2,10 % ) </v>
      </c>
      <c r="BV30" s="135" t="str">
        <f>IF(AND(BW22=0,BW23&gt;1)," ( + "&amp;BX23&amp;" % ) ",IF(AND(BW22&gt;0,BW23&gt;1,CA22=1)," ( + "&amp;BW22&amp;" Euro ",IF(AND(BW22&gt;0,BW23&gt;1,CA22=2)," ( + "&amp;BX23&amp;" % ","")))</f>
        <v xml:space="preserve"> ( + 2,30 % ) </v>
      </c>
      <c r="CD30" s="135" t="str">
        <f>IF(AND(CE22=0,CE23&gt;1)," ( + "&amp;CF23&amp;" % ) ",IF(AND(CE22&gt;0,CE23&gt;1,CI22=1)," ( + "&amp;CE22&amp;" Euro ",IF(AND(CE22&gt;0,CE23&gt;1,CI22=2)," ( + "&amp;CF23&amp;" % ","")))</f>
        <v xml:space="preserve"> ( + 2,00 % ) </v>
      </c>
      <c r="CK30" s="81"/>
      <c r="CL30" s="135" t="str">
        <f>IF(AND(CM22=0,CM23&gt;1)," ( + "&amp;CN23&amp;" % ) ",IF(AND(CM22&gt;0,CM23&gt;1,CQ22=1)," ( + "&amp;CM22&amp;" Euro ",IF(AND(CM22&gt;0,CM23&gt;1,CQ22=2)," ( + "&amp;CN23&amp;" % ","")))</f>
        <v xml:space="preserve"> ( + 2,35 % ) </v>
      </c>
      <c r="CS30" s="81"/>
      <c r="CT30" s="135" t="str">
        <f>IF(AND(CU22=0,CU23&gt;1)," ( + "&amp;CV23&amp;" % ) ",IF(AND(CU22&gt;0,CU23&gt;1,CY22=1)," ( + "&amp;CU22&amp;" Euro ",IF(AND(CU22&gt;0,CU23&gt;1,CY22=2)," ( + "&amp;CV23&amp;" % ","")))</f>
        <v/>
      </c>
    </row>
    <row r="31" spans="1:128">
      <c r="B31" s="75">
        <f t="shared" si="120"/>
        <v>10</v>
      </c>
      <c r="C31" s="384">
        <f>IF(C9="-","-",ROUND(C9*Para!$C$49,0))</f>
        <v>2165</v>
      </c>
      <c r="D31" s="37">
        <f>IF(D9="-","-",ROUND(D9*Para!$C$49,0))</f>
        <v>2405</v>
      </c>
      <c r="E31" s="37">
        <f>IF(E9="-","-",ROUND(E9*Para!$C$49,0))</f>
        <v>2590</v>
      </c>
      <c r="F31" s="37">
        <f>IF(F9="-","-",ROUND(F9*Para!$C$49,0))</f>
        <v>2775</v>
      </c>
      <c r="G31" s="37">
        <f>IF(G9="-","-",ROUND(G9*Para!$C$49,0))</f>
        <v>3127</v>
      </c>
      <c r="H31" s="385" t="str">
        <f>IF(H9="-","-",ROUND(H9*Para!$C$49,0))</f>
        <v>-</v>
      </c>
      <c r="K31" s="37"/>
      <c r="L31" s="37"/>
      <c r="M31" s="37"/>
      <c r="N31" s="37"/>
      <c r="O31" s="37"/>
      <c r="P31" s="37"/>
      <c r="AH31" s="135" t="str">
        <f>IF(AI22&gt;0," + "&amp;AJ23&amp;" % ) "," ( + "&amp;AJ23&amp;" % ) ")</f>
        <v xml:space="preserve"> ( + 1,50 % ) </v>
      </c>
      <c r="AP31" s="135" t="str">
        <f>IF(AND(AQ22&gt;0,AQ23&gt;1)," + "&amp;AQ22&amp;" Euro ) ",IF(AND(AQ22&gt;0,AQ23=1)," (+ "&amp;AQ22&amp;" Euro) ",""))</f>
        <v xml:space="preserve"> + 17 Euro ) </v>
      </c>
      <c r="AX31" s="135" t="str">
        <f>IF(AND(AY22=0,AY23&gt;1)," ( + "&amp;AZ23&amp;" % ) ",IF(AND(AY22&gt;0,AY23&gt;1,BC22=1),"  + "&amp;AZ23&amp;" % )",IF(AND(AY22&gt;0,AY23&gt;1,BC22=2),"  + "&amp;AY22&amp;" Euro )","")))</f>
        <v xml:space="preserve"> ( + 2,65 % ) </v>
      </c>
      <c r="BF31" s="135" t="str">
        <f>IF(AND(BG22=0,BG23&gt;1)," ( + "&amp;BH23&amp;" % ) ",IF(AND(BG22&gt;0,BG23&gt;1,BK22=1),"  + "&amp;BH23&amp;" % )",IF(AND(BG22&gt;0,BG23&gt;1,BK22=2),"  + "&amp;BG22&amp;" Euro )","")))</f>
        <v xml:space="preserve"> ( + 2,95 % ) </v>
      </c>
      <c r="BN31" s="135" t="str">
        <f>IF(AND(BO22=0,BO23&gt;1)," ( + "&amp;BP23&amp;" % ) ",IF(AND(BO22&gt;0,BO23&gt;1,BS22=1),"  + "&amp;BP23&amp;" % )",IF(AND(BO22&gt;0,BO23&gt;1,BS22=2),"  + "&amp;BO22&amp;" Euro )","")))</f>
        <v xml:space="preserve"> ( + 2,10 % ) </v>
      </c>
      <c r="BV31" s="135" t="str">
        <f>IF(AND(BW22=0,BW23&gt;1)," ( + "&amp;BX23&amp;" % ) ",IF(AND(BW22&gt;0,BW23&gt;1,CA22=1),"  + "&amp;BX23&amp;" % )",IF(AND(BW22&gt;0,BW23&gt;1,CA22=2),"  + "&amp;BW22&amp;" Euro )","")))</f>
        <v xml:space="preserve"> ( + 2,30 % ) </v>
      </c>
      <c r="CD31" s="135" t="str">
        <f>IF(AND(CE22=0,CE23&gt;1)," ( + "&amp;CF23&amp;" % ) ",IF(AND(CE22&gt;0,CE23&gt;1,CI22=1),"  + "&amp;CF23&amp;" % )",IF(AND(CE22&gt;0,CE23&gt;1,CI22=2),"  + "&amp;CE22&amp;" Euro )","")))</f>
        <v xml:space="preserve"> ( + 2,00 % ) </v>
      </c>
      <c r="CK31" s="81"/>
      <c r="CL31" s="135" t="str">
        <f>IF(AND(CM22=0,CM23&gt;1)," ( + "&amp;CN23&amp;" % ",IF(AND(CM22&gt;0,CM23&gt;1,CQ22=1),"  + "&amp;CN23&amp;" % )",IF(AND(CM22&gt;0,CM23&gt;1,CQ22=2),"  + "&amp;CM22&amp;" Euro )","")))</f>
        <v xml:space="preserve"> ( + 2,35 % </v>
      </c>
      <c r="CS31" s="81"/>
      <c r="CT31" s="135" t="str">
        <f>IF(AND(CU22=0,CU23&gt;1)," ( + "&amp;CV23&amp;" % ) ",IF(AND(CU22&gt;0,CU23&gt;1,CY22=1),"  + "&amp;CV23&amp;" % )",IF(AND(CU22&gt;0,CU23&gt;1,CY22=2),"  + "&amp;CU22&amp;" Euro )","")))</f>
        <v/>
      </c>
    </row>
    <row r="32" spans="1:128">
      <c r="B32" s="75">
        <f t="shared" si="120"/>
        <v>9</v>
      </c>
      <c r="C32" s="384">
        <f>IF(C10="-","-",ROUND(C10*Para!$C$49,0))</f>
        <v>1906</v>
      </c>
      <c r="D32" s="37">
        <f>IF(D10="-","-",ROUND(D10*Para!$C$49,0))</f>
        <v>2118</v>
      </c>
      <c r="E32" s="37">
        <f>IF(E10="-","-",ROUND(E10*Para!$C$49,0))</f>
        <v>2229</v>
      </c>
      <c r="F32" s="37">
        <f>IF(F10="-","-",ROUND(F10*Para!$C$49,0))</f>
        <v>2525</v>
      </c>
      <c r="G32" s="37">
        <f>IF(G10="-","-",ROUND(G10*Para!$C$49,0))</f>
        <v>2757</v>
      </c>
      <c r="H32" s="385" t="str">
        <f>IF(H10="-","-",ROUND(H10*Para!$C$49,0))</f>
        <v>-</v>
      </c>
      <c r="K32" s="37"/>
      <c r="L32" s="37"/>
      <c r="M32" s="37"/>
      <c r="N32" s="37"/>
      <c r="O32" s="37"/>
      <c r="P32" s="37"/>
      <c r="AH32" s="135" t="str">
        <f>IF(AND(AI22&gt;0,AI23&gt;1),AH30&amp;AH31,IF(AND(AI22&gt;0,AI23=1),AH30,AH31))</f>
        <v xml:space="preserve"> ( + 1,50 % ) </v>
      </c>
      <c r="AP32" s="135" t="str">
        <f>IF(AND(AQ22&gt;0,AQ23&gt;1),AP30&amp;AP31,IF(AND(AQ22&gt;0,AQ23=1),AP30,AP31))</f>
        <v xml:space="preserve"> ( + 1,90 %  + 17 Euro ) </v>
      </c>
      <c r="AX32" s="145" t="str">
        <f>IF(AND(AY22&gt;0,AY23&gt;1),AX30&amp;AX31,IF(AND(AY22&gt;0,AY23=1),AX30,AX31))</f>
        <v xml:space="preserve"> ( + 2,65 % ) </v>
      </c>
      <c r="AY32" s="145"/>
      <c r="BF32" s="145" t="str">
        <f>IF(AND(BG22&gt;0,BG23&gt;1),BF30&amp;BF31,IF(AND(BG22&gt;0,BG23=1),BF30,BF31))</f>
        <v xml:space="preserve"> ( + 2,95 % ) </v>
      </c>
      <c r="BG32" s="145"/>
      <c r="BN32" s="145" t="str">
        <f>IF(AND(BO22=0,BO21&gt;1)," ( + "&amp;BP23&amp;" % mindestens + "&amp;BO21&amp;" € ) ",IF(AND(BO21=0,BO22&gt;0,BO23&gt;1),BN30&amp;BN31,IF(AND(BO22&gt;0,BO23=1),BN30,BN31)))</f>
        <v xml:space="preserve"> ( + 2,10 % ) </v>
      </c>
      <c r="BO32" s="145"/>
      <c r="BV32" s="145" t="str">
        <f>IF(AND(BW22=0,BW21&gt;1)," ( + "&amp;BX23&amp;" % mind "&amp;BW21&amp;" € ) ",IF(AND(BW22&gt;0,BW23&gt;1),BV30&amp;BV31,IF(AND(BW22&gt;0,BW23=1),BV30,BV31)))</f>
        <v xml:space="preserve"> ( + 2,30 % mind 75 € ) </v>
      </c>
      <c r="CD32" s="145" t="str">
        <f>IF(AND(CE22=0,CE21&gt;1)," ( + "&amp;CF23&amp;" % mind "&amp;CE21&amp;" € ) ",IF(AND(CE22&gt;0,CE23&gt;1),CD30&amp;CD31,IF(AND(CE22&gt;0,CE23=1),CD30,CD31)))</f>
        <v xml:space="preserve"> ( + 2,00 % mind 75 € ) </v>
      </c>
      <c r="CK32" s="81"/>
      <c r="CL32" s="145" t="str">
        <f>IF(AND(CM22=0,CM21&gt;1)," ( + "&amp;CN23&amp;" % mind "&amp;CM21&amp;" € ) ",IF(AND(CM22&gt;0,CM23&gt;1),CL30&amp;CL31,IF(AND(CM22&gt;0,CM23=1),CL30,CL31)))&amp;"+ Einführung Stufe 6 ab EG 9 )"</f>
        <v xml:space="preserve"> ( + 2,35 % + Einführung Stufe 6 ab EG 9 )</v>
      </c>
      <c r="CS32" s="81"/>
      <c r="CT32" s="145" t="str">
        <f>IF(AND(CU22=0,CU21&gt;1)," ( + "&amp;CV23&amp;" % mind "&amp;CU21&amp;" € ) ",IF(AND(CU22&gt;0,CU23&gt;1),CT30&amp;CT31,IF(AND(CU22&gt;0,CU23=1),CT30,CT31)))&amp;"( Erhöhung Stufe 6 ab EG 9 )"</f>
        <v>( Erhöhung Stufe 6 ab EG 9 )</v>
      </c>
      <c r="DB32" s="145" t="str">
        <f>IF(AND(DC22=0,DC21&gt;1)," ( mindestens "&amp;DC21&amp;" € bzw + "&amp;DD23&amp;" % ab Stufe 2 ) ",IF(AND(DC22&gt;0,DC23&gt;1),DB30&amp;DB31,IF(AND(DC22&gt;0,DC23=1),DB30,DB31)))</f>
        <v xml:space="preserve"> ( mindestens 100 € bzw + 3,01 % ab Stufe 2 ) </v>
      </c>
      <c r="DJ32" s="145" t="str">
        <f>IF(AND(DK22=0,DK21&gt;1)," ( mindestens "&amp;DK21&amp;" € bzw + "&amp;DL23&amp;" % ab Stufe 2 ) ",IF(AND(DK22&gt;0,DK23&gt;1),DJ30&amp;DJ31,IF(AND(DK22&gt;0,DK23=1),DJ30,DJ31)))</f>
        <v xml:space="preserve"> ( mindestens 90 € bzw + 3,12 % ab Stufe 2 ) </v>
      </c>
      <c r="DR32" s="145" t="str">
        <f>IF(AND(DS22=0,DS21&gt;1)," ( mindestens "&amp;DS21&amp;" € bzw + "&amp;DT23&amp;" % ab Stufe 2 ) ",IF(AND(DS22&gt;0,DS23&gt;1),DR30&amp;DR31,IF(AND(DS22&gt;0,DS23=1),DR30,DR31)))</f>
        <v xml:space="preserve"> ( mindestens 50 € bzw + 1,29 % ab Stufe 2 ) </v>
      </c>
    </row>
    <row r="33" spans="1:143">
      <c r="B33" s="75">
        <f t="shared" si="120"/>
        <v>8</v>
      </c>
      <c r="C33" s="384">
        <f>IF(C11="-","-",ROUND(C11*Para!$C$49,0))</f>
        <v>1782</v>
      </c>
      <c r="D33" s="37">
        <f>IF(D11="-","-",ROUND(D11*Para!$C$49,0))</f>
        <v>1980</v>
      </c>
      <c r="E33" s="37">
        <f>IF(E11="-","-",ROUND(E11*Para!$C$49,0))</f>
        <v>2072</v>
      </c>
      <c r="F33" s="37">
        <f>IF(F11="-","-",ROUND(F11*Para!$C$49,0))</f>
        <v>2155</v>
      </c>
      <c r="G33" s="37">
        <f>IF(G11="-","-",ROUND(G11*Para!$C$49,0))</f>
        <v>2248</v>
      </c>
      <c r="H33" s="385">
        <f>IF(H11="-","-",ROUND(H11*Para!$C$49,0))</f>
        <v>2306</v>
      </c>
      <c r="K33" s="37"/>
      <c r="L33" s="37"/>
      <c r="M33" s="37"/>
      <c r="N33" s="37"/>
      <c r="O33" s="37"/>
      <c r="P33" s="37"/>
    </row>
    <row r="34" spans="1:143">
      <c r="B34" s="75">
        <f t="shared" si="120"/>
        <v>7</v>
      </c>
      <c r="C34" s="384">
        <f>IF(C12="-","-",ROUND(C12*Para!$C$49,0))</f>
        <v>1665</v>
      </c>
      <c r="D34" s="37">
        <f>IF(D12="-","-",ROUND(D12*Para!$C$49,0))</f>
        <v>1850</v>
      </c>
      <c r="E34" s="37">
        <f>IF(E12="-","-",ROUND(E12*Para!$C$49,0))</f>
        <v>1970</v>
      </c>
      <c r="F34" s="37">
        <f>IF(F12="-","-",ROUND(F12*Para!$C$49,0))</f>
        <v>2063</v>
      </c>
      <c r="G34" s="37">
        <f>IF(G12="-","-",ROUND(G12*Para!$C$49,0))</f>
        <v>2132</v>
      </c>
      <c r="H34" s="385">
        <f>IF(H12="-","-",ROUND(H12*Para!$C$49,0))</f>
        <v>2197</v>
      </c>
      <c r="K34" s="37"/>
      <c r="L34" s="37"/>
      <c r="M34" s="37"/>
      <c r="N34" s="37"/>
      <c r="O34" s="37"/>
      <c r="P34" s="37"/>
      <c r="BN34" s="396" t="s">
        <v>325</v>
      </c>
      <c r="BO34" s="228">
        <v>0</v>
      </c>
      <c r="BV34" s="396" t="s">
        <v>325</v>
      </c>
      <c r="BW34" s="228">
        <v>80</v>
      </c>
      <c r="BX34" s="228" t="s">
        <v>326</v>
      </c>
      <c r="CC34" s="135"/>
      <c r="CD34" s="396" t="s">
        <v>325</v>
      </c>
      <c r="CE34" s="228">
        <v>75</v>
      </c>
      <c r="CL34" s="396" t="s">
        <v>325</v>
      </c>
      <c r="CM34" s="228">
        <v>0</v>
      </c>
      <c r="CT34" s="396" t="s">
        <v>325</v>
      </c>
      <c r="CU34" s="228">
        <v>0</v>
      </c>
      <c r="DJ34" s="396" t="s">
        <v>325</v>
      </c>
      <c r="DK34" s="466">
        <v>100</v>
      </c>
      <c r="DY34" s="81"/>
      <c r="DZ34" s="396" t="s">
        <v>325</v>
      </c>
      <c r="EA34" s="466">
        <v>100</v>
      </c>
      <c r="EG34" s="81"/>
      <c r="EH34" s="396" t="s">
        <v>325</v>
      </c>
      <c r="EI34" s="466">
        <v>40</v>
      </c>
    </row>
    <row r="35" spans="1:143">
      <c r="B35" s="75">
        <f t="shared" si="120"/>
        <v>6</v>
      </c>
      <c r="C35" s="384">
        <f>IF(C13="-","-",ROUND(C13*Para!$C$49,0))</f>
        <v>1632</v>
      </c>
      <c r="D35" s="37">
        <f>IF(D13="-","-",ROUND(D13*Para!$C$49,0))</f>
        <v>1813</v>
      </c>
      <c r="E35" s="37">
        <f>IF(E13="-","-",ROUND(E13*Para!$C$49,0))</f>
        <v>1906</v>
      </c>
      <c r="F35" s="37">
        <f>IF(F13="-","-",ROUND(F13*Para!$C$49,0))</f>
        <v>1993</v>
      </c>
      <c r="G35" s="37">
        <f>IF(G13="-","-",ROUND(G13*Para!$C$49,0))</f>
        <v>2054</v>
      </c>
      <c r="H35" s="385">
        <f>IF(H13="-","-",ROUND(H13*Para!$C$49,0))</f>
        <v>2114</v>
      </c>
      <c r="K35" s="37"/>
      <c r="L35" s="37"/>
      <c r="M35" s="37"/>
      <c r="N35" s="37"/>
      <c r="O35" s="37"/>
      <c r="P35" s="37"/>
      <c r="AO35" s="161" t="s">
        <v>205</v>
      </c>
      <c r="AP35" s="222" t="str">
        <f>$R$22</f>
        <v>Sockel</v>
      </c>
      <c r="AQ35" s="223">
        <v>0</v>
      </c>
      <c r="AR35" s="159"/>
      <c r="AS35" s="159"/>
      <c r="AT35" s="159"/>
      <c r="AU35" s="159"/>
      <c r="AV35" s="159"/>
      <c r="AW35" s="161" t="s">
        <v>205</v>
      </c>
      <c r="AX35" s="222" t="str">
        <f>$R$22</f>
        <v>Sockel</v>
      </c>
      <c r="AY35" s="231">
        <v>0</v>
      </c>
      <c r="AZ35" s="159"/>
      <c r="BA35" s="159">
        <v>1</v>
      </c>
      <c r="BB35" s="159" t="s">
        <v>233</v>
      </c>
      <c r="BC35" s="162">
        <v>2</v>
      </c>
      <c r="BD35" s="159"/>
      <c r="BE35" s="161" t="s">
        <v>205</v>
      </c>
      <c r="BF35" s="222" t="str">
        <f>$R$22</f>
        <v>Sockel</v>
      </c>
      <c r="BG35" s="231">
        <v>0</v>
      </c>
      <c r="BH35" s="159"/>
      <c r="BI35" s="159">
        <v>1</v>
      </c>
      <c r="BJ35" s="159" t="s">
        <v>233</v>
      </c>
      <c r="BK35" s="162">
        <v>2</v>
      </c>
      <c r="BL35" s="159"/>
      <c r="BM35" s="161" t="s">
        <v>205</v>
      </c>
      <c r="BN35" s="222" t="str">
        <f>$R$22</f>
        <v>Sockel</v>
      </c>
      <c r="BO35" s="231">
        <v>0</v>
      </c>
      <c r="BP35" s="159"/>
      <c r="BQ35" s="159">
        <v>1</v>
      </c>
      <c r="BR35" s="159" t="s">
        <v>233</v>
      </c>
      <c r="BS35" s="162">
        <v>1</v>
      </c>
      <c r="BT35" s="159"/>
      <c r="BU35" s="161" t="s">
        <v>205</v>
      </c>
      <c r="BV35" s="222" t="str">
        <f>$R$22</f>
        <v>Sockel</v>
      </c>
      <c r="BW35" s="232">
        <v>0</v>
      </c>
      <c r="BX35" s="159"/>
      <c r="BY35" s="394">
        <v>1</v>
      </c>
      <c r="BZ35" s="394" t="s">
        <v>233</v>
      </c>
      <c r="CA35" s="395">
        <v>1</v>
      </c>
      <c r="CB35" s="159"/>
      <c r="CC35" s="161" t="s">
        <v>205</v>
      </c>
      <c r="CD35" s="222" t="str">
        <f>$R$22</f>
        <v>Sockel</v>
      </c>
      <c r="CE35" s="232">
        <v>0</v>
      </c>
      <c r="CF35" s="159"/>
      <c r="CG35" s="394">
        <v>1</v>
      </c>
      <c r="CH35" s="394" t="s">
        <v>233</v>
      </c>
      <c r="CI35" s="395">
        <v>1</v>
      </c>
      <c r="CK35" s="161" t="s">
        <v>205</v>
      </c>
      <c r="CL35" s="222" t="str">
        <f>$R$22</f>
        <v>Sockel</v>
      </c>
      <c r="CM35" s="232">
        <v>0</v>
      </c>
      <c r="CN35" s="159"/>
      <c r="CO35" s="394">
        <v>1</v>
      </c>
      <c r="CP35" s="394" t="s">
        <v>233</v>
      </c>
      <c r="CQ35" s="395">
        <v>1</v>
      </c>
      <c r="CS35" s="161" t="s">
        <v>205</v>
      </c>
      <c r="CT35" s="222" t="str">
        <f>$R$22</f>
        <v>Sockel</v>
      </c>
      <c r="CU35" s="232">
        <v>0</v>
      </c>
      <c r="CV35" s="159"/>
      <c r="CW35" s="394">
        <v>1</v>
      </c>
      <c r="CX35" s="394" t="s">
        <v>233</v>
      </c>
      <c r="CY35" s="395">
        <v>1</v>
      </c>
      <c r="DA35" s="161" t="s">
        <v>205</v>
      </c>
      <c r="DI35" s="161" t="s">
        <v>205</v>
      </c>
      <c r="DJ35" s="222" t="str">
        <f>$R$22</f>
        <v>Sockel</v>
      </c>
      <c r="DK35" s="231">
        <v>0</v>
      </c>
      <c r="DL35" s="159"/>
      <c r="DM35" s="159">
        <v>1</v>
      </c>
      <c r="DN35" s="159" t="s">
        <v>233</v>
      </c>
      <c r="DO35" s="162">
        <v>1</v>
      </c>
      <c r="DY35" s="161" t="s">
        <v>205</v>
      </c>
      <c r="DZ35" s="220" t="str">
        <f>$R$22</f>
        <v>Sockel</v>
      </c>
      <c r="EA35" s="228"/>
      <c r="EC35" s="394">
        <v>1</v>
      </c>
      <c r="ED35" s="394" t="s">
        <v>233</v>
      </c>
      <c r="EE35" s="395">
        <v>2</v>
      </c>
      <c r="EG35" s="161" t="s">
        <v>205</v>
      </c>
      <c r="EH35" s="220" t="str">
        <f>$R$22</f>
        <v>Sockel</v>
      </c>
      <c r="EI35" s="228"/>
      <c r="EK35" s="394">
        <v>1</v>
      </c>
      <c r="EL35" s="394" t="s">
        <v>233</v>
      </c>
      <c r="EM35" s="395">
        <v>2</v>
      </c>
    </row>
    <row r="36" spans="1:143">
      <c r="B36" s="75">
        <f t="shared" si="120"/>
        <v>5</v>
      </c>
      <c r="C36" s="384">
        <f>IF(C14="-","-",ROUND(C14*Para!$C$49,0))</f>
        <v>1561</v>
      </c>
      <c r="D36" s="37">
        <f>IF(D14="-","-",ROUND(D14*Para!$C$49,0))</f>
        <v>1734</v>
      </c>
      <c r="E36" s="37">
        <f>IF(E14="-","-",ROUND(E14*Para!$C$49,0))</f>
        <v>1822</v>
      </c>
      <c r="F36" s="37">
        <f>IF(F14="-","-",ROUND(F14*Para!$C$49,0))</f>
        <v>1910</v>
      </c>
      <c r="G36" s="37">
        <f>IF(G14="-","-",ROUND(G14*Para!$C$49,0))</f>
        <v>1975</v>
      </c>
      <c r="H36" s="385">
        <f>IF(H14="-","-",ROUND(H14*Para!$C$49,0))</f>
        <v>2021</v>
      </c>
      <c r="K36" s="37"/>
      <c r="L36" s="37"/>
      <c r="M36" s="37"/>
      <c r="N36" s="37"/>
      <c r="O36" s="37"/>
      <c r="P36" s="37"/>
      <c r="AO36" s="161" t="s">
        <v>205</v>
      </c>
      <c r="AP36" s="222" t="str">
        <f>$R$23</f>
        <v>linear</v>
      </c>
      <c r="AQ36" s="159">
        <v>1.026</v>
      </c>
      <c r="AR36" s="159" t="str">
        <f>IF(AQ36&gt;0,FIXED((AQ36-1)*100,2),0)</f>
        <v>2,60</v>
      </c>
      <c r="AS36" s="159"/>
      <c r="AT36" s="159"/>
      <c r="AU36" s="159"/>
      <c r="AV36" s="159"/>
      <c r="AW36" s="161" t="s">
        <v>205</v>
      </c>
      <c r="AX36" s="222" t="str">
        <f>$R$23</f>
        <v>linear</v>
      </c>
      <c r="AY36" s="232">
        <v>1.028</v>
      </c>
      <c r="AZ36" s="159" t="str">
        <f>IF(AY36&gt;0,FIXED((AY36-1)*100,2),0)</f>
        <v>2,80</v>
      </c>
      <c r="BA36" s="159">
        <v>2</v>
      </c>
      <c r="BB36" s="159" t="s">
        <v>234</v>
      </c>
      <c r="BC36" s="159"/>
      <c r="BD36" s="159"/>
      <c r="BE36" s="161" t="s">
        <v>205</v>
      </c>
      <c r="BF36" s="222" t="str">
        <f>$R$23</f>
        <v>linear</v>
      </c>
      <c r="BG36" s="232">
        <v>1.028</v>
      </c>
      <c r="BH36" s="159" t="str">
        <f>IF(BG36&gt;0,FIXED((BG36-1)*100,2),0)</f>
        <v>2,80</v>
      </c>
      <c r="BI36" s="159">
        <v>2</v>
      </c>
      <c r="BJ36" s="159" t="s">
        <v>234</v>
      </c>
      <c r="BK36" s="159"/>
      <c r="BL36" s="159"/>
      <c r="BM36" s="161" t="s">
        <v>205</v>
      </c>
      <c r="BN36" s="222" t="str">
        <f>$R$23</f>
        <v>linear</v>
      </c>
      <c r="BO36" s="232">
        <v>1.02</v>
      </c>
      <c r="BP36" s="159" t="str">
        <f>IF(BO36&gt;0,FIXED((BO36-1)*100,2),0)</f>
        <v>2,00</v>
      </c>
      <c r="BQ36" s="159">
        <v>2</v>
      </c>
      <c r="BR36" s="159" t="s">
        <v>234</v>
      </c>
      <c r="BS36" s="159"/>
      <c r="BT36" s="159"/>
      <c r="BU36" s="161" t="s">
        <v>205</v>
      </c>
      <c r="BV36" s="222" t="str">
        <f>$R$23</f>
        <v>linear</v>
      </c>
      <c r="BW36" s="232">
        <v>1.024</v>
      </c>
      <c r="BX36" s="159" t="str">
        <f>IF(BW36&gt;0,FIXED((BW36-1)*100,2),0)</f>
        <v>2,40</v>
      </c>
      <c r="BY36" s="394">
        <v>2</v>
      </c>
      <c r="BZ36" s="394" t="s">
        <v>234</v>
      </c>
      <c r="CA36" s="394"/>
      <c r="CB36" s="159"/>
      <c r="CC36" s="161" t="s">
        <v>205</v>
      </c>
      <c r="CD36" s="222" t="str">
        <f>$R$23</f>
        <v>linear</v>
      </c>
      <c r="CE36" s="232">
        <v>1.02</v>
      </c>
      <c r="CF36" s="159" t="str">
        <f>IF(CE36&gt;0,FIXED((CE36-1)*100,2),0)</f>
        <v>2,00</v>
      </c>
      <c r="CG36" s="394">
        <v>2</v>
      </c>
      <c r="CH36" s="394" t="s">
        <v>234</v>
      </c>
      <c r="CI36" s="394"/>
      <c r="CK36" s="161" t="s">
        <v>205</v>
      </c>
      <c r="CL36" s="222" t="str">
        <f>$R$23</f>
        <v>linear</v>
      </c>
      <c r="CM36" s="232">
        <v>1</v>
      </c>
      <c r="CN36" s="159" t="str">
        <f>IF(CM36&gt;0,FIXED((CM36-1)*100,2),0)</f>
        <v>0,00</v>
      </c>
      <c r="CO36" s="394">
        <v>2</v>
      </c>
      <c r="CP36" s="394" t="s">
        <v>234</v>
      </c>
      <c r="CQ36" s="394"/>
      <c r="CS36" s="161" t="s">
        <v>205</v>
      </c>
      <c r="CT36" s="222" t="str">
        <f>$R$23</f>
        <v>linear</v>
      </c>
      <c r="CU36" s="232">
        <v>1.022</v>
      </c>
      <c r="CV36" s="159" t="str">
        <f>IF(CU36&gt;0,FIXED((CU36-1)*100,2),0)</f>
        <v>2,20</v>
      </c>
      <c r="CW36" s="394">
        <v>2</v>
      </c>
      <c r="CX36" s="394" t="s">
        <v>234</v>
      </c>
      <c r="CY36" s="394"/>
      <c r="DA36" s="161" t="s">
        <v>205</v>
      </c>
      <c r="DI36" s="161" t="s">
        <v>205</v>
      </c>
      <c r="DJ36" s="222" t="str">
        <f>$R$23</f>
        <v>linear</v>
      </c>
      <c r="DK36" s="232">
        <v>1.03</v>
      </c>
      <c r="DL36" s="159" t="str">
        <f>IF(DK36&gt;0,FIXED((DK36-1)*100,2),0)</f>
        <v>3,00</v>
      </c>
      <c r="DM36" s="159">
        <v>2</v>
      </c>
      <c r="DN36" s="159" t="s">
        <v>234</v>
      </c>
      <c r="DO36" s="159"/>
      <c r="DY36" s="161" t="s">
        <v>205</v>
      </c>
      <c r="DZ36" s="220" t="str">
        <f>$R$23</f>
        <v>linear</v>
      </c>
      <c r="EA36" s="229">
        <v>1.0311999999999999</v>
      </c>
      <c r="EB36" s="135" t="str">
        <f>IF(EA36&gt;0,FIXED((EA36-1)*100,2),0)</f>
        <v>3,12</v>
      </c>
      <c r="EC36" s="394">
        <v>2</v>
      </c>
      <c r="ED36" s="394" t="s">
        <v>234</v>
      </c>
      <c r="EG36" s="161" t="s">
        <v>205</v>
      </c>
      <c r="EH36" s="220" t="str">
        <f>$R$23</f>
        <v>linear</v>
      </c>
      <c r="EI36" s="229">
        <v>1.0129999999999999</v>
      </c>
      <c r="EJ36" s="135" t="str">
        <f>IF(EI36&gt;0,FIXED((EI36-1)*100,2),0)</f>
        <v>1,30</v>
      </c>
      <c r="EK36" s="394">
        <v>2</v>
      </c>
      <c r="EL36" s="394" t="s">
        <v>234</v>
      </c>
    </row>
    <row r="37" spans="1:143">
      <c r="B37" s="75">
        <f t="shared" si="120"/>
        <v>4</v>
      </c>
      <c r="C37" s="384">
        <f>IF(C15="-","-",ROUND(C15*Para!$C$49,0))</f>
        <v>1482</v>
      </c>
      <c r="D37" s="37">
        <f>IF(D15="-","-",ROUND(D15*Para!$C$49,0))</f>
        <v>1647</v>
      </c>
      <c r="E37" s="37">
        <f>IF(E15="-","-",ROUND(E15*Para!$C$49,0))</f>
        <v>1758</v>
      </c>
      <c r="F37" s="37">
        <f>IF(F15="-","-",ROUND(F15*Para!$C$49,0))</f>
        <v>1822</v>
      </c>
      <c r="G37" s="37">
        <f>IF(G15="-","-",ROUND(G15*Para!$C$49,0))</f>
        <v>1887</v>
      </c>
      <c r="H37" s="385">
        <f>IF(H15="-","-",ROUND(H15*Para!$C$49,0))</f>
        <v>1925</v>
      </c>
      <c r="K37" s="37"/>
      <c r="L37" s="37"/>
      <c r="M37" s="37"/>
      <c r="N37" s="37"/>
      <c r="O37" s="37"/>
      <c r="P37" s="37"/>
      <c r="AO37" s="159"/>
      <c r="AP37" s="224" t="str">
        <f>$R$24</f>
        <v>Eingabe hier</v>
      </c>
      <c r="AQ37" s="159"/>
      <c r="AR37" s="159"/>
      <c r="AS37" s="159"/>
      <c r="AT37" s="159"/>
      <c r="AU37" s="159"/>
      <c r="AV37" s="159"/>
      <c r="AW37" s="159"/>
      <c r="AX37" s="224" t="str">
        <f>$R$24</f>
        <v>Eingabe hier</v>
      </c>
      <c r="AY37" s="159"/>
      <c r="AZ37" s="159"/>
      <c r="BA37" s="159"/>
      <c r="BB37" s="159"/>
      <c r="BC37" s="159"/>
      <c r="BD37" s="159"/>
      <c r="BE37" s="159"/>
      <c r="BF37" s="224" t="str">
        <f>$R$24</f>
        <v>Eingabe hier</v>
      </c>
      <c r="BG37" s="159"/>
      <c r="BH37" s="159"/>
      <c r="BI37" s="159"/>
      <c r="BJ37" s="159"/>
      <c r="BK37" s="159"/>
      <c r="BL37" s="159"/>
      <c r="BM37" s="159"/>
      <c r="BN37" s="224" t="str">
        <f>$R$24</f>
        <v>Eingabe hier</v>
      </c>
      <c r="BO37" s="159"/>
      <c r="BP37" s="159"/>
      <c r="BQ37" s="159"/>
      <c r="BR37" s="159"/>
      <c r="BS37" s="159"/>
      <c r="BT37" s="159"/>
      <c r="BU37" s="396" t="s">
        <v>327</v>
      </c>
      <c r="BV37" s="224" t="str">
        <f>$R$24</f>
        <v>Eingabe hier</v>
      </c>
      <c r="BW37" s="229">
        <v>1.0255000000000001</v>
      </c>
      <c r="BX37" s="159" t="str">
        <f>IF(BW37&gt;0,FIXED((BW37-1)*100,2),0)</f>
        <v>2,55</v>
      </c>
      <c r="BY37" s="159"/>
      <c r="BZ37" s="159"/>
      <c r="CA37" s="159"/>
      <c r="CB37" s="159"/>
      <c r="CC37" s="396" t="s">
        <v>327</v>
      </c>
      <c r="CD37" s="224" t="str">
        <f>$R$24</f>
        <v>Eingabe hier</v>
      </c>
      <c r="CE37" s="229">
        <v>1.022</v>
      </c>
      <c r="CF37" s="159" t="str">
        <f>IF(CE37&gt;0,FIXED((CE37-1)*100,2),0)</f>
        <v>2,20</v>
      </c>
      <c r="CG37" s="159"/>
      <c r="CH37" s="159"/>
      <c r="CI37" s="159"/>
      <c r="CK37" s="396" t="s">
        <v>327</v>
      </c>
      <c r="CL37" s="224" t="str">
        <f>$R$24</f>
        <v>Eingabe hier</v>
      </c>
      <c r="CM37" s="229">
        <v>1</v>
      </c>
      <c r="CN37" s="159" t="str">
        <f>IF(CM37&gt;0,FIXED((CM37-1)*100,2),0)</f>
        <v>0,00</v>
      </c>
      <c r="CO37" s="159"/>
      <c r="CP37" s="159"/>
      <c r="CQ37" s="159"/>
      <c r="CS37" s="396" t="s">
        <v>327</v>
      </c>
      <c r="CT37" s="224" t="str">
        <f>$R$24</f>
        <v>Eingabe hier</v>
      </c>
      <c r="CU37" s="229">
        <v>1.022</v>
      </c>
      <c r="CV37" s="159" t="str">
        <f>IF(CU37&gt;0,FIXED((CU37-1)*100,2),0)</f>
        <v>2,20</v>
      </c>
      <c r="CW37" s="159"/>
      <c r="CX37" s="159"/>
      <c r="CY37" s="159"/>
      <c r="DI37" s="159"/>
      <c r="DJ37" s="224" t="str">
        <f>$R$24</f>
        <v>Eingabe hier</v>
      </c>
      <c r="DK37" s="232">
        <v>1.0449999999999999</v>
      </c>
      <c r="DL37" s="159"/>
      <c r="DM37" s="159"/>
      <c r="DN37" s="159"/>
      <c r="DO37" s="159"/>
      <c r="DY37" s="396" t="s">
        <v>327</v>
      </c>
      <c r="DZ37" s="221" t="str">
        <f>$R$24</f>
        <v>Eingabe hier</v>
      </c>
      <c r="EA37" s="229">
        <v>1.0429999999999999</v>
      </c>
      <c r="EB37" s="135" t="str">
        <f>IF(EA37&gt;0,FIXED((EA37-1)*100,2),0)</f>
        <v>4,30</v>
      </c>
      <c r="EG37" s="396" t="s">
        <v>327</v>
      </c>
      <c r="EH37" s="221" t="str">
        <f>$R$24</f>
        <v>Eingabe hier</v>
      </c>
      <c r="EI37" s="229">
        <v>1.018</v>
      </c>
      <c r="EJ37" s="135" t="str">
        <f>IF(EI37&gt;0,FIXED((EI37-1)*100,2),0)</f>
        <v>1,80</v>
      </c>
    </row>
    <row r="38" spans="1:143">
      <c r="B38" s="75">
        <f t="shared" si="120"/>
        <v>3</v>
      </c>
      <c r="C38" s="384">
        <f>IF(C16="-","-",ROUND(C16*Para!$C$49,0))</f>
        <v>1457</v>
      </c>
      <c r="D38" s="37">
        <f>IF(D16="-","-",ROUND(D16*Para!$C$49,0))</f>
        <v>1619</v>
      </c>
      <c r="E38" s="37">
        <f>IF(E16="-","-",ROUND(E16*Para!$C$49,0))</f>
        <v>1665</v>
      </c>
      <c r="F38" s="37">
        <f>IF(F16="-","-",ROUND(F16*Para!$C$49,0))</f>
        <v>1739</v>
      </c>
      <c r="G38" s="37">
        <f>IF(G16="-","-",ROUND(G16*Para!$C$49,0))</f>
        <v>1795</v>
      </c>
      <c r="H38" s="385">
        <f>IF(H16="-","-",ROUND(H16*Para!$C$49,0))</f>
        <v>1845</v>
      </c>
      <c r="K38" s="37"/>
      <c r="L38" s="37"/>
      <c r="M38" s="37"/>
      <c r="N38" s="37"/>
      <c r="O38" s="37"/>
      <c r="P38" s="37"/>
      <c r="AO38" s="159"/>
      <c r="AP38" s="162" t="s">
        <v>196</v>
      </c>
      <c r="AQ38" s="159"/>
      <c r="AR38" s="159"/>
      <c r="AS38" s="159"/>
      <c r="AT38" s="159"/>
      <c r="AU38" s="159"/>
      <c r="AV38" s="159"/>
      <c r="AW38" s="159"/>
      <c r="AX38" s="162" t="s">
        <v>196</v>
      </c>
      <c r="AY38" s="159"/>
      <c r="AZ38" s="159"/>
      <c r="BA38" s="159"/>
      <c r="BB38" s="159"/>
      <c r="BC38" s="159"/>
      <c r="BD38" s="159"/>
      <c r="BE38" s="159"/>
      <c r="BF38" s="162" t="s">
        <v>196</v>
      </c>
      <c r="BG38" s="159"/>
      <c r="BH38" s="159"/>
      <c r="BI38" s="159"/>
      <c r="BJ38" s="159"/>
      <c r="BK38" s="159"/>
      <c r="BL38" s="159"/>
      <c r="BM38" s="159"/>
      <c r="BN38" s="162" t="s">
        <v>196</v>
      </c>
      <c r="BO38" s="159"/>
      <c r="BP38" s="159"/>
      <c r="BQ38" s="159"/>
      <c r="BR38" s="159"/>
      <c r="BS38" s="159"/>
      <c r="BT38" s="159"/>
      <c r="BU38" s="159"/>
      <c r="BV38" s="162" t="s">
        <v>196</v>
      </c>
      <c r="BW38" s="159"/>
      <c r="BX38" s="159"/>
      <c r="BY38" s="159"/>
      <c r="BZ38" s="159"/>
      <c r="CA38" s="159"/>
      <c r="CB38" s="159"/>
      <c r="CC38" s="159"/>
      <c r="CD38" s="162" t="s">
        <v>196</v>
      </c>
      <c r="CE38" s="159"/>
      <c r="CF38" s="159"/>
      <c r="CG38" s="159"/>
      <c r="CH38" s="159"/>
      <c r="CI38" s="159"/>
      <c r="CK38" s="159"/>
      <c r="CL38" s="162" t="s">
        <v>196</v>
      </c>
      <c r="CM38" s="159"/>
      <c r="CN38" s="159"/>
      <c r="CO38" s="159"/>
      <c r="CP38" s="159"/>
      <c r="CQ38" s="159"/>
      <c r="CS38" s="159"/>
      <c r="CT38" s="162" t="s">
        <v>196</v>
      </c>
      <c r="CU38" s="159"/>
      <c r="CV38" s="159"/>
      <c r="CW38" s="159"/>
      <c r="CX38" s="159"/>
      <c r="CY38" s="159"/>
      <c r="DB38" s="162" t="s">
        <v>196</v>
      </c>
      <c r="DI38" s="159"/>
      <c r="DJ38" s="162" t="s">
        <v>196</v>
      </c>
      <c r="DK38" s="159"/>
      <c r="DL38" s="159"/>
      <c r="DM38" s="159"/>
      <c r="DN38" s="159"/>
      <c r="DO38" s="159"/>
      <c r="DR38" s="162" t="s">
        <v>196</v>
      </c>
      <c r="DY38" s="81"/>
      <c r="DZ38" s="162" t="s">
        <v>196</v>
      </c>
      <c r="EG38" s="81"/>
      <c r="EH38" s="162" t="s">
        <v>196</v>
      </c>
    </row>
    <row r="39" spans="1:143">
      <c r="B39" s="75" t="str">
        <f t="shared" si="120"/>
        <v>2Ü</v>
      </c>
      <c r="C39" s="384">
        <f>IF(C17="-","-",ROUND(C17*Para!$C$49,0))</f>
        <v>1390</v>
      </c>
      <c r="D39" s="37">
        <f>IF(D17="-","-",ROUND(D17*Para!$C$49,0))</f>
        <v>1545</v>
      </c>
      <c r="E39" s="37">
        <f>IF(E17="-","-",ROUND(E17*Para!$C$49,0))</f>
        <v>1600</v>
      </c>
      <c r="F39" s="37">
        <f>IF(F17="-","-",ROUND(F17*Para!$C$49,0))</f>
        <v>1674</v>
      </c>
      <c r="G39" s="37">
        <f>IF(G17="-","-",ROUND(G17*Para!$C$49,0))</f>
        <v>1725</v>
      </c>
      <c r="H39" s="385">
        <f>IF(H17="-","-",ROUND(H17*Para!$C$49,0))</f>
        <v>1763</v>
      </c>
      <c r="K39" s="37"/>
      <c r="L39" s="37"/>
      <c r="M39" s="37"/>
      <c r="N39" s="37"/>
      <c r="O39" s="37"/>
      <c r="P39" s="37"/>
      <c r="AO39" s="159"/>
      <c r="AP39" s="162" t="str">
        <f>Para!F163</f>
        <v>( ab 1.03.2012 )</v>
      </c>
      <c r="AQ39" s="159"/>
      <c r="AR39" s="159"/>
      <c r="AS39" s="159"/>
      <c r="AT39" s="159"/>
      <c r="AU39" s="159"/>
      <c r="AV39" s="159"/>
      <c r="AW39" s="159"/>
      <c r="AX39" s="162" t="str">
        <f>Para!F164</f>
        <v>( ab 1.07.2013 )</v>
      </c>
      <c r="AY39" s="159"/>
      <c r="AZ39" s="159"/>
      <c r="BA39" s="159"/>
      <c r="BB39" s="159"/>
      <c r="BC39" s="159"/>
      <c r="BD39" s="159"/>
      <c r="BE39" s="159"/>
      <c r="BF39" s="162" t="str">
        <f>Para!F165</f>
        <v>( ab 1.04.2014 )</v>
      </c>
      <c r="BG39" s="159"/>
      <c r="BH39" s="159"/>
      <c r="BI39" s="159"/>
      <c r="BJ39" s="159"/>
      <c r="BK39" s="159"/>
      <c r="BL39" s="159"/>
      <c r="BM39" s="159"/>
      <c r="BN39" s="162" t="str">
        <f>Para!F166</f>
        <v>( ab 1.03.2015 )</v>
      </c>
      <c r="BO39" s="159"/>
      <c r="BP39" s="159"/>
      <c r="BQ39" s="159"/>
      <c r="BR39" s="159"/>
      <c r="BS39" s="159"/>
      <c r="BT39" s="159"/>
      <c r="BU39" s="159"/>
      <c r="BV39" s="162" t="str">
        <f>Para!F167</f>
        <v>( ab 1.04.2016 )</v>
      </c>
      <c r="BW39" s="159"/>
      <c r="BX39" s="159"/>
      <c r="BY39" s="159"/>
      <c r="BZ39" s="159"/>
      <c r="CA39" s="159"/>
      <c r="CB39" s="159"/>
      <c r="CD39" s="135" t="str">
        <f>Para!F168</f>
        <v>( ab 1.03.2017 )</v>
      </c>
      <c r="CL39" s="159" t="str">
        <f>Para!F169</f>
        <v>( ab 1.01.2018 )</v>
      </c>
      <c r="CT39" s="159" t="str">
        <f>Para!F170</f>
        <v>( ab 1.02.2018 )</v>
      </c>
      <c r="DB39" s="135" t="str">
        <f>Para!F171</f>
        <v>( ab 1.10.2018 )</v>
      </c>
      <c r="DI39" s="159"/>
      <c r="DJ39" s="162" t="str">
        <f>Para!F172</f>
        <v>( ab 1.03.2019 )</v>
      </c>
      <c r="DK39" s="159"/>
      <c r="DL39" s="159"/>
      <c r="DM39" s="159"/>
      <c r="DN39" s="159"/>
      <c r="DO39" s="159"/>
      <c r="DR39" s="158" t="str">
        <f>Para!$F$173</f>
        <v>( ab 1.08.2019 )</v>
      </c>
      <c r="DY39" s="81"/>
      <c r="DZ39" s="158" t="str">
        <f>Para!$F$174</f>
        <v>( ab 1.02.2020 )</v>
      </c>
      <c r="EG39" s="81"/>
      <c r="EH39" s="158" t="str">
        <f>Para!$F$175</f>
        <v>( ab 1.01.2021 )</v>
      </c>
    </row>
    <row r="40" spans="1:143">
      <c r="B40" s="75">
        <f t="shared" si="120"/>
        <v>2</v>
      </c>
      <c r="C40" s="384">
        <f>IF(C18="-","-",ROUND(C18*Para!$C$49,0))</f>
        <v>1340</v>
      </c>
      <c r="D40" s="37">
        <f>IF(D18="-","-",ROUND(D18*Para!$C$49,0))</f>
        <v>1489</v>
      </c>
      <c r="E40" s="37">
        <f>IF(E18="-","-",ROUND(E18*Para!$C$49,0))</f>
        <v>1536</v>
      </c>
      <c r="F40" s="37">
        <f>IF(F18="-","-",ROUND(F18*Para!$C$49,0))</f>
        <v>1582</v>
      </c>
      <c r="G40" s="37">
        <f>IF(G18="-","-",ROUND(G18*Para!$C$49,0))</f>
        <v>1684</v>
      </c>
      <c r="H40" s="385">
        <f>IF(H18="-","-",ROUND(H18*Para!$C$49,0))</f>
        <v>1790</v>
      </c>
      <c r="K40" s="37"/>
      <c r="L40" s="37"/>
      <c r="M40" s="37"/>
      <c r="N40" s="37"/>
      <c r="O40" s="37"/>
      <c r="P40" s="37"/>
      <c r="AO40" s="159"/>
      <c r="AP40" s="162" t="str">
        <f>Para!G163</f>
        <v>Stand 1.03.2012</v>
      </c>
      <c r="AQ40" s="159"/>
      <c r="AR40" s="159"/>
      <c r="AS40" s="159"/>
      <c r="AT40" s="159"/>
      <c r="AU40" s="159"/>
      <c r="AV40" s="159"/>
      <c r="AW40" s="159"/>
      <c r="AX40" s="162" t="str">
        <f>Para!G164</f>
        <v>Stand 1.07.2013</v>
      </c>
      <c r="AY40" s="159"/>
      <c r="AZ40" s="159"/>
      <c r="BA40" s="159"/>
      <c r="BB40" s="159"/>
      <c r="BC40" s="159"/>
      <c r="BD40" s="159"/>
      <c r="BE40" s="159"/>
      <c r="BF40" s="162" t="str">
        <f>Para!G165</f>
        <v>Stand 1.04.2014</v>
      </c>
      <c r="BG40" s="159"/>
      <c r="BH40" s="159"/>
      <c r="BI40" s="159"/>
      <c r="BJ40" s="159"/>
      <c r="BK40" s="159"/>
      <c r="BL40" s="159"/>
      <c r="BM40" s="159"/>
      <c r="BN40" s="162" t="str">
        <f>Para!G166</f>
        <v>Stand 1.03.2015</v>
      </c>
      <c r="BO40" s="159"/>
      <c r="BP40" s="159"/>
      <c r="BQ40" s="159"/>
      <c r="BR40" s="159"/>
      <c r="BS40" s="159"/>
      <c r="BT40" s="159"/>
      <c r="BU40" s="159"/>
      <c r="BV40" s="162" t="str">
        <f>Para!G167</f>
        <v>Stand 1.04.2016</v>
      </c>
      <c r="BW40" s="159"/>
      <c r="BX40" s="159"/>
      <c r="BY40" s="159"/>
      <c r="BZ40" s="159"/>
      <c r="CA40" s="159"/>
      <c r="CB40" s="159"/>
      <c r="CD40" s="135" t="str">
        <f>Para!G168</f>
        <v>Stand 1.03.2017</v>
      </c>
      <c r="CL40" s="159" t="str">
        <f>Para!G169</f>
        <v>Stand 1.01.2018</v>
      </c>
      <c r="CT40" s="159" t="str">
        <f>Para!G170</f>
        <v>Stand 1.02.2018</v>
      </c>
      <c r="DB40" s="135" t="str">
        <f>Para!G171</f>
        <v>Stand 1.10.2018</v>
      </c>
      <c r="DI40" s="159"/>
      <c r="DJ40" s="162" t="str">
        <f>Para!G172</f>
        <v>Stand 1.03.2019</v>
      </c>
      <c r="DK40" s="159"/>
      <c r="DL40" s="159"/>
      <c r="DM40" s="159"/>
      <c r="DN40" s="159"/>
      <c r="DO40" s="159"/>
      <c r="DR40" s="158" t="str">
        <f>Para!$G$173</f>
        <v>Stand 1.08.2019</v>
      </c>
      <c r="DY40" s="81"/>
      <c r="DZ40" s="158" t="str">
        <f>Para!$G$174</f>
        <v>Stand 1.02.2020</v>
      </c>
      <c r="EG40" s="81"/>
      <c r="EH40" s="158" t="str">
        <f>Para!$G$175</f>
        <v>Stand 1.01.2021</v>
      </c>
    </row>
    <row r="41" spans="1:143">
      <c r="B41" s="75">
        <f t="shared" si="120"/>
        <v>1</v>
      </c>
      <c r="C41" s="384" t="str">
        <f>IF(C19="-","-",ROUND(C19*Para!$C$49,0))</f>
        <v>-</v>
      </c>
      <c r="D41" s="37">
        <f>IF(D19="-","-",ROUND(D19*Para!$C$49,0))</f>
        <v>1190</v>
      </c>
      <c r="E41" s="37">
        <f>IF(E19="-","-",ROUND(E19*Para!$C$49,0))</f>
        <v>1212</v>
      </c>
      <c r="F41" s="37">
        <f>IF(F19="-","-",ROUND(F19*Para!$C$49,0))</f>
        <v>1240</v>
      </c>
      <c r="G41" s="37">
        <f>IF(G19="-","-",ROUND(G19*Para!$C$49,0))</f>
        <v>1265</v>
      </c>
      <c r="H41" s="385">
        <f>IF(H19="-","-",ROUND(H19*Para!$C$49,0))</f>
        <v>1332</v>
      </c>
      <c r="K41" s="37"/>
      <c r="L41" s="37"/>
      <c r="M41" s="37"/>
      <c r="N41" s="37"/>
      <c r="O41" s="37"/>
      <c r="P41" s="37"/>
      <c r="AO41" s="161"/>
      <c r="AP41" s="159" t="str">
        <f>Para!E163</f>
        <v>ab 1.03.2012</v>
      </c>
      <c r="AQ41" s="159"/>
      <c r="AR41" s="159"/>
      <c r="AS41" s="159"/>
      <c r="AT41" s="159"/>
      <c r="AU41" s="159"/>
      <c r="AV41" s="159"/>
      <c r="AW41" s="161"/>
      <c r="AX41" s="159" t="str">
        <f>Para!E164</f>
        <v>ab 1.07.2013</v>
      </c>
      <c r="AY41" s="159"/>
      <c r="AZ41" s="159"/>
      <c r="BA41" s="159"/>
      <c r="BB41" s="159"/>
      <c r="BC41" s="159"/>
      <c r="BD41" s="159"/>
      <c r="BE41" s="161"/>
      <c r="BF41" s="159" t="str">
        <f>Para!E165</f>
        <v>ab 1.04.2014</v>
      </c>
      <c r="BG41" s="159"/>
      <c r="BH41" s="159"/>
      <c r="BI41" s="159"/>
      <c r="BJ41" s="159"/>
      <c r="BK41" s="159"/>
      <c r="BL41" s="159"/>
      <c r="BM41" s="161"/>
      <c r="BN41" s="159" t="str">
        <f>Para!E166</f>
        <v>ab 1.03.2015</v>
      </c>
      <c r="BO41" s="159"/>
      <c r="BP41" s="159"/>
      <c r="BQ41" s="159"/>
      <c r="BR41" s="159"/>
      <c r="BS41" s="159"/>
      <c r="BT41" s="159"/>
      <c r="BU41" s="161"/>
      <c r="BV41" s="159" t="str">
        <f>Para!E167</f>
        <v>ab 1.04.2016</v>
      </c>
      <c r="BW41" s="159"/>
      <c r="BX41" s="159"/>
      <c r="BY41" s="159"/>
      <c r="BZ41" s="159"/>
      <c r="CA41" s="159"/>
      <c r="CB41" s="159"/>
      <c r="CD41" s="159" t="str">
        <f>Para!E168</f>
        <v>ab 1.03.2017</v>
      </c>
      <c r="CL41" s="159" t="str">
        <f>Para!E169</f>
        <v>ab 1.01.2018</v>
      </c>
      <c r="CT41" s="159" t="str">
        <f>Para!E170</f>
        <v>ab 1.02.2018</v>
      </c>
      <c r="DB41" s="135" t="str">
        <f>Para!E171</f>
        <v>ab 1.10.2018</v>
      </c>
      <c r="DI41" s="161"/>
      <c r="DJ41" s="159" t="str">
        <f>Para!E172</f>
        <v>ab 1.03.2019</v>
      </c>
      <c r="DK41" s="159"/>
      <c r="DL41" s="159"/>
      <c r="DM41" s="159"/>
      <c r="DN41" s="159"/>
      <c r="DO41" s="159"/>
      <c r="DR41" s="135" t="str">
        <f>Para!$E$173</f>
        <v>ab 1.08.2019</v>
      </c>
      <c r="DY41" s="81"/>
      <c r="DZ41" s="135" t="str">
        <f>Para!$E$174</f>
        <v>ab 1.02.2020</v>
      </c>
      <c r="EG41" s="81"/>
      <c r="EH41" s="135" t="str">
        <f>Para!$E$175</f>
        <v>ab 1.01.2021</v>
      </c>
    </row>
    <row r="42" spans="1:143" ht="12" thickBot="1">
      <c r="B42" s="75" t="str">
        <f t="shared" si="120"/>
        <v/>
      </c>
      <c r="C42" s="386" t="str">
        <f>""</f>
        <v/>
      </c>
      <c r="D42" s="387" t="str">
        <f>""</f>
        <v/>
      </c>
      <c r="E42" s="387" t="str">
        <f>""</f>
        <v/>
      </c>
      <c r="F42" s="387" t="str">
        <f>""</f>
        <v/>
      </c>
      <c r="G42" s="387" t="str">
        <f>""</f>
        <v/>
      </c>
      <c r="H42" s="388" t="str">
        <f>""</f>
        <v/>
      </c>
      <c r="K42" s="37"/>
      <c r="L42" s="37"/>
      <c r="M42" s="37"/>
      <c r="N42" s="37"/>
      <c r="O42" s="37"/>
      <c r="P42" s="37"/>
      <c r="AO42" s="161"/>
      <c r="AP42" s="162" t="str">
        <f>Para!H163</f>
        <v xml:space="preserve"> (gilt bis 30.06.2013)</v>
      </c>
      <c r="AQ42" s="159"/>
      <c r="AR42" s="159"/>
      <c r="AS42" s="159"/>
      <c r="AT42" s="159"/>
      <c r="AU42" s="159"/>
      <c r="AV42" s="159"/>
      <c r="AW42" s="161"/>
      <c r="AX42" s="162" t="str">
        <f>Para!H164</f>
        <v xml:space="preserve"> (gilt bis 31.03.2014)</v>
      </c>
      <c r="AY42" s="159"/>
      <c r="AZ42" s="159"/>
      <c r="BA42" s="159"/>
      <c r="BB42" s="159"/>
      <c r="BC42" s="159"/>
      <c r="BD42" s="159"/>
      <c r="BE42" s="161"/>
      <c r="BF42" s="162" t="str">
        <f>Para!H165</f>
        <v xml:space="preserve"> (mind bis 31.12.2014)</v>
      </c>
      <c r="BG42" s="159"/>
      <c r="BH42" s="159"/>
      <c r="BI42" s="159"/>
      <c r="BJ42" s="159"/>
      <c r="BK42" s="159"/>
      <c r="BL42" s="159"/>
      <c r="BM42" s="161"/>
      <c r="BN42" s="162" t="str">
        <f>Para!H166</f>
        <v xml:space="preserve"> (gilt bis 31.03.2016)</v>
      </c>
      <c r="BO42" s="159"/>
      <c r="BP42" s="159"/>
      <c r="BQ42" s="159"/>
      <c r="BR42" s="159"/>
      <c r="BS42" s="159"/>
      <c r="BT42" s="159"/>
      <c r="BU42" s="161"/>
      <c r="BV42" s="162" t="str">
        <f>Para!H167</f>
        <v xml:space="preserve"> (mind bis 31.12.2016)</v>
      </c>
      <c r="BW42" s="159"/>
      <c r="BX42" s="159"/>
      <c r="BY42" s="159"/>
      <c r="BZ42" s="159"/>
      <c r="CA42" s="159"/>
      <c r="CB42" s="159"/>
      <c r="CD42" s="135" t="str">
        <f>Para!H168</f>
        <v xml:space="preserve"> (gilt bis 31.12.2017)</v>
      </c>
      <c r="CL42" s="159" t="str">
        <f>Para!H169</f>
        <v xml:space="preserve"> (gilt bis 31.01.2018)</v>
      </c>
      <c r="CT42" s="159" t="str">
        <f>Para!H170</f>
        <v xml:space="preserve"> (gilt bis 30.09.2018)</v>
      </c>
      <c r="DB42" s="135" t="str">
        <f>Para!H171</f>
        <v xml:space="preserve"> (mind bis 31.12.2018)</v>
      </c>
      <c r="DI42" s="161"/>
      <c r="DJ42" s="162" t="str">
        <f>Para!H172</f>
        <v xml:space="preserve"> (gilt bis 31.07.2019)</v>
      </c>
      <c r="DK42" s="159"/>
      <c r="DL42" s="159"/>
      <c r="DM42" s="159"/>
      <c r="DN42" s="159"/>
      <c r="DO42" s="159"/>
      <c r="DR42" s="158" t="str">
        <f>Para!$H$173</f>
        <v xml:space="preserve"> (gilt bis 31.01.2020)</v>
      </c>
      <c r="DY42" s="81"/>
      <c r="DZ42" s="158" t="str">
        <f>Para!$H$174</f>
        <v xml:space="preserve"> (gilt bis 31.12.2020)</v>
      </c>
      <c r="EG42" s="81"/>
      <c r="EH42" s="158" t="str">
        <f>Para!$H$175</f>
        <v xml:space="preserve"> (mind bis 30.09.2021)</v>
      </c>
    </row>
    <row r="43" spans="1:143">
      <c r="C43" s="153"/>
      <c r="AO43" s="159"/>
      <c r="AP43" s="159" t="str">
        <f>IF(AND(AQ35&gt;0,AQ36&gt;1)," ( + "&amp;AQ35&amp;" Euro ",IF(AND(AQ35&gt;0,AQ36=1)," ( + "&amp;AQ35&amp;" Euro) ",""))</f>
        <v/>
      </c>
      <c r="AQ43" s="159"/>
      <c r="AR43" s="159"/>
      <c r="AS43" s="159"/>
      <c r="AT43" s="159"/>
      <c r="AU43" s="159"/>
      <c r="AV43" s="159"/>
      <c r="AW43" s="159"/>
      <c r="AX43" s="135" t="str">
        <f>IF(AND(AY35=0,AY36&gt;1)," ( + "&amp;AZ36&amp;" % ) ",IF(AND(AY35&gt;0,AY36&gt;1,BC35=1)," ( + "&amp;AY35&amp;" Euro ",IF(AND(AY35&gt;0,AY36&gt;1,BC35=2)," ( + "&amp;AZ36&amp;" % ","")))</f>
        <v xml:space="preserve"> ( + 2,80 % ) </v>
      </c>
      <c r="AY43" s="159"/>
      <c r="AZ43" s="159"/>
      <c r="BA43" s="159"/>
      <c r="BB43" s="159"/>
      <c r="BC43" s="159"/>
      <c r="BD43" s="159"/>
      <c r="BE43" s="159"/>
      <c r="BF43" s="135" t="str">
        <f>IF(AND(BG35=0,BG36&gt;1)," ( + "&amp;BH36&amp;" % ) ",IF(AND(BG35&gt;0,BG36&gt;1,BK35=1)," ( + "&amp;BG35&amp;" Euro ",IF(AND(BG35&gt;0,BG36&gt;1,BK35=2)," ( + "&amp;BH36&amp;" % ","")))</f>
        <v xml:space="preserve"> ( + 2,80 % ) </v>
      </c>
      <c r="BG43" s="159"/>
      <c r="BH43" s="159"/>
      <c r="BI43" s="159"/>
      <c r="BJ43" s="159"/>
      <c r="BK43" s="159"/>
      <c r="BL43" s="159"/>
      <c r="BM43" s="159"/>
      <c r="BN43" s="135" t="str">
        <f>IF(AND(BO35=0,BO36&gt;1)," ( + "&amp;BP36&amp;" % ) ",IF(AND(BO35&gt;0,BO36&gt;1,BS35=1)," ( + "&amp;BO35&amp;" Euro ",IF(AND(BO35&gt;0,BO36&gt;1,BS35=2)," ( + "&amp;BP36&amp;" % ","")))</f>
        <v xml:space="preserve"> ( + 2,00 % ) </v>
      </c>
      <c r="BO43" s="159"/>
      <c r="BP43" s="159"/>
      <c r="BQ43" s="159"/>
      <c r="BR43" s="159"/>
      <c r="BS43" s="159"/>
      <c r="BT43" s="159"/>
      <c r="BU43" s="159"/>
      <c r="BV43" s="135" t="str">
        <f>IF(AND(BW35=0,BW36&gt;1)," ( + "&amp;BX36&amp;" % ) ",IF(AND(BW35&gt;0,BW36&gt;1,CA35=1)," ( + "&amp;BW35&amp;" Euro ",IF(AND(BW35&gt;0,BW36&gt;1,CA35=2)," ( + "&amp;BX36&amp;" % ","")))</f>
        <v xml:space="preserve"> ( + 2,40 % ) </v>
      </c>
      <c r="BW43" s="159"/>
      <c r="BX43" s="159"/>
      <c r="BY43" s="159"/>
      <c r="BZ43" s="159"/>
      <c r="CA43" s="159"/>
      <c r="CB43" s="159"/>
      <c r="CD43" s="135" t="str">
        <f>IF(AND(CE35=0,CE36&gt;1)," ( + "&amp;CF36&amp;" % ) ",IF(AND(CE35&gt;0,CE36&gt;1,CI35=1)," ( + "&amp;CE35&amp;" Euro ",IF(AND(CE35&gt;0,CE36&gt;1,CI35=2)," ( + "&amp;CF36&amp;" % ","")))</f>
        <v xml:space="preserve"> ( + 2,00 % ) </v>
      </c>
      <c r="CL43" s="135" t="str">
        <f>IF(AND(CM35=0,CM36&gt;1)," ( + "&amp;CN36&amp;" % ) ",IF(AND(CM35&gt;0,CM36&gt;1,CQ35=1)," ( + "&amp;CM35&amp;" Euro ",IF(AND(CM35&gt;0,CM36&gt;1,CQ35=2)," ( + "&amp;CN36&amp;" % ","")))</f>
        <v/>
      </c>
      <c r="CT43" s="135" t="str">
        <f>IF(AND(CU35=0,CU36&gt;1)," ( + "&amp;CV36&amp;" % ) ",IF(AND(CU35&gt;0,CU36&gt;1,CY35=1)," ( + "&amp;CU35&amp;" Euro ",IF(AND(CU35&gt;0,CU36&gt;1,CY35=2)," ( + "&amp;CV36&amp;" % ","")))</f>
        <v xml:space="preserve"> ( + 2,20 % ) </v>
      </c>
      <c r="DI43" s="159"/>
      <c r="DJ43" s="135" t="str">
        <f>IF(AND(DK35=0,DK36&gt;1)," ( + "&amp;DL36&amp;" % ) ",IF(AND(DK35&gt;0,DK36&gt;1,DO35=1)," ( + "&amp;DK35&amp;" Euro ",IF(AND(DK35&gt;0,DK36&gt;1,DO35=2)," ( + "&amp;DL36&amp;" % ","")))</f>
        <v xml:space="preserve"> ( + 3,00 % ) </v>
      </c>
      <c r="DK43" s="159"/>
      <c r="DL43" s="159"/>
      <c r="DM43" s="159"/>
      <c r="DN43" s="159"/>
      <c r="DO43" s="159"/>
    </row>
    <row r="44" spans="1:143">
      <c r="A44" s="155" t="s">
        <v>82</v>
      </c>
      <c r="B44" s="152">
        <f>Para!C50</f>
        <v>1</v>
      </c>
      <c r="C44" s="148" t="str">
        <f>Para!F50</f>
        <v>EG 1 - 9 (bis Vb BAT-O)</v>
      </c>
      <c r="D44" s="147"/>
      <c r="E44" s="147"/>
      <c r="F44" s="147"/>
      <c r="G44" s="147"/>
      <c r="H44" s="147"/>
      <c r="K44" s="148"/>
      <c r="AO44" s="159"/>
      <c r="AP44" s="159" t="str">
        <f>IF(AQ35&gt;0," + "&amp;AR36&amp;" % ) "," ( + "&amp;AR36&amp;" % ) ")</f>
        <v xml:space="preserve"> ( + 2,60 % ) </v>
      </c>
      <c r="AQ44" s="159"/>
      <c r="AR44" s="159"/>
      <c r="AS44" s="159"/>
      <c r="AT44" s="159"/>
      <c r="AU44" s="159"/>
      <c r="AV44" s="159"/>
      <c r="AW44" s="159"/>
      <c r="AX44" s="135" t="str">
        <f>IF(AND(AY35=0,AY36&gt;1)," ( + "&amp;AZ36&amp;" % ) ",IF(AND(AY35&gt;0,AY36&gt;1,BC35=1),"  + "&amp;AZ36&amp;" % )",IF(AND(AY35&gt;0,AY36&gt;1,BC35=2),"  + "&amp;AY35&amp;" Euro )","")))</f>
        <v xml:space="preserve"> ( + 2,80 % ) </v>
      </c>
      <c r="AY44" s="159"/>
      <c r="AZ44" s="159"/>
      <c r="BA44" s="159"/>
      <c r="BB44" s="159"/>
      <c r="BC44" s="159"/>
      <c r="BD44" s="159"/>
      <c r="BE44" s="159"/>
      <c r="BF44" s="135" t="str">
        <f>IF(AND(BG35=0,BG36&gt;1)," ( + "&amp;BH36&amp;" % ) ",IF(AND(BG35&gt;0,BG36&gt;1,BK35=1),"  + "&amp;BH36&amp;" % )",IF(AND(BG35&gt;0,BG36&gt;1,BK35=2),"  + "&amp;BG35&amp;" Euro )","")))</f>
        <v xml:space="preserve"> ( + 2,80 % ) </v>
      </c>
      <c r="BG44" s="159"/>
      <c r="BH44" s="159"/>
      <c r="BI44" s="159"/>
      <c r="BJ44" s="159"/>
      <c r="BK44" s="159"/>
      <c r="BL44" s="159"/>
      <c r="BM44" s="159"/>
      <c r="BN44" s="135" t="str">
        <f>IF(AND(BO35=0,BO36&gt;1)," ( + "&amp;BP36&amp;" % ) ",IF(AND(BO35&gt;0,BO36&gt;1,BS35=1),"  + "&amp;BP36&amp;" % )",IF(AND(BO35&gt;0,BO36&gt;1,BS35=2),"  + "&amp;BO35&amp;" Euro )","")))</f>
        <v xml:space="preserve"> ( + 2,00 % ) </v>
      </c>
      <c r="BO44" s="159"/>
      <c r="BP44" s="159"/>
      <c r="BQ44" s="159"/>
      <c r="BR44" s="159"/>
      <c r="BS44" s="159"/>
      <c r="BT44" s="159"/>
      <c r="BU44" s="159"/>
      <c r="BV44" s="135" t="str">
        <f>IF(AND(BW35=0,BW36&gt;1)," ( + "&amp;BX36&amp;" % ) ",IF(AND(BW35&gt;0,BW36&gt;1,CA35=1),"  + "&amp;BX36&amp;" % )",IF(AND(BW35&gt;0,BW36&gt;1,CA35=2),"  + "&amp;BW35&amp;" Euro )","")))</f>
        <v xml:space="preserve"> ( + 2,40 % ) </v>
      </c>
      <c r="BW44" s="159"/>
      <c r="BX44" s="159"/>
      <c r="BY44" s="159"/>
      <c r="BZ44" s="159"/>
      <c r="CA44" s="159"/>
      <c r="CB44" s="159"/>
      <c r="CD44" s="135" t="str">
        <f>IF(AND(CE35=0,CE36&gt;1)," ( + "&amp;CF36&amp;" % ) ",IF(AND(CE35&gt;0,CE36&gt;1,CI35=1),"  + "&amp;CF36&amp;" % )",IF(AND(CE35&gt;0,CE36&gt;1,CI35=2),"  + "&amp;CE35&amp;" Euro )","")))</f>
        <v xml:space="preserve"> ( + 2,00 % ) </v>
      </c>
      <c r="CL44" s="135" t="str">
        <f>IF(AND(CM35=0,CM36&gt;1)," ( + "&amp;CN36&amp;" % ) ",IF(AND(CM35&gt;0,CM36&gt;1,CQ35=1),"  + "&amp;CN36&amp;" % )",IF(AND(CM35&gt;0,CM36&gt;1,CQ35=2),"  + "&amp;CM35&amp;" Euro )","")))</f>
        <v/>
      </c>
      <c r="CT44" s="135" t="str">
        <f>IF(AND(CU35=0,CU36&gt;1)," ( + "&amp;CV36&amp;" % ) ",IF(AND(CU35&gt;0,CU36&gt;1,CY35=1),"  + "&amp;CV36&amp;" % )",IF(AND(CU35&gt;0,CU36&gt;1,CY35=2),"  + "&amp;CU35&amp;" Euro )","")))</f>
        <v xml:space="preserve"> ( + 2,20 % ) </v>
      </c>
      <c r="DI44" s="159"/>
      <c r="DJ44" s="135" t="str">
        <f>IF(AND(DK35=0,DK36&gt;1)," ( + "&amp;DL36&amp;" % ) ",IF(AND(DK35&gt;0,DK36&gt;1,DO35=1),"  + "&amp;DL36&amp;" % )",IF(AND(DK35&gt;0,DK36&gt;1,DO35=2),"  + "&amp;DK35&amp;" Euro )","")))</f>
        <v xml:space="preserve"> ( + 3,00 % ) </v>
      </c>
      <c r="DK44" s="159"/>
      <c r="DL44" s="159"/>
      <c r="DM44" s="159"/>
      <c r="DN44" s="159"/>
      <c r="DO44" s="159"/>
    </row>
    <row r="45" spans="1:143" ht="12" thickBot="1">
      <c r="B45" s="75" t="str">
        <f>B1</f>
        <v>EG</v>
      </c>
      <c r="C45" s="75" t="str">
        <f t="shared" ref="C45:H45" si="121">C1</f>
        <v>Stufe 1</v>
      </c>
      <c r="D45" s="75" t="str">
        <f t="shared" si="121"/>
        <v>Stufe 2</v>
      </c>
      <c r="E45" s="75" t="str">
        <f t="shared" si="121"/>
        <v>Stufe 3</v>
      </c>
      <c r="F45" s="75" t="str">
        <f t="shared" si="121"/>
        <v>Stufe 4</v>
      </c>
      <c r="G45" s="75" t="str">
        <f t="shared" si="121"/>
        <v>Stufe 5</v>
      </c>
      <c r="H45" s="75" t="str">
        <f t="shared" si="121"/>
        <v>Stufe 6</v>
      </c>
      <c r="AO45" s="159"/>
      <c r="AP45" s="159" t="str">
        <f>IF(AND(AQ35&gt;0,AQ36&gt;1),AP43&amp;AP44,IF(AND(AQ35&gt;0,AQ36=1),AP43,AP44))</f>
        <v xml:space="preserve"> ( + 2,60 % ) </v>
      </c>
      <c r="AQ45" s="159"/>
      <c r="AR45" s="159"/>
      <c r="AS45" s="159"/>
      <c r="AT45" s="159"/>
      <c r="AU45" s="159"/>
      <c r="AV45" s="159"/>
      <c r="AW45" s="159"/>
      <c r="AX45" s="145" t="str">
        <f>IF(AND(AY35&gt;0,AY36&gt;1),AX43&amp;AX44,IF(AND(AY35&gt;0,AY36=1),AX43,AX44))</f>
        <v xml:space="preserve"> ( + 2,80 % ) </v>
      </c>
      <c r="AY45" s="226"/>
      <c r="AZ45" s="159"/>
      <c r="BA45" s="159"/>
      <c r="BB45" s="159"/>
      <c r="BC45" s="159"/>
      <c r="BD45" s="159"/>
      <c r="BE45" s="159"/>
      <c r="BF45" s="145" t="str">
        <f>IF(AND(BG35&gt;0,BG36&gt;1),BF43&amp;BF44,IF(AND(BG35&gt;0,BG36=1),BF43,BF44))</f>
        <v xml:space="preserve"> ( + 2,80 % ) </v>
      </c>
      <c r="BG45" s="159"/>
      <c r="BH45" s="159"/>
      <c r="BI45" s="159"/>
      <c r="BJ45" s="159"/>
      <c r="BK45" s="159"/>
      <c r="BL45" s="159"/>
      <c r="BM45" s="159"/>
      <c r="BN45" s="145" t="str">
        <f>IF(AND(BO34=0,BO35&gt;0,BO36&gt;1),BN43&amp;BN44,IF(AND(BO34=0,BO35&gt;0,BO36=1),BN43,IF(AND(BO34=0,BO35=0,BO36&gt;1),BN44,IF(AND(BO35=0,BO34&gt;1)," ( + "&amp;BP36&amp;" % mindestens + "&amp;BO34&amp;" € ) ",IF(AND(BO34=0,BO35&gt;0,BO36&gt;1),BN43&amp;BN44,IF(AND(BO35&gt;0,BO36=1),BN43,BN44))))))</f>
        <v xml:space="preserve"> ( + 2,00 % ) </v>
      </c>
      <c r="BO45" s="226"/>
      <c r="BP45" s="159"/>
      <c r="BQ45" s="159"/>
      <c r="BR45" s="159"/>
      <c r="BS45" s="159"/>
      <c r="BT45" s="159"/>
      <c r="BU45" s="159"/>
      <c r="BV45" s="145" t="str">
        <f>IF(AND(BW35=0,BW34&gt;1)," ( + "&amp;BX36&amp;" % mind "&amp;BW34&amp;" € bis EG 9 ) ",IF(AND(BW35&gt;0,BW36&gt;1),BV43&amp;BV44,IF(AND(BW35&gt;0,BW36=1),BV43,BV44)))</f>
        <v xml:space="preserve"> ( + 2,40 % mind 80 € bis EG 9 ) </v>
      </c>
      <c r="BW45" s="159"/>
      <c r="BX45" s="159"/>
      <c r="BY45" s="159"/>
      <c r="BZ45" s="159"/>
      <c r="CA45" s="159"/>
      <c r="CB45" s="159"/>
      <c r="CD45" s="145" t="str">
        <f>IF(AND(CE35=0,CE34&gt;1)," ( + "&amp;CF36&amp;" % mind "&amp;CE34&amp;" € ) ",IF(AND(CE35&gt;0,CE36&gt;1),CD43&amp;CD44,IF(AND(CE35&gt;0,CE36=1),CD43,CD44)))</f>
        <v xml:space="preserve"> ( + 2,00 % mind 75 € ) </v>
      </c>
      <c r="CL45" s="145" t="str">
        <f>IF(AND(CM35=0,CM34&gt;1)," ( + "&amp;CN36&amp;" % mind "&amp;CM34&amp;" € ) ",IF(AND(CM35&gt;0,CM36&gt;1),CL43&amp;CL44,IF(AND(CM35&gt;0,CM36=1),CL43,CL44)))&amp;"( Einführung Stufe 6 ab EG 9 )"</f>
        <v>( Einführung Stufe 6 ab EG 9 )</v>
      </c>
      <c r="CT45" s="145" t="str">
        <f>IF(AND(CU35=0,CU34&gt;1)," ( + "&amp;CV36&amp;" % mind "&amp;CU34&amp;" € ) ",IF(AND(CU35&gt;0,CU36&gt;1),CT43&amp;CT44,IF(AND(CU35&gt;0,CU36=1),CT43,CT44)))</f>
        <v xml:space="preserve"> ( + 2,20 % ) </v>
      </c>
      <c r="DB45" s="145" t="str">
        <f>IF(AND(DC35=0,DC34&gt;1)," ( + "&amp;DD36&amp;" % mind "&amp;DC34&amp;" € ) ",IF(AND(DC35&gt;0,DC36&gt;1),DB43&amp;DB44,IF(AND(DC35&gt;0,DC36=1),DB43,DB44)))&amp;"( Erhöhung Stufe 6 ab EG 9 )"</f>
        <v>( Erhöhung Stufe 6 ab EG 9 )</v>
      </c>
      <c r="DI45" s="159"/>
      <c r="DJ45" s="145" t="str">
        <f>IF(AND(DK35=0,DK34&gt;1)," ( mindestens "&amp;DK34&amp;" € bzw + "&amp;DL36&amp;" % ab Stufe 2 ) ",IF(AND(DK35&gt;0,DK36&gt;1),DJ43&amp;DJ44,IF(AND(DK35&gt;0,DK36=1),DJ43,DJ44)))</f>
        <v xml:space="preserve"> ( mindestens 100 € bzw + 3,00 % ab Stufe 2 ) </v>
      </c>
      <c r="DK45" s="226"/>
      <c r="DL45" s="159"/>
      <c r="DM45" s="159"/>
      <c r="DN45" s="159"/>
      <c r="DO45" s="159"/>
      <c r="DR45" s="145" t="s">
        <v>584</v>
      </c>
      <c r="DZ45" s="145" t="str">
        <f>IF(AND(EA35=0,EA34&gt;1)," ( mindestens "&amp;EA34&amp;" € bzw + "&amp;EB36&amp;" % ab Stufe 2 ) ",IF(AND(EA35&gt;0,EA36&gt;1),DZ43&amp;DZ44,IF(AND(EA35&gt;0,EA36=1),DZ43,DZ44)))</f>
        <v xml:space="preserve"> ( mindestens 100 € bzw + 3,12 % ab Stufe 2 ) </v>
      </c>
      <c r="EH45" s="145" t="str">
        <f>IF(AND(EI35=0,EI34&gt;1)," ( mindestens "&amp;EI34&amp;" € bzw + "&amp;EJ36&amp;" % ab Stufe 2 ) ",IF(AND(EI35&gt;0,EI36&gt;1),EH43&amp;EH44,IF(AND(EI35&gt;0,EI36=1),EH43,EH44)))</f>
        <v xml:space="preserve"> ( mindestens 40 € bzw + 1,30 % ab Stufe 2 ) </v>
      </c>
    </row>
    <row r="46" spans="1:143">
      <c r="B46" s="75" t="str">
        <f t="shared" ref="B46:B54" si="122">B2</f>
        <v>15Ü</v>
      </c>
      <c r="C46" s="389">
        <f t="shared" ref="C46:H49" si="123">C24</f>
        <v>3954</v>
      </c>
      <c r="D46" s="390">
        <f t="shared" si="123"/>
        <v>4394</v>
      </c>
      <c r="E46" s="390">
        <f t="shared" si="123"/>
        <v>4810</v>
      </c>
      <c r="F46" s="390">
        <f t="shared" si="123"/>
        <v>5088</v>
      </c>
      <c r="G46" s="390">
        <f t="shared" si="123"/>
        <v>5152</v>
      </c>
      <c r="H46" s="391" t="str">
        <f t="shared" si="123"/>
        <v>-</v>
      </c>
      <c r="BV46" s="145"/>
    </row>
    <row r="47" spans="1:143">
      <c r="B47" s="75">
        <f t="shared" si="122"/>
        <v>15</v>
      </c>
      <c r="C47" s="392">
        <f t="shared" si="123"/>
        <v>3130</v>
      </c>
      <c r="D47" s="116">
        <f t="shared" si="123"/>
        <v>3478</v>
      </c>
      <c r="E47" s="116">
        <f t="shared" si="123"/>
        <v>3608</v>
      </c>
      <c r="F47" s="116">
        <f t="shared" si="123"/>
        <v>4070</v>
      </c>
      <c r="G47" s="116">
        <f t="shared" si="123"/>
        <v>4422</v>
      </c>
      <c r="H47" s="393" t="str">
        <f t="shared" si="123"/>
        <v>-</v>
      </c>
    </row>
    <row r="48" spans="1:143">
      <c r="B48" s="75">
        <f t="shared" si="122"/>
        <v>14</v>
      </c>
      <c r="C48" s="392">
        <f t="shared" si="123"/>
        <v>2831</v>
      </c>
      <c r="D48" s="116">
        <f t="shared" si="123"/>
        <v>3145</v>
      </c>
      <c r="E48" s="116">
        <f t="shared" si="123"/>
        <v>3330</v>
      </c>
      <c r="F48" s="116">
        <f t="shared" si="123"/>
        <v>3608</v>
      </c>
      <c r="G48" s="116">
        <f t="shared" si="123"/>
        <v>4033</v>
      </c>
      <c r="H48" s="393" t="str">
        <f t="shared" si="123"/>
        <v>-</v>
      </c>
      <c r="BU48" s="396" t="s">
        <v>325</v>
      </c>
    </row>
    <row r="49" spans="2:144">
      <c r="B49" s="75" t="str">
        <f t="shared" si="122"/>
        <v>13Ü</v>
      </c>
      <c r="C49" s="392" t="str">
        <f t="shared" si="123"/>
        <v>-</v>
      </c>
      <c r="D49" s="116">
        <f t="shared" si="123"/>
        <v>2895</v>
      </c>
      <c r="E49" s="116">
        <f t="shared" si="123"/>
        <v>3053</v>
      </c>
      <c r="F49" s="116">
        <f t="shared" si="123"/>
        <v>3330</v>
      </c>
      <c r="G49" s="116">
        <f t="shared" si="123"/>
        <v>3608</v>
      </c>
      <c r="H49" s="393">
        <f t="shared" si="123"/>
        <v>4033</v>
      </c>
      <c r="AO49" s="161" t="str">
        <f>AO35</f>
        <v>He</v>
      </c>
      <c r="AP49" s="215">
        <f>AP1</f>
        <v>2012</v>
      </c>
      <c r="AQ49" s="113" t="str">
        <f t="shared" ref="AQ49:AV49" si="124">AQ1</f>
        <v>Stufe 1</v>
      </c>
      <c r="AR49" s="113" t="str">
        <f t="shared" si="124"/>
        <v>Stufe 2</v>
      </c>
      <c r="AS49" s="113" t="str">
        <f t="shared" si="124"/>
        <v>Stufe 3</v>
      </c>
      <c r="AT49" s="113" t="str">
        <f t="shared" si="124"/>
        <v>Stufe 4</v>
      </c>
      <c r="AU49" s="113" t="str">
        <f t="shared" si="124"/>
        <v>Stufe 5</v>
      </c>
      <c r="AV49" s="113" t="str">
        <f t="shared" si="124"/>
        <v>Stufe 6</v>
      </c>
      <c r="AW49" s="159"/>
      <c r="AX49" s="215">
        <f>AX1</f>
        <v>2013</v>
      </c>
      <c r="AY49" s="113" t="str">
        <f t="shared" ref="AY49:BD49" si="125">AQ49</f>
        <v>Stufe 1</v>
      </c>
      <c r="AZ49" s="113" t="str">
        <f t="shared" si="125"/>
        <v>Stufe 2</v>
      </c>
      <c r="BA49" s="113" t="str">
        <f t="shared" si="125"/>
        <v>Stufe 3</v>
      </c>
      <c r="BB49" s="113" t="str">
        <f t="shared" si="125"/>
        <v>Stufe 4</v>
      </c>
      <c r="BC49" s="113" t="str">
        <f t="shared" si="125"/>
        <v>Stufe 5</v>
      </c>
      <c r="BD49" s="113" t="str">
        <f t="shared" si="125"/>
        <v>Stufe 6</v>
      </c>
      <c r="BE49" s="159"/>
      <c r="BF49" s="215">
        <f>BF1</f>
        <v>2014</v>
      </c>
      <c r="BG49" s="113" t="str">
        <f t="shared" ref="BG49:BL49" si="126">AQ49</f>
        <v>Stufe 1</v>
      </c>
      <c r="BH49" s="113" t="str">
        <f t="shared" si="126"/>
        <v>Stufe 2</v>
      </c>
      <c r="BI49" s="113" t="str">
        <f t="shared" si="126"/>
        <v>Stufe 3</v>
      </c>
      <c r="BJ49" s="113" t="str">
        <f t="shared" si="126"/>
        <v>Stufe 4</v>
      </c>
      <c r="BK49" s="113" t="str">
        <f t="shared" si="126"/>
        <v>Stufe 5</v>
      </c>
      <c r="BL49" s="113" t="str">
        <f t="shared" si="126"/>
        <v>Stufe 6</v>
      </c>
      <c r="BN49" s="215">
        <f>BN1</f>
        <v>2015</v>
      </c>
      <c r="BO49" s="113" t="str">
        <f t="shared" ref="BO49:BT49" si="127">AY49</f>
        <v>Stufe 1</v>
      </c>
      <c r="BP49" s="113" t="str">
        <f t="shared" si="127"/>
        <v>Stufe 2</v>
      </c>
      <c r="BQ49" s="113" t="str">
        <f t="shared" si="127"/>
        <v>Stufe 3</v>
      </c>
      <c r="BR49" s="113" t="str">
        <f t="shared" si="127"/>
        <v>Stufe 4</v>
      </c>
      <c r="BS49" s="113" t="str">
        <f t="shared" si="127"/>
        <v>Stufe 5</v>
      </c>
      <c r="BT49" s="113" t="str">
        <f t="shared" si="127"/>
        <v>Stufe 6</v>
      </c>
      <c r="BV49" s="215">
        <f>BV1</f>
        <v>2016</v>
      </c>
      <c r="BW49" s="113" t="str">
        <f t="shared" ref="BW49:CB49" si="128">BG49</f>
        <v>Stufe 1</v>
      </c>
      <c r="BX49" s="113" t="str">
        <f t="shared" si="128"/>
        <v>Stufe 2</v>
      </c>
      <c r="BY49" s="113" t="str">
        <f t="shared" si="128"/>
        <v>Stufe 3</v>
      </c>
      <c r="BZ49" s="113" t="str">
        <f t="shared" si="128"/>
        <v>Stufe 4</v>
      </c>
      <c r="CA49" s="113" t="str">
        <f t="shared" si="128"/>
        <v>Stufe 5</v>
      </c>
      <c r="CB49" s="113" t="str">
        <f t="shared" si="128"/>
        <v>Stufe 6</v>
      </c>
      <c r="CC49" s="161"/>
      <c r="CD49" s="215">
        <v>2017</v>
      </c>
      <c r="CE49" s="113" t="str">
        <f t="shared" ref="CE49:CJ49" si="129">BW49</f>
        <v>Stufe 1</v>
      </c>
      <c r="CF49" s="113" t="str">
        <f t="shared" si="129"/>
        <v>Stufe 2</v>
      </c>
      <c r="CG49" s="113" t="str">
        <f t="shared" si="129"/>
        <v>Stufe 3</v>
      </c>
      <c r="CH49" s="113" t="str">
        <f t="shared" si="129"/>
        <v>Stufe 4</v>
      </c>
      <c r="CI49" s="113" t="str">
        <f t="shared" si="129"/>
        <v>Stufe 5</v>
      </c>
      <c r="CJ49" s="113" t="str">
        <f t="shared" si="129"/>
        <v>Stufe 6</v>
      </c>
      <c r="CK49" s="159"/>
      <c r="CL49" s="215" t="s">
        <v>399</v>
      </c>
      <c r="CM49" s="113" t="str">
        <f>CE49</f>
        <v>Stufe 1</v>
      </c>
      <c r="CN49" s="113" t="str">
        <f t="shared" ref="CN49:CR50" si="130">CF49</f>
        <v>Stufe 2</v>
      </c>
      <c r="CO49" s="113" t="str">
        <f t="shared" si="130"/>
        <v>Stufe 3</v>
      </c>
      <c r="CP49" s="113" t="str">
        <f t="shared" si="130"/>
        <v>Stufe 4</v>
      </c>
      <c r="CQ49" s="113" t="str">
        <f t="shared" si="130"/>
        <v>Stufe 5</v>
      </c>
      <c r="CR49" s="113" t="str">
        <f t="shared" si="130"/>
        <v>Stufe 6</v>
      </c>
      <c r="CS49" s="159"/>
      <c r="CT49" s="215" t="s">
        <v>400</v>
      </c>
      <c r="CU49" s="113" t="str">
        <f t="shared" ref="CU49:CZ49" si="131">CM49</f>
        <v>Stufe 1</v>
      </c>
      <c r="CV49" s="113" t="str">
        <f t="shared" si="131"/>
        <v>Stufe 2</v>
      </c>
      <c r="CW49" s="113" t="str">
        <f t="shared" si="131"/>
        <v>Stufe 3</v>
      </c>
      <c r="CX49" s="113" t="str">
        <f t="shared" si="131"/>
        <v>Stufe 4</v>
      </c>
      <c r="CY49" s="113" t="str">
        <f t="shared" si="131"/>
        <v>Stufe 5</v>
      </c>
      <c r="CZ49" s="113" t="str">
        <f t="shared" si="131"/>
        <v>Stufe 6</v>
      </c>
      <c r="DB49" s="215" t="s">
        <v>442</v>
      </c>
      <c r="DC49" s="113" t="str">
        <f>CU49</f>
        <v>Stufe 1</v>
      </c>
      <c r="DD49" s="113" t="str">
        <f t="shared" ref="DD49:DD59" si="132">CV49</f>
        <v>Stufe 2</v>
      </c>
      <c r="DE49" s="113" t="str">
        <f t="shared" ref="DE49:DE59" si="133">CW49</f>
        <v>Stufe 3</v>
      </c>
      <c r="DF49" s="113" t="str">
        <f t="shared" ref="DF49:DF59" si="134">CX49</f>
        <v>Stufe 4</v>
      </c>
      <c r="DG49" s="113" t="str">
        <f t="shared" ref="DG49:DG58" si="135">CY49</f>
        <v>Stufe 5</v>
      </c>
      <c r="DH49" s="113" t="str">
        <f>CZ49</f>
        <v>Stufe 6</v>
      </c>
      <c r="DJ49" s="215" t="s">
        <v>574</v>
      </c>
      <c r="DK49" s="113" t="str">
        <f t="shared" ref="DK49:DP49" si="136">DC49</f>
        <v>Stufe 1</v>
      </c>
      <c r="DL49" s="113" t="str">
        <f t="shared" si="136"/>
        <v>Stufe 2</v>
      </c>
      <c r="DM49" s="113" t="str">
        <f t="shared" si="136"/>
        <v>Stufe 3</v>
      </c>
      <c r="DN49" s="113" t="str">
        <f t="shared" si="136"/>
        <v>Stufe 4</v>
      </c>
      <c r="DO49" s="113" t="str">
        <f t="shared" si="136"/>
        <v>Stufe 5</v>
      </c>
      <c r="DP49" s="113" t="str">
        <f t="shared" si="136"/>
        <v>Stufe 6</v>
      </c>
      <c r="DR49" s="215" t="s">
        <v>583</v>
      </c>
      <c r="DS49" s="113" t="str">
        <f t="shared" ref="DS49:DX49" si="137">DK49</f>
        <v>Stufe 1</v>
      </c>
      <c r="DT49" s="113" t="str">
        <f t="shared" si="137"/>
        <v>Stufe 2</v>
      </c>
      <c r="DU49" s="113" t="str">
        <f t="shared" si="137"/>
        <v>Stufe 3</v>
      </c>
      <c r="DV49" s="113" t="str">
        <f t="shared" si="137"/>
        <v>Stufe 4</v>
      </c>
      <c r="DW49" s="113" t="str">
        <f t="shared" si="137"/>
        <v>Stufe 5</v>
      </c>
      <c r="DX49" s="113" t="str">
        <f t="shared" si="137"/>
        <v>Stufe 6</v>
      </c>
      <c r="DZ49" s="215">
        <v>2020</v>
      </c>
      <c r="EA49" s="113" t="str">
        <f t="shared" ref="EA49:EF49" si="138">DS49</f>
        <v>Stufe 1</v>
      </c>
      <c r="EB49" s="113" t="str">
        <f t="shared" si="138"/>
        <v>Stufe 2</v>
      </c>
      <c r="EC49" s="113" t="str">
        <f t="shared" si="138"/>
        <v>Stufe 3</v>
      </c>
      <c r="ED49" s="113" t="str">
        <f t="shared" si="138"/>
        <v>Stufe 4</v>
      </c>
      <c r="EE49" s="113" t="str">
        <f t="shared" si="138"/>
        <v>Stufe 5</v>
      </c>
      <c r="EF49" s="113" t="str">
        <f t="shared" si="138"/>
        <v>Stufe 6</v>
      </c>
      <c r="EH49" s="215">
        <v>2021</v>
      </c>
      <c r="EI49" s="113" t="str">
        <f t="shared" ref="EI49:EN49" si="139">EA49</f>
        <v>Stufe 1</v>
      </c>
      <c r="EJ49" s="113" t="str">
        <f t="shared" si="139"/>
        <v>Stufe 2</v>
      </c>
      <c r="EK49" s="113" t="str">
        <f t="shared" si="139"/>
        <v>Stufe 3</v>
      </c>
      <c r="EL49" s="113" t="str">
        <f t="shared" si="139"/>
        <v>Stufe 4</v>
      </c>
      <c r="EM49" s="113" t="str">
        <f t="shared" si="139"/>
        <v>Stufe 5</v>
      </c>
      <c r="EN49" s="113" t="str">
        <f t="shared" si="139"/>
        <v>Stufe 6</v>
      </c>
    </row>
    <row r="50" spans="2:144">
      <c r="B50" s="75">
        <f t="shared" si="122"/>
        <v>13</v>
      </c>
      <c r="C50" s="392">
        <f t="shared" ref="C50:H54" si="140">C28</f>
        <v>2606</v>
      </c>
      <c r="D50" s="116">
        <f t="shared" si="140"/>
        <v>2895</v>
      </c>
      <c r="E50" s="116">
        <f t="shared" si="140"/>
        <v>3053</v>
      </c>
      <c r="F50" s="116">
        <f t="shared" si="140"/>
        <v>3358</v>
      </c>
      <c r="G50" s="116">
        <f t="shared" si="140"/>
        <v>3783</v>
      </c>
      <c r="H50" s="393" t="str">
        <f t="shared" si="140"/>
        <v>-</v>
      </c>
      <c r="AO50" s="159"/>
      <c r="AP50" s="115" t="str">
        <f t="shared" ref="AP50:AP66" si="141">AP2</f>
        <v>15Ü</v>
      </c>
      <c r="AQ50" s="114">
        <f t="shared" ref="AQ50:AV50" si="142">IF(AI2="-","-",ROUND(AI2*$AQ$36,2))</f>
        <v>4819.6400000000003</v>
      </c>
      <c r="AR50" s="114">
        <f t="shared" si="142"/>
        <v>5351.52</v>
      </c>
      <c r="AS50" s="114">
        <f t="shared" si="142"/>
        <v>5856.28</v>
      </c>
      <c r="AT50" s="114">
        <f t="shared" si="142"/>
        <v>6187.36</v>
      </c>
      <c r="AU50" s="114">
        <f t="shared" si="142"/>
        <v>6268.78</v>
      </c>
      <c r="AV50" s="114" t="str">
        <f t="shared" si="142"/>
        <v>-</v>
      </c>
      <c r="AW50" s="159"/>
      <c r="AX50" s="115" t="str">
        <f>AP50</f>
        <v>15Ü</v>
      </c>
      <c r="AY50" s="112">
        <f t="shared" ref="AY50:BD50" si="143">IF(AQ50="-","-",IF($AY$35=0,ROUND(AQ50*$AY$36,2),IF(AND($AY$35&gt;0,$BC$35=1),ROUND((AQ50+$AY$35)*$AY$36,2),IF(AND($AY$35&gt;0,$BC$35=2),ROUND(AQ50*$AY$36,2)+$AY$35))))</f>
        <v>4954.59</v>
      </c>
      <c r="AZ50" s="112">
        <f t="shared" si="143"/>
        <v>5501.36</v>
      </c>
      <c r="BA50" s="112">
        <f t="shared" si="143"/>
        <v>6020.26</v>
      </c>
      <c r="BB50" s="112">
        <f t="shared" si="143"/>
        <v>6360.61</v>
      </c>
      <c r="BC50" s="112">
        <f t="shared" si="143"/>
        <v>6444.31</v>
      </c>
      <c r="BD50" s="112" t="str">
        <f t="shared" si="143"/>
        <v>-</v>
      </c>
      <c r="BE50" s="159"/>
      <c r="BF50" s="115" t="str">
        <f>AP50</f>
        <v>15Ü</v>
      </c>
      <c r="BG50" s="227">
        <f t="shared" ref="BG50:BL50" si="144">IF(AY50="-","-",IF($BG$35=0,ROUND(AY50*$BG$36,2),IF(AND($BG$35&gt;0,$BK$35=1),ROUND((AY50+$BG$35)*$BG$36,2),IF(AND($BG$35&gt;0,$BK$35=2),ROUND(AY50*$BG$36,2)+$BG$35))))</f>
        <v>5093.32</v>
      </c>
      <c r="BH50" s="227">
        <f t="shared" si="144"/>
        <v>5655.4</v>
      </c>
      <c r="BI50" s="227">
        <f t="shared" si="144"/>
        <v>6188.83</v>
      </c>
      <c r="BJ50" s="227">
        <f t="shared" si="144"/>
        <v>6538.71</v>
      </c>
      <c r="BK50" s="227">
        <f t="shared" si="144"/>
        <v>6624.75</v>
      </c>
      <c r="BL50" s="227" t="str">
        <f t="shared" si="144"/>
        <v>-</v>
      </c>
      <c r="BN50" s="115" t="str">
        <f>AX50</f>
        <v>15Ü</v>
      </c>
      <c r="BO50" s="227">
        <f t="shared" ref="BO50:BT50" si="145">IF(BG50="-","-",IF(AND($BO$34=0,$BO$35=0),ROUND(BG50*$BO$36,2),IF(AND($BO$34&gt;0,$BO$35=0,(((BG50*$BO$36)-BG50)&lt;$BO$34)),BG50+$BO$34,IF(AND($BO$34&gt;0,$BO$35=0,(((BG50*$BO$36)-BG50)&gt;=$BO$34)),ROUND(BG50*$BO$36,2),IF(AND($BO$35&gt;0,$BS$35=1),ROUND((BG50+$BO$35)*$BO$36,2),IF(AND($BO$35&gt;0,$BS$35=2),ROUND(BG50*$BO$36,2)+$BO$35))))))</f>
        <v>5195.1899999999996</v>
      </c>
      <c r="BP50" s="227">
        <f t="shared" si="145"/>
        <v>5768.51</v>
      </c>
      <c r="BQ50" s="227">
        <f t="shared" si="145"/>
        <v>6312.61</v>
      </c>
      <c r="BR50" s="227">
        <f t="shared" si="145"/>
        <v>6669.48</v>
      </c>
      <c r="BS50" s="227">
        <f t="shared" si="145"/>
        <v>6757.25</v>
      </c>
      <c r="BT50" s="227" t="str">
        <f t="shared" si="145"/>
        <v>-</v>
      </c>
      <c r="BU50" s="380">
        <v>0</v>
      </c>
      <c r="BV50" s="115" t="str">
        <f>BF50</f>
        <v>15Ü</v>
      </c>
      <c r="BW50" s="227">
        <f t="shared" ref="BW50:CB50" si="146">IF(BO50="-","-",IF(AND($BU50=0,$BW$35=0),ROUND(BO50*$BW$36,2),IF(AND($BU50&gt;0,$BW$35=0,(((BO50*$BW$36)-BO50)&lt;$BU50)),BO50+$BU50,IF(AND($BU50&gt;0,$BW$35=0,(((BO50*$BW$36)-BO50)&gt;=$BU50)),ROUND(BO50*$BW$36,2),IF(AND($BW$35&gt;0,$CA$35=1),ROUND((BO50+$BW$35)*$BW$36,2),IF(AND($BW$35&gt;0,$CA$35=2),ROUND(BO50*$BW$36,2)+$BW$35))))))</f>
        <v>5319.87</v>
      </c>
      <c r="BX50" s="227">
        <f t="shared" si="146"/>
        <v>5906.95</v>
      </c>
      <c r="BY50" s="227">
        <f t="shared" si="146"/>
        <v>6464.11</v>
      </c>
      <c r="BZ50" s="227">
        <f t="shared" si="146"/>
        <v>6829.55</v>
      </c>
      <c r="CA50" s="227">
        <f t="shared" si="146"/>
        <v>6919.42</v>
      </c>
      <c r="CB50" s="227" t="str">
        <f t="shared" si="146"/>
        <v>-</v>
      </c>
      <c r="CC50" s="161"/>
      <c r="CD50" s="115" t="str">
        <f>BV50</f>
        <v>15Ü</v>
      </c>
      <c r="CE50" s="227">
        <f t="shared" ref="CE50:CJ50" si="147">IF(BW50="-","-",IF(ROUND(BW50*$CE$36,2)-BW50&lt;$CE$34,BW50+$CE$34,ROUND(BW50*$CE$36,2)))</f>
        <v>5426.27</v>
      </c>
      <c r="CF50" s="227">
        <f t="shared" si="147"/>
        <v>6025.09</v>
      </c>
      <c r="CG50" s="227">
        <f t="shared" si="147"/>
        <v>6593.39</v>
      </c>
      <c r="CH50" s="227">
        <f t="shared" si="147"/>
        <v>6966.14</v>
      </c>
      <c r="CI50" s="227">
        <f t="shared" si="147"/>
        <v>7057.81</v>
      </c>
      <c r="CJ50" s="227" t="str">
        <f t="shared" si="147"/>
        <v>-</v>
      </c>
      <c r="CK50" s="159"/>
      <c r="CL50" s="115" t="str">
        <f>CD50</f>
        <v>15Ü</v>
      </c>
      <c r="CM50" s="227">
        <f>CE50</f>
        <v>5426.27</v>
      </c>
      <c r="CN50" s="227">
        <f t="shared" si="130"/>
        <v>6025.09</v>
      </c>
      <c r="CO50" s="227">
        <f t="shared" si="130"/>
        <v>6593.39</v>
      </c>
      <c r="CP50" s="227">
        <f t="shared" si="130"/>
        <v>6966.14</v>
      </c>
      <c r="CQ50" s="227">
        <f t="shared" si="130"/>
        <v>7057.81</v>
      </c>
      <c r="CR50" s="227" t="str">
        <f>CJ50</f>
        <v>-</v>
      </c>
      <c r="CS50" s="159"/>
      <c r="CT50" s="115" t="str">
        <f>CL50</f>
        <v>15Ü</v>
      </c>
      <c r="CU50" s="227">
        <f>IF(CE50="-","-",ROUND(CE50*$CU$36,2))</f>
        <v>5545.65</v>
      </c>
      <c r="CV50" s="227">
        <f t="shared" ref="CV50:CZ58" si="148">IF(CF50="-","-",ROUND(CF50*$CU$36,2))</f>
        <v>6157.64</v>
      </c>
      <c r="CW50" s="227">
        <f t="shared" si="148"/>
        <v>6738.44</v>
      </c>
      <c r="CX50" s="227">
        <f t="shared" si="148"/>
        <v>7119.4</v>
      </c>
      <c r="CY50" s="227">
        <f t="shared" si="148"/>
        <v>7213.08</v>
      </c>
      <c r="CZ50" s="227" t="str">
        <f t="shared" si="148"/>
        <v>-</v>
      </c>
      <c r="DB50" s="115" t="str">
        <f>CT50</f>
        <v>15Ü</v>
      </c>
      <c r="DC50" s="227">
        <f>CU50</f>
        <v>5545.65</v>
      </c>
      <c r="DD50" s="227">
        <v>6157.65</v>
      </c>
      <c r="DE50" s="227">
        <f t="shared" si="133"/>
        <v>6738.44</v>
      </c>
      <c r="DF50" s="227">
        <f t="shared" si="134"/>
        <v>7119.4</v>
      </c>
      <c r="DG50" s="227">
        <f t="shared" si="135"/>
        <v>7213.08</v>
      </c>
      <c r="DH50" s="227" t="str">
        <f>CZ50</f>
        <v>-</v>
      </c>
      <c r="DJ50" s="115" t="str">
        <f>DB50</f>
        <v>15Ü</v>
      </c>
      <c r="DK50" s="37">
        <f>IF(DC50="-","-",IF(ROUND(DC50*$DK$37,2)-DC50&lt;$DK$34,DC50+$DK$34,ROUND(DC50*$DK$37,2)))</f>
        <v>5795.2</v>
      </c>
      <c r="DL50" s="112">
        <f>IF(DD50="-","-",IF(ROUND(DD50*$DK$36,2)-DD50&lt;$DK$34,DD50+$DK$34,ROUND(DD50*$DK$36,2)))</f>
        <v>6342.38</v>
      </c>
      <c r="DM50" s="112">
        <f>IF(DE50="-","-",IF(ROUND(DE50*$DK$36,2)-DE50&lt;$DK$34,DE50+$DK$34,ROUND(DE50*$DK$36,2)))</f>
        <v>6940.59</v>
      </c>
      <c r="DN50" s="112">
        <f>IF(DF50="-","-",IF(ROUND(DF50*$DK$36,2)-DF50&lt;$DK$34,DF50+$DK$34,ROUND(DF50*$DK$36,2)))</f>
        <v>7332.98</v>
      </c>
      <c r="DO50" s="112">
        <f>IF(DG50="-","-",IF(ROUND(DG50*$DK$36,2)-DG50&lt;$DK$34,DG50+$DK$34,ROUND(DG50*$DK$36,2)))</f>
        <v>7429.47</v>
      </c>
      <c r="DP50" s="112" t="str">
        <f>IF(DH50="-","-",IF(ROUND(DH50*$DK$36,2)-DH50&lt;$DK$34,DH50+$DK$34,ROUND(DH50*$DK$36,2)))</f>
        <v>-</v>
      </c>
      <c r="DR50" s="115" t="str">
        <f>DJ50</f>
        <v>15Ü</v>
      </c>
      <c r="DS50" s="37">
        <f>DK50</f>
        <v>5795.2</v>
      </c>
      <c r="DT50" s="37">
        <f t="shared" ref="DT50:DX65" si="149">DL50</f>
        <v>6342.38</v>
      </c>
      <c r="DU50" s="37">
        <f t="shared" si="149"/>
        <v>6940.59</v>
      </c>
      <c r="DV50" s="37">
        <f t="shared" si="149"/>
        <v>7332.98</v>
      </c>
      <c r="DW50" s="37">
        <f t="shared" si="149"/>
        <v>7429.47</v>
      </c>
      <c r="DX50" s="37" t="str">
        <f t="shared" si="149"/>
        <v>-</v>
      </c>
      <c r="DZ50" s="115" t="str">
        <f>DR50</f>
        <v>15Ü</v>
      </c>
      <c r="EA50" s="37">
        <f>IF(DS50="-","-",IF(ROUND(DS50*$EA$37,2)-DS50&lt;$EA$34,DS50+$EA$34,ROUND(DS50*$EA$37,2)))</f>
        <v>6044.39</v>
      </c>
      <c r="EB50" s="112">
        <f>IF(DT50="-","-",IF(ROUND(DT50*$EA$36,2)-DT50&lt;$EA$34,DT50+$EA$34,ROUND(DT50*$EA$36,2)))</f>
        <v>6540.26</v>
      </c>
      <c r="EC50" s="112">
        <f>IF(DU50="-","-",IF(ROUND(DU50*$EA$36,2)-DU50&lt;$EA$34,DU50+$EA$34,ROUND(DU50*$EA$36,2)))</f>
        <v>7157.14</v>
      </c>
      <c r="ED50" s="112">
        <f>IF(DV50="-","-",IF(ROUND(DV50*$EA$36,2)-DV50&lt;$EA$34,DV50+$EA$34,ROUND(DV50*$EA$36,2)))</f>
        <v>7561.77</v>
      </c>
      <c r="EE50" s="112">
        <f>IF(DW50="-","-",IF(ROUND(DW50*$EA$36,2)-DW50&lt;$EA$34,DW50+$EA$34,ROUND(DW50*$EA$36,2)))</f>
        <v>7661.27</v>
      </c>
      <c r="EF50" s="112" t="str">
        <f>IF(DX50="-","-",IF(ROUND(DX50*$EA$36,2)-DX50&lt;$EA$34,DX50+$EA$34,ROUND(DX50*$EA$36,2)))</f>
        <v>-</v>
      </c>
      <c r="EH50" s="115" t="str">
        <f>DZ50</f>
        <v>15Ü</v>
      </c>
      <c r="EI50" s="37">
        <f>IF(EA50="-","-",IF(ROUND(EA50*$EI$37,2)-EA50&lt;$EI$34,EA50+$EI$34,ROUND(EA50*$EI$37,2)))</f>
        <v>6153.19</v>
      </c>
      <c r="EJ50" s="112">
        <f>IF(EB50="-","-",IF(ROUND(EB50*$EI$36,2)-EB50&lt;$EI$34,EB50+$EI$34,ROUND(EB50*$EI$36,2)))</f>
        <v>6625.28</v>
      </c>
      <c r="EK50" s="112">
        <f>IF(EC50="-","-",IF(ROUND(EC50*$EI$36,2)-EC50&lt;$EI$34,EC50+$EI$34,ROUND(EC50*$EI$36,2)))</f>
        <v>7250.18</v>
      </c>
      <c r="EL50" s="112">
        <f>IF(ED50="-","-",IF(ROUND(ED50*$EI$36,2)-ED50&lt;$EI$34,ED50+$EI$34,ROUND(ED50*$EI$36,2)))</f>
        <v>7660.07</v>
      </c>
      <c r="EM50" s="112">
        <f>IF(EE50="-","-",IF(ROUND(EE50*$EI$36,2)-EE50&lt;$EI$34,EE50+$EI$34,ROUND(EE50*$EI$36,2)))</f>
        <v>7760.87</v>
      </c>
      <c r="EN50" s="112" t="str">
        <f>IF(EF50="-","-",IF(ROUND(EF50*$EI$36,2)-EF50&lt;$EI$34,EF50+$EI$34,ROUND(EF50*$EI$36,2)))</f>
        <v>-</v>
      </c>
    </row>
    <row r="51" spans="2:144">
      <c r="B51" s="75">
        <f t="shared" si="122"/>
        <v>12</v>
      </c>
      <c r="C51" s="392">
        <f t="shared" si="140"/>
        <v>2331</v>
      </c>
      <c r="D51" s="116">
        <f t="shared" si="140"/>
        <v>2590</v>
      </c>
      <c r="E51" s="116">
        <f t="shared" si="140"/>
        <v>2960</v>
      </c>
      <c r="F51" s="116">
        <f t="shared" si="140"/>
        <v>3284</v>
      </c>
      <c r="G51" s="116">
        <f t="shared" si="140"/>
        <v>3700</v>
      </c>
      <c r="H51" s="393" t="str">
        <f t="shared" si="140"/>
        <v>-</v>
      </c>
      <c r="AO51" s="159"/>
      <c r="AP51" s="115">
        <f t="shared" si="141"/>
        <v>15</v>
      </c>
      <c r="AQ51" s="114">
        <f t="shared" ref="AQ51:AQ67" si="150">IF(AI3="-","-",ROUND(AI3*$AQ$36,2))</f>
        <v>3826.4</v>
      </c>
      <c r="AR51" s="114">
        <f t="shared" ref="AR51:AR67" si="151">IF(AJ3="-","-",ROUND(AJ3*$AQ$36,2))</f>
        <v>4244.32</v>
      </c>
      <c r="AS51" s="114">
        <f t="shared" ref="AS51:AS67" si="152">IF(AK3="-","-",ROUND(AK3*$AQ$36,2))</f>
        <v>4401.71</v>
      </c>
      <c r="AT51" s="114">
        <f t="shared" ref="AT51:AT67" si="153">IF(AL3="-","-",ROUND(AL3*$AQ$36,2))</f>
        <v>4960.75</v>
      </c>
      <c r="AU51" s="114">
        <f t="shared" ref="AU51:AU67" si="154">IF(AM3="-","-",ROUND(AM3*$AQ$36,2))</f>
        <v>5384.1</v>
      </c>
      <c r="AV51" s="114" t="str">
        <f t="shared" ref="AV51:AV67" si="155">IF(AN3="-","-",ROUND(AN3*$AQ$36,2))</f>
        <v>-</v>
      </c>
      <c r="AW51" s="159"/>
      <c r="AX51" s="115">
        <f t="shared" ref="AX51:AX67" si="156">AP51</f>
        <v>15</v>
      </c>
      <c r="AY51" s="112">
        <f t="shared" ref="AY51:AY67" si="157">IF(AQ51="-","-",IF($AY$35=0,ROUND(AQ51*$AY$36,2),IF(AND($AY$35&gt;0,$BC$35=1),ROUND((AQ51+$AY$35)*$AY$36,2),IF(AND($AY$35&gt;0,$BC$35=2),ROUND(AQ51*$AY$36,2)+$AY$35))))</f>
        <v>3933.54</v>
      </c>
      <c r="AZ51" s="112">
        <f t="shared" ref="AZ51:AZ67" si="158">IF(AR51="-","-",IF($AY$35=0,ROUND(AR51*$AY$36,2),IF(AND($AY$35&gt;0,$BC$35=1),ROUND((AR51+$AY$35)*$AY$36,2),IF(AND($AY$35&gt;0,$BC$35=2),ROUND(AR51*$AY$36,2)+$AY$35))))</f>
        <v>4363.16</v>
      </c>
      <c r="BA51" s="112">
        <f t="shared" ref="BA51:BA67" si="159">IF(AS51="-","-",IF($AY$35=0,ROUND(AS51*$AY$36,2),IF(AND($AY$35&gt;0,$BC$35=1),ROUND((AS51+$AY$35)*$AY$36,2),IF(AND($AY$35&gt;0,$BC$35=2),ROUND(AS51*$AY$36,2)+$AY$35))))</f>
        <v>4524.96</v>
      </c>
      <c r="BB51" s="112">
        <f t="shared" ref="BB51:BB67" si="160">IF(AT51="-","-",IF($AY$35=0,ROUND(AT51*$AY$36,2),IF(AND($AY$35&gt;0,$BC$35=1),ROUND((AT51+$AY$35)*$AY$36,2),IF(AND($AY$35&gt;0,$BC$35=2),ROUND(AT51*$AY$36,2)+$AY$35))))</f>
        <v>5099.6499999999996</v>
      </c>
      <c r="BC51" s="112">
        <f t="shared" ref="BC51:BC67" si="161">IF(AU51="-","-",IF($AY$35=0,ROUND(AU51*$AY$36,2),IF(AND($AY$35&gt;0,$BC$35=1),ROUND((AU51+$AY$35)*$AY$36,2),IF(AND($AY$35&gt;0,$BC$35=2),ROUND(AU51*$AY$36,2)+$AY$35))))</f>
        <v>5534.85</v>
      </c>
      <c r="BD51" s="112" t="str">
        <f t="shared" ref="BD51:BD67" si="162">IF(AV51="-","-",IF($AY$35=0,ROUND(AV51*$AY$36,2),IF(AND($AY$35&gt;0,$BC$35=1),ROUND((AV51+$AY$35)*$AY$36,2),IF(AND($AY$35&gt;0,$BC$35=2),ROUND(AV51*$AY$36,2)+$AY$35))))</f>
        <v>-</v>
      </c>
      <c r="BE51" s="159"/>
      <c r="BF51" s="115">
        <f t="shared" ref="BF51:BF67" si="163">AP51</f>
        <v>15</v>
      </c>
      <c r="BG51" s="227">
        <f t="shared" ref="BG51:BG67" si="164">IF(AY51="-","-",IF($BG$35=0,ROUND(AY51*$BG$36,2),IF(AND($BG$35&gt;0,$BK$35=1),ROUND((AY51+$BG$35)*$BG$36,2),IF(AND($BG$35&gt;0,$BK$35=2),ROUND(AY51*$BG$36,2)+$BG$35))))</f>
        <v>4043.68</v>
      </c>
      <c r="BH51" s="227">
        <f t="shared" ref="BH51:BH67" si="165">IF(AZ51="-","-",IF($BG$35=0,ROUND(AZ51*$BG$36,2),IF(AND($BG$35&gt;0,$BK$35=1),ROUND((AZ51+$BG$35)*$BG$36,2),IF(AND($BG$35&gt;0,$BK$35=2),ROUND(AZ51*$BG$36,2)+$BG$35))))</f>
        <v>4485.33</v>
      </c>
      <c r="BI51" s="227">
        <f t="shared" ref="BI51:BI67" si="166">IF(BA51="-","-",IF($BG$35=0,ROUND(BA51*$BG$36,2),IF(AND($BG$35&gt;0,$BK$35=1),ROUND((BA51+$BG$35)*$BG$36,2),IF(AND($BG$35&gt;0,$BK$35=2),ROUND(BA51*$BG$36,2)+$BG$35))))</f>
        <v>4651.66</v>
      </c>
      <c r="BJ51" s="227">
        <f t="shared" ref="BJ51:BJ67" si="167">IF(BB51="-","-",IF($BG$35=0,ROUND(BB51*$BG$36,2),IF(AND($BG$35&gt;0,$BK$35=1),ROUND((BB51+$BG$35)*$BG$36,2),IF(AND($BG$35&gt;0,$BK$35=2),ROUND(BB51*$BG$36,2)+$BG$35))))</f>
        <v>5242.4399999999996</v>
      </c>
      <c r="BK51" s="227">
        <f t="shared" ref="BK51:BK67" si="168">IF(BC51="-","-",IF($BG$35=0,ROUND(BC51*$BG$36,2),IF(AND($BG$35&gt;0,$BK$35=1),ROUND((BC51+$BG$35)*$BG$36,2),IF(AND($BG$35&gt;0,$BK$35=2),ROUND(BC51*$BG$36,2)+$BG$35))))</f>
        <v>5689.83</v>
      </c>
      <c r="BL51" s="227" t="str">
        <f t="shared" ref="BL51:BL67" si="169">IF(BD51="-","-",IF($BG$35=0,ROUND(BD51*$BG$36,2),IF(AND($BG$35&gt;0,$BK$35=1),ROUND((BD51+$BG$35)*$BG$36,2),IF(AND($BG$35&gt;0,$BK$35=2),ROUND(BD51*$BG$36,2)+$BG$35))))</f>
        <v>-</v>
      </c>
      <c r="BN51" s="115">
        <f t="shared" ref="BN51:BN67" si="170">AX51</f>
        <v>15</v>
      </c>
      <c r="BO51" s="227">
        <f t="shared" ref="BO51:BO67" si="171">IF(BG51="-","-",IF(AND($BO$34=0,$BO$35=0),ROUND(BG51*$BO$36,2),IF(AND($BO$34&gt;0,$BO$35=0,(((BG51*$BO$36)-BG51)&lt;$BO$34)),BG51+$BO$34,IF(AND($BO$34&gt;0,$BO$35=0,(((BG51*$BO$36)-BG51)&gt;=$BO$34)),ROUND(BG51*$BO$36,2),IF(AND($BO$35&gt;0,$BS$35=1),ROUND((BG51+$BO$35)*$BO$36,2),IF(AND($BO$35&gt;0,$BS$35=2),ROUND(BG51*$BO$36,2)+$BO$35))))))</f>
        <v>4124.55</v>
      </c>
      <c r="BP51" s="227">
        <f t="shared" ref="BP51:BP67" si="172">IF(BH51="-","-",IF(AND($BO$34=0,$BO$35=0),ROUND(BH51*$BO$36,2),IF(AND($BO$34&gt;0,$BO$35=0,(((BH51*$BO$36)-BH51)&lt;$BO$34)),BH51+$BO$34,IF(AND($BO$34&gt;0,$BO$35=0,(((BH51*$BO$36)-BH51)&gt;=$BO$34)),ROUND(BH51*$BO$36,2),IF(AND($BO$35&gt;0,$BS$35=1),ROUND((BH51+$BO$35)*$BO$36,2),IF(AND($BO$35&gt;0,$BS$35=2),ROUND(BH51*$BO$36,2)+$BO$35))))))</f>
        <v>4575.04</v>
      </c>
      <c r="BQ51" s="227">
        <f t="shared" ref="BQ51:BQ67" si="173">IF(BI51="-","-",IF(AND($BO$34=0,$BO$35=0),ROUND(BI51*$BO$36,2),IF(AND($BO$34&gt;0,$BO$35=0,(((BI51*$BO$36)-BI51)&lt;$BO$34)),BI51+$BO$34,IF(AND($BO$34&gt;0,$BO$35=0,(((BI51*$BO$36)-BI51)&gt;=$BO$34)),ROUND(BI51*$BO$36,2),IF(AND($BO$35&gt;0,$BS$35=1),ROUND((BI51+$BO$35)*$BO$36,2),IF(AND($BO$35&gt;0,$BS$35=2),ROUND(BI51*$BO$36,2)+$BO$35))))))</f>
        <v>4744.6899999999996</v>
      </c>
      <c r="BR51" s="227">
        <f t="shared" ref="BR51:BR67" si="174">IF(BJ51="-","-",IF(AND($BO$34=0,$BO$35=0),ROUND(BJ51*$BO$36,2),IF(AND($BO$34&gt;0,$BO$35=0,(((BJ51*$BO$36)-BJ51)&lt;$BO$34)),BJ51+$BO$34,IF(AND($BO$34&gt;0,$BO$35=0,(((BJ51*$BO$36)-BJ51)&gt;=$BO$34)),ROUND(BJ51*$BO$36,2),IF(AND($BO$35&gt;0,$BS$35=1),ROUND((BJ51+$BO$35)*$BO$36,2),IF(AND($BO$35&gt;0,$BS$35=2),ROUND(BJ51*$BO$36,2)+$BO$35))))))</f>
        <v>5347.29</v>
      </c>
      <c r="BS51" s="227">
        <f t="shared" ref="BS51:BS67" si="175">IF(BK51="-","-",IF(AND($BO$34=0,$BO$35=0),ROUND(BK51*$BO$36,2),IF(AND($BO$34&gt;0,$BO$35=0,(((BK51*$BO$36)-BK51)&lt;$BO$34)),BK51+$BO$34,IF(AND($BO$34&gt;0,$BO$35=0,(((BK51*$BO$36)-BK51)&gt;=$BO$34)),ROUND(BK51*$BO$36,2),IF(AND($BO$35&gt;0,$BS$35=1),ROUND((BK51+$BO$35)*$BO$36,2),IF(AND($BO$35&gt;0,$BS$35=2),ROUND(BK51*$BO$36,2)+$BO$35))))))</f>
        <v>5803.63</v>
      </c>
      <c r="BT51" s="227" t="str">
        <f t="shared" ref="BT51:BT67" si="176">IF(BL51="-","-",IF(AND($BO$34=0,$BO$35=0),ROUND(BL51*$BO$36,2),IF(AND($BO$34&gt;0,$BO$35=0,(((BL51*$BO$36)-BL51)&lt;$BO$34)),BL51+$BO$34,IF(AND($BO$34&gt;0,$BO$35=0,(((BL51*$BO$36)-BL51)&gt;=$BO$34)),ROUND(BL51*$BO$36,2),IF(AND($BO$35&gt;0,$BS$35=1),ROUND((BL51+$BO$35)*$BO$36,2),IF(AND($BO$35&gt;0,$BS$35=2),ROUND(BL51*$BO$36,2)+$BO$35))))))</f>
        <v>-</v>
      </c>
      <c r="BU51" s="380">
        <v>0</v>
      </c>
      <c r="BV51" s="115">
        <f t="shared" ref="BV51:BV67" si="177">BF51</f>
        <v>15</v>
      </c>
      <c r="BW51" s="227">
        <f t="shared" ref="BW51:BW67" si="178">IF(BO51="-","-",IF(AND($BU51=0,$BW$35=0),ROUND(BO51*$BW$36,2),IF(AND($BU51&gt;0,$BW$35=0,(((BO51*$BW$36)-BO51)&lt;$BU51)),BO51+$BU51,IF(AND($BU51&gt;0,$BW$35=0,(((BO51*$BW$36)-BO51)&gt;=$BU51)),ROUND(BO51*$BW$36,2),IF(AND($BW$35&gt;0,$CA$35=1),ROUND((BO51+$BW$35)*$BW$36,2),IF(AND($BW$35&gt;0,$CA$35=2),ROUND(BO51*$BW$36,2)+$BW$35))))))</f>
        <v>4223.54</v>
      </c>
      <c r="BX51" s="227">
        <f t="shared" ref="BX51:BX67" si="179">IF(BP51="-","-",IF(AND($BU51=0,$BW$35=0),ROUND(BP51*$BW$36,2),IF(AND($BU51&gt;0,$BW$35=0,(((BP51*$BW$36)-BP51)&lt;$BU51)),BP51+$BU51,IF(AND($BU51&gt;0,$BW$35=0,(((BP51*$BW$36)-BP51)&gt;=$BU51)),ROUND(BP51*$BW$36,2),IF(AND($BW$35&gt;0,$CA$35=1),ROUND((BP51+$BW$35)*$BW$36,2),IF(AND($BW$35&gt;0,$CA$35=2),ROUND(BP51*$BW$36,2)+$BW$35))))))</f>
        <v>4684.84</v>
      </c>
      <c r="BY51" s="227">
        <f t="shared" ref="BY51:BY67" si="180">IF(BQ51="-","-",IF(AND($BU51=0,$BW$35=0),ROUND(BQ51*$BW$36,2),IF(AND($BU51&gt;0,$BW$35=0,(((BQ51*$BW$36)-BQ51)&lt;$BU51)),BQ51+$BU51,IF(AND($BU51&gt;0,$BW$35=0,(((BQ51*$BW$36)-BQ51)&gt;=$BU51)),ROUND(BQ51*$BW$36,2),IF(AND($BW$35&gt;0,$CA$35=1),ROUND((BQ51+$BW$35)*$BW$36,2),IF(AND($BW$35&gt;0,$CA$35=2),ROUND(BQ51*$BW$36,2)+$BW$35))))))</f>
        <v>4858.5600000000004</v>
      </c>
      <c r="BZ51" s="227">
        <f t="shared" ref="BZ51:BZ67" si="181">IF(BR51="-","-",IF(AND($BU51=0,$BW$35=0),ROUND(BR51*$BW$36,2),IF(AND($BU51&gt;0,$BW$35=0,(((BR51*$BW$36)-BR51)&lt;$BU51)),BR51+$BU51,IF(AND($BU51&gt;0,$BW$35=0,(((BR51*$BW$36)-BR51)&gt;=$BU51)),ROUND(BR51*$BW$36,2),IF(AND($BW$35&gt;0,$CA$35=1),ROUND((BR51+$BW$35)*$BW$36,2),IF(AND($BW$35&gt;0,$CA$35=2),ROUND(BR51*$BW$36,2)+$BW$35))))))</f>
        <v>5475.62</v>
      </c>
      <c r="CA51" s="227">
        <f t="shared" ref="CA51:CA67" si="182">IF(BS51="-","-",IF(AND($BU51=0,$BW$35=0),ROUND(BS51*$BW$36,2),IF(AND($BU51&gt;0,$BW$35=0,(((BS51*$BW$36)-BS51)&lt;$BU51)),BS51+$BU51,IF(AND($BU51&gt;0,$BW$35=0,(((BS51*$BW$36)-BS51)&gt;=$BU51)),ROUND(BS51*$BW$36,2),IF(AND($BW$35&gt;0,$CA$35=1),ROUND((BS51+$BW$35)*$BW$36,2),IF(AND($BW$35&gt;0,$CA$35=2),ROUND(BS51*$BW$36,2)+$BW$35))))))</f>
        <v>5942.92</v>
      </c>
      <c r="CB51" s="227" t="str">
        <f t="shared" ref="CB51:CB67" si="183">IF(BT51="-","-",IF(AND($BU51=0,$BW$35=0),ROUND(BT51*$BW$36,2),IF(AND($BU51&gt;0,$BW$35=0,(((BT51*$BW$36)-BT51)&lt;$BU51)),BT51+$BU51,IF(AND($BU51&gt;0,$BW$35=0,(((BT51*$BW$36)-BT51)&gt;=$BU51)),ROUND(BT51*$BW$36,2),IF(AND($BW$35&gt;0,$CA$35=1),ROUND((BT51+$BW$35)*$BW$36,2),IF(AND($BW$35&gt;0,$CA$35=2),ROUND(BT51*$BW$36,2)+$BW$35))))))</f>
        <v>-</v>
      </c>
      <c r="CC51" s="161"/>
      <c r="CD51" s="115">
        <f t="shared" ref="CD51:CD58" si="184">BV51</f>
        <v>15</v>
      </c>
      <c r="CE51" s="227">
        <f t="shared" ref="CE51:CE57" si="185">IF(BW51="-","-",IF(ROUND(BW51*$CE$36,2)-BW51&lt;$CE$34,BW51+$CE$34,ROUND(BW51*$CE$36,2)))</f>
        <v>4308.01</v>
      </c>
      <c r="CF51" s="227">
        <f t="shared" ref="CF51:CF58" si="186">IF(BX51="-","-",IF(ROUND(BX51*$CE$36,2)-BX51&lt;$CE$34,BX51+$CE$34,ROUND(BX51*$CE$36,2)))</f>
        <v>4778.54</v>
      </c>
      <c r="CG51" s="227">
        <f t="shared" ref="CG51:CG58" si="187">IF(BY51="-","-",IF(ROUND(BY51*$CE$36,2)-BY51&lt;$CE$34,BY51+$CE$34,ROUND(BY51*$CE$36,2)))</f>
        <v>4955.7299999999996</v>
      </c>
      <c r="CH51" s="227">
        <f t="shared" ref="CH51:CH58" si="188">IF(BZ51="-","-",IF(ROUND(BZ51*$CE$36,2)-BZ51&lt;$CE$34,BZ51+$CE$34,ROUND(BZ51*$CE$36,2)))</f>
        <v>5585.13</v>
      </c>
      <c r="CI51" s="227">
        <f t="shared" ref="CI51:CI58" si="189">IF(CA51="-","-",IF(ROUND(CA51*$CE$36,2)-CA51&lt;$CE$34,CA51+$CE$34,ROUND(CA51*$CE$36,2)))</f>
        <v>6061.78</v>
      </c>
      <c r="CJ51" s="227" t="str">
        <f t="shared" ref="CJ51:CJ58" si="190">IF(CB51="-","-",IF(ROUND(CB51*$CE$36,2)-CB51&lt;$CE$34,CB51+$CE$34,ROUND(CB51*$CE$36,2)))</f>
        <v>-</v>
      </c>
      <c r="CK51" s="159"/>
      <c r="CL51" s="115">
        <f t="shared" ref="CL51:CL59" si="191">CD51</f>
        <v>15</v>
      </c>
      <c r="CM51" s="227">
        <f t="shared" ref="CM51:CM59" si="192">CE51</f>
        <v>4308.01</v>
      </c>
      <c r="CN51" s="227">
        <f t="shared" ref="CN51:CN59" si="193">CF51</f>
        <v>4778.54</v>
      </c>
      <c r="CO51" s="227">
        <f t="shared" ref="CO51:CO59" si="194">CG51</f>
        <v>4955.7299999999996</v>
      </c>
      <c r="CP51" s="227">
        <f t="shared" ref="CP51:CP59" si="195">CH51</f>
        <v>5585.13</v>
      </c>
      <c r="CQ51" s="227">
        <f t="shared" ref="CQ51:CQ58" si="196">CI51</f>
        <v>6061.78</v>
      </c>
      <c r="CR51" s="227">
        <v>6288.07</v>
      </c>
      <c r="CS51" s="159"/>
      <c r="CT51" s="115">
        <f t="shared" ref="CT51:CT59" si="197">CL51</f>
        <v>15</v>
      </c>
      <c r="CU51" s="227">
        <f t="shared" ref="CU51:CU59" si="198">IF(CE51="-","-",ROUND(CE51*$CU$36,2))</f>
        <v>4402.79</v>
      </c>
      <c r="CV51" s="227">
        <f t="shared" si="148"/>
        <v>4883.67</v>
      </c>
      <c r="CW51" s="227">
        <f t="shared" si="148"/>
        <v>5064.76</v>
      </c>
      <c r="CX51" s="227">
        <f t="shared" si="148"/>
        <v>5708</v>
      </c>
      <c r="CY51" s="227">
        <f t="shared" si="148"/>
        <v>6195.14</v>
      </c>
      <c r="CZ51" s="227">
        <f>CR51</f>
        <v>6288.07</v>
      </c>
      <c r="DB51" s="115">
        <f t="shared" ref="DB51:DB59" si="199">CT51</f>
        <v>15</v>
      </c>
      <c r="DC51" s="227">
        <f t="shared" ref="DC51:DC59" si="200">CU51</f>
        <v>4402.79</v>
      </c>
      <c r="DD51" s="227">
        <f t="shared" si="132"/>
        <v>4883.67</v>
      </c>
      <c r="DE51" s="227">
        <f t="shared" si="133"/>
        <v>5064.76</v>
      </c>
      <c r="DF51" s="227">
        <f t="shared" si="134"/>
        <v>5708</v>
      </c>
      <c r="DG51" s="227">
        <f t="shared" si="135"/>
        <v>6195.14</v>
      </c>
      <c r="DH51" s="227">
        <v>6380.99</v>
      </c>
      <c r="DJ51" s="115">
        <f t="shared" ref="DJ51:DJ68" si="201">DB51</f>
        <v>15</v>
      </c>
      <c r="DK51" s="37">
        <f t="shared" ref="DK51:DK68" si="202">IF(DC51="-","-",IF(ROUND(DC51*$DK$37,2)-DC51&lt;$DK$34,DC51+$DK$34,ROUND(DC51*$DK$37,2)))</f>
        <v>4600.92</v>
      </c>
      <c r="DL51" s="112">
        <f t="shared" ref="DL51:DL68" si="203">IF(DD51="-","-",IF(ROUND(DD51*$DK$36,2)-DD51&lt;$DK$34,DD51+$DK$34,ROUND(DD51*$DK$36,2)))</f>
        <v>5030.18</v>
      </c>
      <c r="DM51" s="112">
        <f t="shared" ref="DM51:DM68" si="204">IF(DE51="-","-",IF(ROUND(DE51*$DK$36,2)-DE51&lt;$DK$34,DE51+$DK$34,ROUND(DE51*$DK$36,2)))</f>
        <v>5216.7</v>
      </c>
      <c r="DN51" s="112">
        <f t="shared" ref="DN51:DN68" si="205">IF(DF51="-","-",IF(ROUND(DF51*$DK$36,2)-DF51&lt;$DK$34,DF51+$DK$34,ROUND(DF51*$DK$36,2)))</f>
        <v>5879.24</v>
      </c>
      <c r="DO51" s="112">
        <f t="shared" ref="DO51:DO68" si="206">IF(DG51="-","-",IF(ROUND(DG51*$DK$36,2)-DG51&lt;$DK$34,DG51+$DK$34,ROUND(DG51*$DK$36,2)))</f>
        <v>6380.99</v>
      </c>
      <c r="DP51" s="112">
        <f t="shared" ref="DP51:DP68" si="207">IF(DH51="-","-",IF(ROUND(DH51*$DK$36,2)-DH51&lt;$DK$34,DH51+$DK$34,ROUND(DH51*$DK$36,2)))</f>
        <v>6572.42</v>
      </c>
      <c r="DR51" s="115">
        <f t="shared" ref="DR51:DR68" si="208">DJ51</f>
        <v>15</v>
      </c>
      <c r="DS51" s="37">
        <f t="shared" ref="DS51:DS68" si="209">DK51</f>
        <v>4600.92</v>
      </c>
      <c r="DT51" s="37">
        <f t="shared" si="149"/>
        <v>5030.18</v>
      </c>
      <c r="DU51" s="37">
        <f t="shared" si="149"/>
        <v>5216.7</v>
      </c>
      <c r="DV51" s="37">
        <f t="shared" si="149"/>
        <v>5879.24</v>
      </c>
      <c r="DW51" s="37">
        <f t="shared" si="149"/>
        <v>6380.99</v>
      </c>
      <c r="DX51" s="37">
        <f t="shared" si="149"/>
        <v>6572.42</v>
      </c>
      <c r="DZ51" s="115">
        <f t="shared" ref="DZ51:DZ68" si="210">DR51</f>
        <v>15</v>
      </c>
      <c r="EA51" s="37">
        <f t="shared" ref="EA51:EA68" si="211">IF(DS51="-","-",IF(ROUND(DS51*$EA$37,2)-DS51&lt;$EA$34,DS51+$EA$34,ROUND(DS51*$EA$37,2)))</f>
        <v>4798.76</v>
      </c>
      <c r="EB51" s="112">
        <f t="shared" ref="EA51:EB68" si="212">IF(DT51="-","-",IF(ROUND(DT51*$EA$36,2)-DT51&lt;$EA$34,DT51+$EA$34,ROUND(DT51*$EA$36,2)))</f>
        <v>5187.12</v>
      </c>
      <c r="EC51" s="112">
        <f t="shared" ref="EC51:EC68" si="213">IF(DU51="-","-",IF(ROUND(DU51*$EA$36,2)-DU51&lt;$EA$34,DU51+$EA$34,ROUND(DU51*$EA$36,2)))</f>
        <v>5379.46</v>
      </c>
      <c r="ED51" s="112">
        <f t="shared" ref="ED51:ED68" si="214">IF(DV51="-","-",IF(ROUND(DV51*$EA$36,2)-DV51&lt;$EA$34,DV51+$EA$34,ROUND(DV51*$EA$36,2)))</f>
        <v>6062.67</v>
      </c>
      <c r="EE51" s="112">
        <f t="shared" ref="EE51:EE68" si="215">IF(DW51="-","-",IF(ROUND(DW51*$EA$36,2)-DW51&lt;$EA$34,DW51+$EA$34,ROUND(DW51*$EA$36,2)))</f>
        <v>6580.08</v>
      </c>
      <c r="EF51" s="112">
        <f t="shared" ref="EF51:EF68" si="216">IF(DX51="-","-",IF(ROUND(DX51*$EA$36,2)-DX51&lt;$EA$34,DX51+$EA$34,ROUND(DX51*$EA$36,2)))</f>
        <v>6777.48</v>
      </c>
      <c r="EH51" s="115">
        <f t="shared" ref="EH51:EH68" si="217">DZ51</f>
        <v>15</v>
      </c>
      <c r="EI51" s="37">
        <f t="shared" ref="EI51:EI65" si="218">IF(EA51="-","-",IF(ROUND(EA51*$EI$37,2)-EA51&lt;$EI$34,EA51+$EI$34,ROUND(EA51*$EI$37,2)))</f>
        <v>4885.1400000000003</v>
      </c>
      <c r="EJ51" s="112">
        <f t="shared" ref="EI51:EJ68" si="219">IF(EB51="-","-",IF(ROUND(EB51*$EI$36,2)-EB51&lt;$EI$34,EB51+$EI$34,ROUND(EB51*$EI$36,2)))</f>
        <v>5254.55</v>
      </c>
      <c r="EK51" s="112">
        <f t="shared" ref="EK51:EK68" si="220">IF(EC51="-","-",IF(ROUND(EC51*$EI$36,2)-EC51&lt;$EI$34,EC51+$EI$34,ROUND(EC51*$EI$36,2)))</f>
        <v>5449.39</v>
      </c>
      <c r="EL51" s="112">
        <f t="shared" ref="EL51:EL68" si="221">IF(ED51="-","-",IF(ROUND(ED51*$EI$36,2)-ED51&lt;$EI$34,ED51+$EI$34,ROUND(ED51*$EI$36,2)))</f>
        <v>6141.48</v>
      </c>
      <c r="EM51" s="112">
        <f t="shared" ref="EM51:EM68" si="222">IF(EE51="-","-",IF(ROUND(EE51*$EI$36,2)-EE51&lt;$EI$34,EE51+$EI$34,ROUND(EE51*$EI$36,2)))</f>
        <v>6665.62</v>
      </c>
      <c r="EN51" s="112">
        <f t="shared" ref="EN51:EN68" si="223">IF(EF51="-","-",IF(ROUND(EF51*$EI$36,2)-EF51&lt;$EI$34,EF51+$EI$34,ROUND(EF51*$EI$36,2)))</f>
        <v>6865.59</v>
      </c>
    </row>
    <row r="52" spans="2:144">
      <c r="B52" s="75">
        <f t="shared" si="122"/>
        <v>11</v>
      </c>
      <c r="C52" s="392">
        <f t="shared" si="140"/>
        <v>2248</v>
      </c>
      <c r="D52" s="116">
        <f t="shared" si="140"/>
        <v>2498</v>
      </c>
      <c r="E52" s="116">
        <f t="shared" si="140"/>
        <v>2683</v>
      </c>
      <c r="F52" s="116">
        <f t="shared" si="140"/>
        <v>2960</v>
      </c>
      <c r="G52" s="116">
        <f t="shared" si="140"/>
        <v>3362</v>
      </c>
      <c r="H52" s="393" t="str">
        <f t="shared" si="140"/>
        <v>-</v>
      </c>
      <c r="AO52" s="159"/>
      <c r="AP52" s="115">
        <f t="shared" si="141"/>
        <v>14</v>
      </c>
      <c r="AQ52" s="114">
        <f t="shared" si="150"/>
        <v>3462.76</v>
      </c>
      <c r="AR52" s="114">
        <f t="shared" si="151"/>
        <v>3842.68</v>
      </c>
      <c r="AS52" s="114">
        <f t="shared" si="152"/>
        <v>4065.21</v>
      </c>
      <c r="AT52" s="114">
        <f t="shared" si="153"/>
        <v>4401.71</v>
      </c>
      <c r="AU52" s="114">
        <f t="shared" si="154"/>
        <v>4917.33</v>
      </c>
      <c r="AV52" s="114" t="str">
        <f t="shared" si="155"/>
        <v>-</v>
      </c>
      <c r="AW52" s="159"/>
      <c r="AX52" s="115">
        <f t="shared" si="156"/>
        <v>14</v>
      </c>
      <c r="AY52" s="112">
        <f t="shared" si="157"/>
        <v>3559.72</v>
      </c>
      <c r="AZ52" s="112">
        <f t="shared" si="158"/>
        <v>3950.28</v>
      </c>
      <c r="BA52" s="112">
        <f t="shared" si="159"/>
        <v>4179.04</v>
      </c>
      <c r="BB52" s="112">
        <f t="shared" si="160"/>
        <v>4524.96</v>
      </c>
      <c r="BC52" s="112">
        <f t="shared" si="161"/>
        <v>5055.0200000000004</v>
      </c>
      <c r="BD52" s="112" t="str">
        <f t="shared" si="162"/>
        <v>-</v>
      </c>
      <c r="BE52" s="159"/>
      <c r="BF52" s="115">
        <f t="shared" si="163"/>
        <v>14</v>
      </c>
      <c r="BG52" s="227">
        <f t="shared" si="164"/>
        <v>3659.39</v>
      </c>
      <c r="BH52" s="227">
        <f t="shared" si="165"/>
        <v>4060.89</v>
      </c>
      <c r="BI52" s="227">
        <f t="shared" si="166"/>
        <v>4296.05</v>
      </c>
      <c r="BJ52" s="227">
        <f t="shared" si="167"/>
        <v>4651.66</v>
      </c>
      <c r="BK52" s="227">
        <f t="shared" si="168"/>
        <v>5196.5600000000004</v>
      </c>
      <c r="BL52" s="227" t="str">
        <f t="shared" si="169"/>
        <v>-</v>
      </c>
      <c r="BN52" s="115">
        <f t="shared" si="170"/>
        <v>14</v>
      </c>
      <c r="BO52" s="227">
        <f t="shared" si="171"/>
        <v>3732.58</v>
      </c>
      <c r="BP52" s="227">
        <f t="shared" si="172"/>
        <v>4142.1099999999997</v>
      </c>
      <c r="BQ52" s="227">
        <f t="shared" si="173"/>
        <v>4381.97</v>
      </c>
      <c r="BR52" s="227">
        <f t="shared" si="174"/>
        <v>4744.6899999999996</v>
      </c>
      <c r="BS52" s="227">
        <f t="shared" si="175"/>
        <v>5300.49</v>
      </c>
      <c r="BT52" s="227" t="str">
        <f t="shared" si="176"/>
        <v>-</v>
      </c>
      <c r="BU52" s="380">
        <v>0</v>
      </c>
      <c r="BV52" s="115">
        <f t="shared" si="177"/>
        <v>14</v>
      </c>
      <c r="BW52" s="227">
        <f t="shared" si="178"/>
        <v>3822.16</v>
      </c>
      <c r="BX52" s="227">
        <f t="shared" si="179"/>
        <v>4241.5200000000004</v>
      </c>
      <c r="BY52" s="227">
        <f t="shared" si="180"/>
        <v>4487.1400000000003</v>
      </c>
      <c r="BZ52" s="227">
        <f t="shared" si="181"/>
        <v>4858.5600000000004</v>
      </c>
      <c r="CA52" s="227">
        <f t="shared" si="182"/>
        <v>5427.7</v>
      </c>
      <c r="CB52" s="227" t="str">
        <f t="shared" si="183"/>
        <v>-</v>
      </c>
      <c r="CC52" s="161"/>
      <c r="CD52" s="115">
        <f t="shared" si="184"/>
        <v>14</v>
      </c>
      <c r="CE52" s="227">
        <f t="shared" si="185"/>
        <v>3898.6</v>
      </c>
      <c r="CF52" s="227">
        <f t="shared" si="186"/>
        <v>4326.3500000000004</v>
      </c>
      <c r="CG52" s="227">
        <f t="shared" si="187"/>
        <v>4576.88</v>
      </c>
      <c r="CH52" s="227">
        <f t="shared" si="188"/>
        <v>4955.7299999999996</v>
      </c>
      <c r="CI52" s="227">
        <f t="shared" si="189"/>
        <v>5536.25</v>
      </c>
      <c r="CJ52" s="227" t="str">
        <f t="shared" si="190"/>
        <v>-</v>
      </c>
      <c r="CK52" s="159"/>
      <c r="CL52" s="115">
        <f t="shared" si="191"/>
        <v>14</v>
      </c>
      <c r="CM52" s="227">
        <f t="shared" si="192"/>
        <v>3898.6</v>
      </c>
      <c r="CN52" s="227">
        <f t="shared" si="193"/>
        <v>4326.3500000000004</v>
      </c>
      <c r="CO52" s="227">
        <f t="shared" si="194"/>
        <v>4576.88</v>
      </c>
      <c r="CP52" s="227">
        <f t="shared" si="195"/>
        <v>4955.7299999999996</v>
      </c>
      <c r="CQ52" s="227">
        <f t="shared" si="196"/>
        <v>5536.25</v>
      </c>
      <c r="CR52" s="227">
        <v>5742.92</v>
      </c>
      <c r="CS52" s="159"/>
      <c r="CT52" s="115">
        <f t="shared" si="197"/>
        <v>14</v>
      </c>
      <c r="CU52" s="227">
        <f t="shared" si="198"/>
        <v>3984.37</v>
      </c>
      <c r="CV52" s="227">
        <f t="shared" si="148"/>
        <v>4421.53</v>
      </c>
      <c r="CW52" s="227">
        <f t="shared" si="148"/>
        <v>4677.57</v>
      </c>
      <c r="CX52" s="227">
        <f t="shared" si="148"/>
        <v>5064.76</v>
      </c>
      <c r="CY52" s="227">
        <f t="shared" si="148"/>
        <v>5658.05</v>
      </c>
      <c r="CZ52" s="227">
        <f t="shared" ref="CZ52:CZ58" si="224">CR52</f>
        <v>5742.92</v>
      </c>
      <c r="DB52" s="115">
        <f t="shared" si="199"/>
        <v>14</v>
      </c>
      <c r="DC52" s="227">
        <f t="shared" si="200"/>
        <v>3984.37</v>
      </c>
      <c r="DD52" s="227">
        <f t="shared" si="132"/>
        <v>4421.53</v>
      </c>
      <c r="DE52" s="227">
        <f t="shared" si="133"/>
        <v>4677.57</v>
      </c>
      <c r="DF52" s="227">
        <f t="shared" si="134"/>
        <v>5064.76</v>
      </c>
      <c r="DG52" s="227">
        <f t="shared" si="135"/>
        <v>5658.05</v>
      </c>
      <c r="DH52" s="227">
        <v>5827.79</v>
      </c>
      <c r="DJ52" s="115">
        <f t="shared" si="201"/>
        <v>14</v>
      </c>
      <c r="DK52" s="37">
        <f t="shared" si="202"/>
        <v>4163.67</v>
      </c>
      <c r="DL52" s="112">
        <f t="shared" si="203"/>
        <v>4554.18</v>
      </c>
      <c r="DM52" s="112">
        <f t="shared" si="204"/>
        <v>4817.8999999999996</v>
      </c>
      <c r="DN52" s="112">
        <f t="shared" si="205"/>
        <v>5216.7</v>
      </c>
      <c r="DO52" s="112">
        <f t="shared" si="206"/>
        <v>5827.79</v>
      </c>
      <c r="DP52" s="112">
        <f t="shared" si="207"/>
        <v>6002.62</v>
      </c>
      <c r="DR52" s="115">
        <f t="shared" si="208"/>
        <v>14</v>
      </c>
      <c r="DS52" s="37">
        <f t="shared" si="209"/>
        <v>4163.67</v>
      </c>
      <c r="DT52" s="37">
        <f t="shared" si="149"/>
        <v>4554.18</v>
      </c>
      <c r="DU52" s="37">
        <f t="shared" si="149"/>
        <v>4817.8999999999996</v>
      </c>
      <c r="DV52" s="37">
        <f t="shared" si="149"/>
        <v>5216.7</v>
      </c>
      <c r="DW52" s="37">
        <f t="shared" si="149"/>
        <v>5827.79</v>
      </c>
      <c r="DX52" s="37">
        <f t="shared" si="149"/>
        <v>6002.62</v>
      </c>
      <c r="DZ52" s="115">
        <f t="shared" si="210"/>
        <v>14</v>
      </c>
      <c r="EA52" s="37">
        <f t="shared" si="211"/>
        <v>4342.71</v>
      </c>
      <c r="EB52" s="112">
        <f t="shared" si="212"/>
        <v>4696.2700000000004</v>
      </c>
      <c r="EC52" s="112">
        <f t="shared" si="213"/>
        <v>4968.22</v>
      </c>
      <c r="ED52" s="112">
        <f t="shared" si="214"/>
        <v>5379.46</v>
      </c>
      <c r="EE52" s="112">
        <f t="shared" si="215"/>
        <v>6009.62</v>
      </c>
      <c r="EF52" s="112">
        <f t="shared" si="216"/>
        <v>6189.9</v>
      </c>
      <c r="EH52" s="115">
        <f t="shared" si="217"/>
        <v>14</v>
      </c>
      <c r="EI52" s="37">
        <f t="shared" si="218"/>
        <v>4420.88</v>
      </c>
      <c r="EJ52" s="112">
        <f t="shared" si="219"/>
        <v>4757.32</v>
      </c>
      <c r="EK52" s="112">
        <f t="shared" si="220"/>
        <v>5032.8100000000004</v>
      </c>
      <c r="EL52" s="112">
        <f t="shared" si="221"/>
        <v>5449.39</v>
      </c>
      <c r="EM52" s="112">
        <f t="shared" si="222"/>
        <v>6087.75</v>
      </c>
      <c r="EN52" s="112">
        <f t="shared" si="223"/>
        <v>6270.37</v>
      </c>
    </row>
    <row r="53" spans="2:144">
      <c r="B53" s="75">
        <f t="shared" si="122"/>
        <v>10</v>
      </c>
      <c r="C53" s="392">
        <f t="shared" si="140"/>
        <v>2165</v>
      </c>
      <c r="D53" s="116">
        <f t="shared" si="140"/>
        <v>2405</v>
      </c>
      <c r="E53" s="116">
        <f t="shared" si="140"/>
        <v>2590</v>
      </c>
      <c r="F53" s="116">
        <f t="shared" si="140"/>
        <v>2775</v>
      </c>
      <c r="G53" s="116">
        <f t="shared" si="140"/>
        <v>3127</v>
      </c>
      <c r="H53" s="393" t="str">
        <f t="shared" si="140"/>
        <v>-</v>
      </c>
      <c r="AO53" s="159"/>
      <c r="AP53" s="115" t="str">
        <f t="shared" si="141"/>
        <v>13Ü</v>
      </c>
      <c r="AQ53" s="114" t="str">
        <f t="shared" si="150"/>
        <v>-</v>
      </c>
      <c r="AR53" s="114">
        <f t="shared" si="151"/>
        <v>3544.17</v>
      </c>
      <c r="AS53" s="114">
        <f t="shared" si="152"/>
        <v>3734.14</v>
      </c>
      <c r="AT53" s="114">
        <f t="shared" si="153"/>
        <v>4065.21</v>
      </c>
      <c r="AU53" s="114">
        <f t="shared" si="154"/>
        <v>4401.71</v>
      </c>
      <c r="AV53" s="114">
        <f t="shared" si="155"/>
        <v>4917.33</v>
      </c>
      <c r="AW53" s="159"/>
      <c r="AX53" s="115" t="str">
        <f t="shared" si="156"/>
        <v>13Ü</v>
      </c>
      <c r="AY53" s="112" t="str">
        <f t="shared" si="157"/>
        <v>-</v>
      </c>
      <c r="AZ53" s="112">
        <f t="shared" si="158"/>
        <v>3643.41</v>
      </c>
      <c r="BA53" s="112">
        <f t="shared" si="159"/>
        <v>3838.7</v>
      </c>
      <c r="BB53" s="112">
        <f t="shared" si="160"/>
        <v>4179.04</v>
      </c>
      <c r="BC53" s="112">
        <f t="shared" si="161"/>
        <v>4524.96</v>
      </c>
      <c r="BD53" s="112">
        <f t="shared" si="162"/>
        <v>5055.0200000000004</v>
      </c>
      <c r="BE53" s="159"/>
      <c r="BF53" s="115" t="str">
        <f t="shared" si="163"/>
        <v>13Ü</v>
      </c>
      <c r="BG53" s="227" t="str">
        <f t="shared" si="164"/>
        <v>-</v>
      </c>
      <c r="BH53" s="227">
        <f t="shared" si="165"/>
        <v>3745.43</v>
      </c>
      <c r="BI53" s="227">
        <f t="shared" si="166"/>
        <v>3946.18</v>
      </c>
      <c r="BJ53" s="227">
        <f t="shared" si="167"/>
        <v>4296.05</v>
      </c>
      <c r="BK53" s="227">
        <f t="shared" si="168"/>
        <v>4651.66</v>
      </c>
      <c r="BL53" s="227">
        <f t="shared" si="169"/>
        <v>5196.5600000000004</v>
      </c>
      <c r="BN53" s="115" t="str">
        <f t="shared" si="170"/>
        <v>13Ü</v>
      </c>
      <c r="BO53" s="227" t="str">
        <f t="shared" si="171"/>
        <v>-</v>
      </c>
      <c r="BP53" s="227">
        <f t="shared" si="172"/>
        <v>3820.34</v>
      </c>
      <c r="BQ53" s="227">
        <f t="shared" si="173"/>
        <v>4025.1</v>
      </c>
      <c r="BR53" s="227">
        <f t="shared" si="174"/>
        <v>4381.97</v>
      </c>
      <c r="BS53" s="227">
        <f t="shared" si="175"/>
        <v>4744.6899999999996</v>
      </c>
      <c r="BT53" s="227">
        <f t="shared" si="176"/>
        <v>5300.49</v>
      </c>
      <c r="BU53" s="380">
        <v>0</v>
      </c>
      <c r="BV53" s="115" t="str">
        <f t="shared" si="177"/>
        <v>13Ü</v>
      </c>
      <c r="BW53" s="227" t="str">
        <f t="shared" si="178"/>
        <v>-</v>
      </c>
      <c r="BX53" s="227">
        <f t="shared" si="179"/>
        <v>3912.03</v>
      </c>
      <c r="BY53" s="227">
        <f t="shared" si="180"/>
        <v>4121.7</v>
      </c>
      <c r="BZ53" s="227">
        <f t="shared" si="181"/>
        <v>4487.1400000000003</v>
      </c>
      <c r="CA53" s="227">
        <f t="shared" si="182"/>
        <v>4858.5600000000004</v>
      </c>
      <c r="CB53" s="227">
        <f t="shared" si="183"/>
        <v>5427.7</v>
      </c>
      <c r="CC53" s="161"/>
      <c r="CD53" s="115" t="str">
        <f t="shared" si="184"/>
        <v>13Ü</v>
      </c>
      <c r="CE53" s="227">
        <f>IF(BX53="-","-",IF(ROUND(BX53*$CE$36,2)-BX53&lt;$CE$34,BX53+$CE$34,ROUND(BX53*$CE$36,2)))</f>
        <v>3990.27</v>
      </c>
      <c r="CF53" s="227">
        <f>IF(BY53="-","-",IF(ROUND(BY53*$CE$36,2)-BY53&lt;$CE$34,BY53+$CE$34,ROUND(BY53*$CE$36,2)))</f>
        <v>4204.13</v>
      </c>
      <c r="CG53" s="227">
        <f>IF(BZ53="-","-",IF(ROUND(BZ53*$CE$36,2)-BZ53&lt;$CE$34,BZ53+$CE$34,ROUND(BZ53*$CE$36,2)))</f>
        <v>4576.88</v>
      </c>
      <c r="CH53" s="227">
        <f>IF(CA53="-","-",IF(ROUND(CA53*$CE$36,2)-CA53&lt;$CE$34,CA53+$CE$34,ROUND(CA53*$CE$36,2)))</f>
        <v>4955.7299999999996</v>
      </c>
      <c r="CI53" s="227">
        <f>IF(CB53="-","-",IF(ROUND(CB53*$CE$36,2)-CB53&lt;$CE$34,CB53+$CE$34,ROUND(CB53*$CE$36,2)))</f>
        <v>5536.25</v>
      </c>
      <c r="CJ53" s="227" t="s">
        <v>15</v>
      </c>
      <c r="CK53" s="159"/>
      <c r="CL53" s="115" t="str">
        <f t="shared" si="191"/>
        <v>13Ü</v>
      </c>
      <c r="CM53" s="227">
        <f t="shared" si="192"/>
        <v>3990.27</v>
      </c>
      <c r="CN53" s="227">
        <f t="shared" si="193"/>
        <v>4204.13</v>
      </c>
      <c r="CO53" s="227">
        <f t="shared" si="194"/>
        <v>4576.88</v>
      </c>
      <c r="CP53" s="227">
        <f t="shared" si="195"/>
        <v>4955.7299999999996</v>
      </c>
      <c r="CQ53" s="227">
        <f t="shared" si="196"/>
        <v>5536.25</v>
      </c>
      <c r="CR53" s="227">
        <v>5742.92</v>
      </c>
      <c r="CS53" s="159"/>
      <c r="CT53" s="115" t="str">
        <f t="shared" si="197"/>
        <v>13Ü</v>
      </c>
      <c r="CU53" s="227">
        <f t="shared" si="198"/>
        <v>4078.06</v>
      </c>
      <c r="CV53" s="227">
        <f t="shared" si="148"/>
        <v>4296.62</v>
      </c>
      <c r="CW53" s="227">
        <f t="shared" si="148"/>
        <v>4677.57</v>
      </c>
      <c r="CX53" s="227">
        <f t="shared" si="148"/>
        <v>5064.76</v>
      </c>
      <c r="CY53" s="227">
        <f t="shared" si="148"/>
        <v>5658.05</v>
      </c>
      <c r="CZ53" s="227">
        <f t="shared" si="224"/>
        <v>5742.92</v>
      </c>
      <c r="DB53" s="115" t="str">
        <f t="shared" si="199"/>
        <v>13Ü</v>
      </c>
      <c r="DC53" s="227">
        <f t="shared" si="200"/>
        <v>4078.06</v>
      </c>
      <c r="DD53" s="227">
        <f t="shared" si="132"/>
        <v>4296.62</v>
      </c>
      <c r="DE53" s="227">
        <f t="shared" si="133"/>
        <v>4677.57</v>
      </c>
      <c r="DF53" s="227">
        <f t="shared" si="134"/>
        <v>5064.76</v>
      </c>
      <c r="DG53" s="227">
        <f t="shared" si="135"/>
        <v>5658.05</v>
      </c>
      <c r="DH53" s="227">
        <v>5827.79</v>
      </c>
      <c r="DJ53" s="115" t="str">
        <f t="shared" si="201"/>
        <v>13Ü</v>
      </c>
      <c r="DK53" s="442">
        <f>IF(DC53="-","-",IF(ROUND(DC53*$DK$36,2)-DC53&lt;$DK$34,DC53+$DK$34,ROUND(DC53*$DK$36,2)))</f>
        <v>4200.3999999999996</v>
      </c>
      <c r="DL53" s="112">
        <f t="shared" si="203"/>
        <v>4425.5200000000004</v>
      </c>
      <c r="DM53" s="112">
        <f t="shared" si="204"/>
        <v>4817.8999999999996</v>
      </c>
      <c r="DN53" s="112">
        <f t="shared" si="205"/>
        <v>5216.7</v>
      </c>
      <c r="DO53" s="112">
        <f t="shared" si="206"/>
        <v>5827.79</v>
      </c>
      <c r="DP53" s="112">
        <f t="shared" si="207"/>
        <v>6002.62</v>
      </c>
      <c r="DR53" s="115" t="str">
        <f t="shared" si="208"/>
        <v>13Ü</v>
      </c>
      <c r="DS53" s="442">
        <f t="shared" si="209"/>
        <v>4200.3999999999996</v>
      </c>
      <c r="DT53" s="37">
        <f t="shared" si="149"/>
        <v>4425.5200000000004</v>
      </c>
      <c r="DU53" s="37">
        <f t="shared" si="149"/>
        <v>4817.8999999999996</v>
      </c>
      <c r="DV53" s="37">
        <f t="shared" si="149"/>
        <v>5216.7</v>
      </c>
      <c r="DW53" s="37">
        <f t="shared" si="149"/>
        <v>5827.79</v>
      </c>
      <c r="DX53" s="37">
        <f t="shared" si="149"/>
        <v>6002.62</v>
      </c>
      <c r="DZ53" s="115" t="str">
        <f t="shared" si="210"/>
        <v>13Ü</v>
      </c>
      <c r="EA53" s="545">
        <f t="shared" si="212"/>
        <v>4331.45</v>
      </c>
      <c r="EB53" s="112">
        <f t="shared" si="212"/>
        <v>4563.6000000000004</v>
      </c>
      <c r="EC53" s="112">
        <f t="shared" si="213"/>
        <v>4968.22</v>
      </c>
      <c r="ED53" s="112">
        <f t="shared" si="214"/>
        <v>5379.46</v>
      </c>
      <c r="EE53" s="112">
        <f t="shared" si="215"/>
        <v>6009.62</v>
      </c>
      <c r="EF53" s="112">
        <f t="shared" si="216"/>
        <v>6189.9</v>
      </c>
      <c r="EH53" s="115" t="str">
        <f t="shared" si="217"/>
        <v>13Ü</v>
      </c>
      <c r="EI53" s="545">
        <f t="shared" si="219"/>
        <v>4387.76</v>
      </c>
      <c r="EJ53" s="112">
        <f t="shared" si="219"/>
        <v>4622.93</v>
      </c>
      <c r="EK53" s="112">
        <f t="shared" si="220"/>
        <v>5032.8100000000004</v>
      </c>
      <c r="EL53" s="112">
        <f t="shared" si="221"/>
        <v>5449.39</v>
      </c>
      <c r="EM53" s="112">
        <f t="shared" si="222"/>
        <v>6087.75</v>
      </c>
      <c r="EN53" s="112">
        <f t="shared" si="223"/>
        <v>6270.37</v>
      </c>
    </row>
    <row r="54" spans="2:144">
      <c r="B54" s="75">
        <f t="shared" si="122"/>
        <v>9</v>
      </c>
      <c r="C54" s="392">
        <f t="shared" si="140"/>
        <v>1906</v>
      </c>
      <c r="D54" s="116">
        <f t="shared" si="140"/>
        <v>2118</v>
      </c>
      <c r="E54" s="116">
        <f t="shared" si="140"/>
        <v>2229</v>
      </c>
      <c r="F54" s="116">
        <f t="shared" si="140"/>
        <v>2525</v>
      </c>
      <c r="G54" s="116">
        <f t="shared" si="140"/>
        <v>2757</v>
      </c>
      <c r="H54" s="393" t="str">
        <f t="shared" si="140"/>
        <v>-</v>
      </c>
      <c r="AO54" s="159"/>
      <c r="AP54" s="115">
        <f t="shared" si="141"/>
        <v>13</v>
      </c>
      <c r="AQ54" s="114">
        <f t="shared" si="150"/>
        <v>3191.38</v>
      </c>
      <c r="AR54" s="114">
        <f t="shared" si="151"/>
        <v>3544.17</v>
      </c>
      <c r="AS54" s="114">
        <f t="shared" si="152"/>
        <v>3734.14</v>
      </c>
      <c r="AT54" s="114">
        <f t="shared" si="153"/>
        <v>4103.2</v>
      </c>
      <c r="AU54" s="114">
        <f t="shared" si="154"/>
        <v>4613.3900000000003</v>
      </c>
      <c r="AV54" s="114" t="str">
        <f t="shared" si="155"/>
        <v>-</v>
      </c>
      <c r="AW54" s="159"/>
      <c r="AX54" s="115">
        <f t="shared" si="156"/>
        <v>13</v>
      </c>
      <c r="AY54" s="112">
        <f t="shared" si="157"/>
        <v>3280.74</v>
      </c>
      <c r="AZ54" s="112">
        <f t="shared" si="158"/>
        <v>3643.41</v>
      </c>
      <c r="BA54" s="112">
        <f t="shared" si="159"/>
        <v>3838.7</v>
      </c>
      <c r="BB54" s="112">
        <f t="shared" si="160"/>
        <v>4218.09</v>
      </c>
      <c r="BC54" s="112">
        <f t="shared" si="161"/>
        <v>4742.5600000000004</v>
      </c>
      <c r="BD54" s="112" t="str">
        <f t="shared" si="162"/>
        <v>-</v>
      </c>
      <c r="BE54" s="159"/>
      <c r="BF54" s="115">
        <f t="shared" si="163"/>
        <v>13</v>
      </c>
      <c r="BG54" s="227">
        <f t="shared" si="164"/>
        <v>3372.6</v>
      </c>
      <c r="BH54" s="227">
        <f t="shared" si="165"/>
        <v>3745.43</v>
      </c>
      <c r="BI54" s="227">
        <f t="shared" si="166"/>
        <v>3946.18</v>
      </c>
      <c r="BJ54" s="227">
        <f t="shared" si="167"/>
        <v>4336.2</v>
      </c>
      <c r="BK54" s="227">
        <f t="shared" si="168"/>
        <v>4875.3500000000004</v>
      </c>
      <c r="BL54" s="227" t="str">
        <f t="shared" si="169"/>
        <v>-</v>
      </c>
      <c r="BN54" s="115">
        <f t="shared" si="170"/>
        <v>13</v>
      </c>
      <c r="BO54" s="227">
        <f t="shared" si="171"/>
        <v>3440.05</v>
      </c>
      <c r="BP54" s="227">
        <f t="shared" si="172"/>
        <v>3820.34</v>
      </c>
      <c r="BQ54" s="227">
        <f t="shared" si="173"/>
        <v>4025.1</v>
      </c>
      <c r="BR54" s="227">
        <f t="shared" si="174"/>
        <v>4422.92</v>
      </c>
      <c r="BS54" s="227">
        <f t="shared" si="175"/>
        <v>4972.8599999999997</v>
      </c>
      <c r="BT54" s="227" t="str">
        <f t="shared" si="176"/>
        <v>-</v>
      </c>
      <c r="BU54" s="380">
        <v>0</v>
      </c>
      <c r="BV54" s="115">
        <f t="shared" si="177"/>
        <v>13</v>
      </c>
      <c r="BW54" s="227">
        <f t="shared" si="178"/>
        <v>3522.61</v>
      </c>
      <c r="BX54" s="227">
        <f t="shared" si="179"/>
        <v>3912.03</v>
      </c>
      <c r="BY54" s="227">
        <f t="shared" si="180"/>
        <v>4121.7</v>
      </c>
      <c r="BZ54" s="227">
        <f t="shared" si="181"/>
        <v>4529.07</v>
      </c>
      <c r="CA54" s="227">
        <f t="shared" si="182"/>
        <v>5092.21</v>
      </c>
      <c r="CB54" s="227" t="str">
        <f t="shared" si="183"/>
        <v>-</v>
      </c>
      <c r="CC54" s="161"/>
      <c r="CD54" s="115">
        <f t="shared" si="184"/>
        <v>13</v>
      </c>
      <c r="CE54" s="227">
        <f t="shared" si="185"/>
        <v>3597.61</v>
      </c>
      <c r="CF54" s="227">
        <f t="shared" si="186"/>
        <v>3990.27</v>
      </c>
      <c r="CG54" s="227">
        <f t="shared" si="187"/>
        <v>4204.13</v>
      </c>
      <c r="CH54" s="227">
        <f t="shared" si="188"/>
        <v>4619.6499999999996</v>
      </c>
      <c r="CI54" s="227">
        <f t="shared" si="189"/>
        <v>5194.05</v>
      </c>
      <c r="CJ54" s="227" t="str">
        <f t="shared" si="190"/>
        <v>-</v>
      </c>
      <c r="CK54" s="159"/>
      <c r="CL54" s="115">
        <f t="shared" si="191"/>
        <v>13</v>
      </c>
      <c r="CM54" s="227">
        <f t="shared" si="192"/>
        <v>3597.61</v>
      </c>
      <c r="CN54" s="227">
        <f t="shared" si="193"/>
        <v>3990.27</v>
      </c>
      <c r="CO54" s="227">
        <f t="shared" si="194"/>
        <v>4204.13</v>
      </c>
      <c r="CP54" s="227">
        <f t="shared" si="195"/>
        <v>4619.6499999999996</v>
      </c>
      <c r="CQ54" s="227">
        <f t="shared" si="196"/>
        <v>5194.05</v>
      </c>
      <c r="CR54" s="227">
        <v>5387.94</v>
      </c>
      <c r="CS54" s="159"/>
      <c r="CT54" s="115">
        <f t="shared" si="197"/>
        <v>13</v>
      </c>
      <c r="CU54" s="227">
        <f t="shared" si="198"/>
        <v>3676.76</v>
      </c>
      <c r="CV54" s="227">
        <f t="shared" si="148"/>
        <v>4078.06</v>
      </c>
      <c r="CW54" s="227">
        <f t="shared" si="148"/>
        <v>4296.62</v>
      </c>
      <c r="CX54" s="227">
        <f t="shared" si="148"/>
        <v>4721.28</v>
      </c>
      <c r="CY54" s="227">
        <f t="shared" si="148"/>
        <v>5308.32</v>
      </c>
      <c r="CZ54" s="227">
        <f t="shared" si="224"/>
        <v>5387.94</v>
      </c>
      <c r="DB54" s="115">
        <f t="shared" si="199"/>
        <v>13</v>
      </c>
      <c r="DC54" s="227">
        <f t="shared" si="200"/>
        <v>3676.76</v>
      </c>
      <c r="DD54" s="227">
        <f t="shared" si="132"/>
        <v>4078.06</v>
      </c>
      <c r="DE54" s="227">
        <f t="shared" si="133"/>
        <v>4296.62</v>
      </c>
      <c r="DF54" s="227">
        <f t="shared" si="134"/>
        <v>4721.28</v>
      </c>
      <c r="DG54" s="227">
        <f t="shared" si="135"/>
        <v>5308.32</v>
      </c>
      <c r="DH54" s="227">
        <v>5467.57</v>
      </c>
      <c r="DJ54" s="115">
        <f t="shared" si="201"/>
        <v>13</v>
      </c>
      <c r="DK54" s="37">
        <f t="shared" si="202"/>
        <v>3842.21</v>
      </c>
      <c r="DL54" s="112">
        <f t="shared" si="203"/>
        <v>4200.3999999999996</v>
      </c>
      <c r="DM54" s="112">
        <f t="shared" si="204"/>
        <v>4425.5200000000004</v>
      </c>
      <c r="DN54" s="112">
        <f t="shared" si="205"/>
        <v>4862.92</v>
      </c>
      <c r="DO54" s="112">
        <f t="shared" si="206"/>
        <v>5467.57</v>
      </c>
      <c r="DP54" s="112">
        <f t="shared" si="207"/>
        <v>5631.6</v>
      </c>
      <c r="DR54" s="115">
        <f t="shared" si="208"/>
        <v>13</v>
      </c>
      <c r="DS54" s="37">
        <f t="shared" si="209"/>
        <v>3842.21</v>
      </c>
      <c r="DT54" s="37">
        <f t="shared" si="149"/>
        <v>4200.3999999999996</v>
      </c>
      <c r="DU54" s="37">
        <f t="shared" si="149"/>
        <v>4425.5200000000004</v>
      </c>
      <c r="DV54" s="37">
        <f t="shared" si="149"/>
        <v>4862.92</v>
      </c>
      <c r="DW54" s="37">
        <f t="shared" si="149"/>
        <v>5467.57</v>
      </c>
      <c r="DX54" s="37">
        <f t="shared" si="149"/>
        <v>5631.6</v>
      </c>
      <c r="DZ54" s="115">
        <f t="shared" si="210"/>
        <v>13</v>
      </c>
      <c r="EA54" s="37">
        <f t="shared" si="211"/>
        <v>4007.43</v>
      </c>
      <c r="EB54" s="112">
        <f t="shared" si="212"/>
        <v>4331.45</v>
      </c>
      <c r="EC54" s="112">
        <f t="shared" si="213"/>
        <v>4563.6000000000004</v>
      </c>
      <c r="ED54" s="112">
        <f t="shared" si="214"/>
        <v>5014.6400000000003</v>
      </c>
      <c r="EE54" s="112">
        <f t="shared" si="215"/>
        <v>5638.16</v>
      </c>
      <c r="EF54" s="112">
        <f t="shared" si="216"/>
        <v>5807.31</v>
      </c>
      <c r="EH54" s="115">
        <f t="shared" si="217"/>
        <v>13</v>
      </c>
      <c r="EI54" s="37">
        <f t="shared" si="218"/>
        <v>4079.56</v>
      </c>
      <c r="EJ54" s="112">
        <f t="shared" si="219"/>
        <v>4387.76</v>
      </c>
      <c r="EK54" s="112">
        <f t="shared" si="220"/>
        <v>4622.93</v>
      </c>
      <c r="EL54" s="112">
        <f t="shared" si="221"/>
        <v>5079.83</v>
      </c>
      <c r="EM54" s="112">
        <f t="shared" si="222"/>
        <v>5711.46</v>
      </c>
      <c r="EN54" s="112">
        <f t="shared" si="223"/>
        <v>5882.81</v>
      </c>
    </row>
    <row r="55" spans="2:144">
      <c r="B55" s="75">
        <f t="shared" ref="B55:H56" si="225">B10</f>
        <v>9</v>
      </c>
      <c r="C55" s="384">
        <f t="shared" si="225"/>
        <v>2061</v>
      </c>
      <c r="D55" s="37">
        <f t="shared" si="225"/>
        <v>2290</v>
      </c>
      <c r="E55" s="37">
        <f t="shared" si="225"/>
        <v>2410</v>
      </c>
      <c r="F55" s="37">
        <f t="shared" si="225"/>
        <v>2730</v>
      </c>
      <c r="G55" s="37">
        <f t="shared" si="225"/>
        <v>2980</v>
      </c>
      <c r="H55" s="385" t="str">
        <f t="shared" si="225"/>
        <v>-</v>
      </c>
      <c r="AO55" s="159"/>
      <c r="AP55" s="115">
        <f t="shared" si="141"/>
        <v>12</v>
      </c>
      <c r="AQ55" s="114">
        <f t="shared" si="150"/>
        <v>2860.3</v>
      </c>
      <c r="AR55" s="114">
        <f t="shared" si="151"/>
        <v>3175.09</v>
      </c>
      <c r="AS55" s="114">
        <f t="shared" si="152"/>
        <v>3620.15</v>
      </c>
      <c r="AT55" s="114">
        <f t="shared" si="153"/>
        <v>4010.93</v>
      </c>
      <c r="AU55" s="114">
        <f t="shared" si="154"/>
        <v>4515.6899999999996</v>
      </c>
      <c r="AV55" s="114" t="str">
        <f t="shared" si="155"/>
        <v>-</v>
      </c>
      <c r="AW55" s="159"/>
      <c r="AX55" s="115">
        <f t="shared" si="156"/>
        <v>12</v>
      </c>
      <c r="AY55" s="112">
        <f t="shared" si="157"/>
        <v>2940.39</v>
      </c>
      <c r="AZ55" s="112">
        <f t="shared" si="158"/>
        <v>3263.99</v>
      </c>
      <c r="BA55" s="112">
        <f t="shared" si="159"/>
        <v>3721.51</v>
      </c>
      <c r="BB55" s="112">
        <f t="shared" si="160"/>
        <v>4123.24</v>
      </c>
      <c r="BC55" s="112">
        <f t="shared" si="161"/>
        <v>4642.13</v>
      </c>
      <c r="BD55" s="112" t="str">
        <f t="shared" si="162"/>
        <v>-</v>
      </c>
      <c r="BE55" s="159"/>
      <c r="BF55" s="115">
        <f t="shared" si="163"/>
        <v>12</v>
      </c>
      <c r="BG55" s="227">
        <f t="shared" si="164"/>
        <v>3022.72</v>
      </c>
      <c r="BH55" s="227">
        <f t="shared" si="165"/>
        <v>3355.38</v>
      </c>
      <c r="BI55" s="227">
        <f t="shared" si="166"/>
        <v>3825.71</v>
      </c>
      <c r="BJ55" s="227">
        <f t="shared" si="167"/>
        <v>4238.6899999999996</v>
      </c>
      <c r="BK55" s="227">
        <f t="shared" si="168"/>
        <v>4772.1099999999997</v>
      </c>
      <c r="BL55" s="227" t="str">
        <f t="shared" si="169"/>
        <v>-</v>
      </c>
      <c r="BN55" s="115">
        <f t="shared" si="170"/>
        <v>12</v>
      </c>
      <c r="BO55" s="227">
        <f t="shared" si="171"/>
        <v>3083.17</v>
      </c>
      <c r="BP55" s="227">
        <f t="shared" si="172"/>
        <v>3422.49</v>
      </c>
      <c r="BQ55" s="227">
        <f t="shared" si="173"/>
        <v>3902.22</v>
      </c>
      <c r="BR55" s="227">
        <f t="shared" si="174"/>
        <v>4323.46</v>
      </c>
      <c r="BS55" s="227">
        <f t="shared" si="175"/>
        <v>4867.55</v>
      </c>
      <c r="BT55" s="227" t="str">
        <f t="shared" si="176"/>
        <v>-</v>
      </c>
      <c r="BU55" s="380">
        <v>0</v>
      </c>
      <c r="BV55" s="115">
        <f t="shared" si="177"/>
        <v>12</v>
      </c>
      <c r="BW55" s="227">
        <f t="shared" si="178"/>
        <v>3157.17</v>
      </c>
      <c r="BX55" s="227">
        <f t="shared" si="179"/>
        <v>3504.63</v>
      </c>
      <c r="BY55" s="227">
        <f t="shared" si="180"/>
        <v>3995.87</v>
      </c>
      <c r="BZ55" s="227">
        <f t="shared" si="181"/>
        <v>4427.22</v>
      </c>
      <c r="CA55" s="227">
        <f t="shared" si="182"/>
        <v>4984.37</v>
      </c>
      <c r="CB55" s="227" t="str">
        <f t="shared" si="183"/>
        <v>-</v>
      </c>
      <c r="CC55" s="161"/>
      <c r="CD55" s="115">
        <f t="shared" si="184"/>
        <v>12</v>
      </c>
      <c r="CE55" s="227">
        <f t="shared" si="185"/>
        <v>3232.17</v>
      </c>
      <c r="CF55" s="227">
        <f t="shared" si="186"/>
        <v>3579.63</v>
      </c>
      <c r="CG55" s="227">
        <f t="shared" si="187"/>
        <v>4075.79</v>
      </c>
      <c r="CH55" s="227">
        <f t="shared" si="188"/>
        <v>4515.76</v>
      </c>
      <c r="CI55" s="227">
        <f t="shared" si="189"/>
        <v>5084.0600000000004</v>
      </c>
      <c r="CJ55" s="227" t="str">
        <f t="shared" si="190"/>
        <v>-</v>
      </c>
      <c r="CK55" s="159"/>
      <c r="CL55" s="115">
        <f t="shared" si="191"/>
        <v>12</v>
      </c>
      <c r="CM55" s="227">
        <f t="shared" si="192"/>
        <v>3232.17</v>
      </c>
      <c r="CN55" s="227">
        <f t="shared" si="193"/>
        <v>3579.63</v>
      </c>
      <c r="CO55" s="227">
        <f t="shared" si="194"/>
        <v>4075.79</v>
      </c>
      <c r="CP55" s="227">
        <f t="shared" si="195"/>
        <v>4515.76</v>
      </c>
      <c r="CQ55" s="227">
        <f t="shared" si="196"/>
        <v>5084.0600000000004</v>
      </c>
      <c r="CR55" s="227">
        <v>5273.85</v>
      </c>
      <c r="CS55" s="159"/>
      <c r="CT55" s="115">
        <f t="shared" si="197"/>
        <v>12</v>
      </c>
      <c r="CU55" s="227">
        <f t="shared" si="198"/>
        <v>3303.28</v>
      </c>
      <c r="CV55" s="227">
        <f t="shared" si="148"/>
        <v>3658.38</v>
      </c>
      <c r="CW55" s="227">
        <f t="shared" si="148"/>
        <v>4165.46</v>
      </c>
      <c r="CX55" s="227">
        <f t="shared" si="148"/>
        <v>4615.1099999999997</v>
      </c>
      <c r="CY55" s="227">
        <f t="shared" si="148"/>
        <v>5195.91</v>
      </c>
      <c r="CZ55" s="227">
        <f t="shared" si="224"/>
        <v>5273.85</v>
      </c>
      <c r="DB55" s="115">
        <f t="shared" si="199"/>
        <v>12</v>
      </c>
      <c r="DC55" s="227">
        <f t="shared" si="200"/>
        <v>3303.28</v>
      </c>
      <c r="DD55" s="227">
        <f t="shared" si="132"/>
        <v>3658.38</v>
      </c>
      <c r="DE55" s="227">
        <f t="shared" si="133"/>
        <v>4165.46</v>
      </c>
      <c r="DF55" s="227">
        <f t="shared" si="134"/>
        <v>4615.1099999999997</v>
      </c>
      <c r="DG55" s="227">
        <f t="shared" si="135"/>
        <v>5195.91</v>
      </c>
      <c r="DH55" s="227">
        <v>5351.79</v>
      </c>
      <c r="DJ55" s="115">
        <f t="shared" si="201"/>
        <v>12</v>
      </c>
      <c r="DK55" s="37">
        <f t="shared" si="202"/>
        <v>3451.93</v>
      </c>
      <c r="DL55" s="112">
        <f t="shared" si="203"/>
        <v>3768.13</v>
      </c>
      <c r="DM55" s="112">
        <f t="shared" si="204"/>
        <v>4290.42</v>
      </c>
      <c r="DN55" s="112">
        <f t="shared" si="205"/>
        <v>4753.5600000000004</v>
      </c>
      <c r="DO55" s="112">
        <f t="shared" si="206"/>
        <v>5351.79</v>
      </c>
      <c r="DP55" s="112">
        <f t="shared" si="207"/>
        <v>5512.34</v>
      </c>
      <c r="DR55" s="115">
        <f t="shared" si="208"/>
        <v>12</v>
      </c>
      <c r="DS55" s="37">
        <f t="shared" si="209"/>
        <v>3451.93</v>
      </c>
      <c r="DT55" s="37">
        <f t="shared" si="149"/>
        <v>3768.13</v>
      </c>
      <c r="DU55" s="37">
        <f t="shared" si="149"/>
        <v>4290.42</v>
      </c>
      <c r="DV55" s="37">
        <f t="shared" si="149"/>
        <v>4753.5600000000004</v>
      </c>
      <c r="DW55" s="37">
        <f t="shared" si="149"/>
        <v>5351.79</v>
      </c>
      <c r="DX55" s="37">
        <f t="shared" si="149"/>
        <v>5512.34</v>
      </c>
      <c r="DZ55" s="115">
        <f t="shared" si="210"/>
        <v>12</v>
      </c>
      <c r="EA55" s="37">
        <f t="shared" si="211"/>
        <v>3600.36</v>
      </c>
      <c r="EB55" s="112">
        <f t="shared" si="212"/>
        <v>3885.7</v>
      </c>
      <c r="EC55" s="112">
        <f t="shared" si="213"/>
        <v>4424.28</v>
      </c>
      <c r="ED55" s="112">
        <f t="shared" si="214"/>
        <v>4901.87</v>
      </c>
      <c r="EE55" s="112">
        <f t="shared" si="215"/>
        <v>5518.77</v>
      </c>
      <c r="EF55" s="112">
        <f t="shared" si="216"/>
        <v>5684.33</v>
      </c>
      <c r="EH55" s="115">
        <f t="shared" si="217"/>
        <v>12</v>
      </c>
      <c r="EI55" s="37">
        <f t="shared" si="218"/>
        <v>3665.17</v>
      </c>
      <c r="EJ55" s="112">
        <f t="shared" si="219"/>
        <v>3936.21</v>
      </c>
      <c r="EK55" s="112">
        <f t="shared" si="220"/>
        <v>4481.8</v>
      </c>
      <c r="EL55" s="112">
        <f t="shared" si="221"/>
        <v>4965.59</v>
      </c>
      <c r="EM55" s="112">
        <f t="shared" si="222"/>
        <v>5590.51</v>
      </c>
      <c r="EN55" s="112">
        <f t="shared" si="223"/>
        <v>5758.23</v>
      </c>
    </row>
    <row r="56" spans="2:144">
      <c r="B56" s="75">
        <f t="shared" si="225"/>
        <v>8</v>
      </c>
      <c r="C56" s="384">
        <f t="shared" si="225"/>
        <v>1926</v>
      </c>
      <c r="D56" s="37">
        <f t="shared" si="225"/>
        <v>2140</v>
      </c>
      <c r="E56" s="37">
        <f t="shared" si="225"/>
        <v>2240</v>
      </c>
      <c r="F56" s="37">
        <f t="shared" si="225"/>
        <v>2330</v>
      </c>
      <c r="G56" s="37">
        <f t="shared" si="225"/>
        <v>2430</v>
      </c>
      <c r="H56" s="385">
        <f t="shared" si="225"/>
        <v>2493</v>
      </c>
      <c r="AO56" s="159"/>
      <c r="AP56" s="115">
        <f t="shared" si="141"/>
        <v>11</v>
      </c>
      <c r="AQ56" s="114">
        <f t="shared" si="150"/>
        <v>2762.61</v>
      </c>
      <c r="AR56" s="114">
        <f t="shared" si="151"/>
        <v>3061.12</v>
      </c>
      <c r="AS56" s="114">
        <f t="shared" si="152"/>
        <v>3283.65</v>
      </c>
      <c r="AT56" s="114">
        <f t="shared" si="153"/>
        <v>3620.15</v>
      </c>
      <c r="AU56" s="114">
        <f t="shared" si="154"/>
        <v>4108.63</v>
      </c>
      <c r="AV56" s="114" t="str">
        <f t="shared" si="155"/>
        <v>-</v>
      </c>
      <c r="AW56" s="159"/>
      <c r="AX56" s="115">
        <f t="shared" si="156"/>
        <v>11</v>
      </c>
      <c r="AY56" s="112">
        <f t="shared" si="157"/>
        <v>2839.96</v>
      </c>
      <c r="AZ56" s="112">
        <f t="shared" si="158"/>
        <v>3146.83</v>
      </c>
      <c r="BA56" s="112">
        <f t="shared" si="159"/>
        <v>3375.59</v>
      </c>
      <c r="BB56" s="112">
        <f t="shared" si="160"/>
        <v>3721.51</v>
      </c>
      <c r="BC56" s="112">
        <f t="shared" si="161"/>
        <v>4223.67</v>
      </c>
      <c r="BD56" s="112" t="str">
        <f t="shared" si="162"/>
        <v>-</v>
      </c>
      <c r="BE56" s="159"/>
      <c r="BF56" s="115">
        <f t="shared" si="163"/>
        <v>11</v>
      </c>
      <c r="BG56" s="227">
        <f t="shared" si="164"/>
        <v>2919.48</v>
      </c>
      <c r="BH56" s="227">
        <f t="shared" si="165"/>
        <v>3234.94</v>
      </c>
      <c r="BI56" s="227">
        <f t="shared" si="166"/>
        <v>3470.11</v>
      </c>
      <c r="BJ56" s="227">
        <f t="shared" si="167"/>
        <v>3825.71</v>
      </c>
      <c r="BK56" s="227">
        <f t="shared" si="168"/>
        <v>4341.93</v>
      </c>
      <c r="BL56" s="227" t="str">
        <f t="shared" si="169"/>
        <v>-</v>
      </c>
      <c r="BN56" s="115">
        <f t="shared" si="170"/>
        <v>11</v>
      </c>
      <c r="BO56" s="227">
        <f t="shared" si="171"/>
        <v>2977.87</v>
      </c>
      <c r="BP56" s="227">
        <f t="shared" si="172"/>
        <v>3299.64</v>
      </c>
      <c r="BQ56" s="227">
        <f t="shared" si="173"/>
        <v>3539.51</v>
      </c>
      <c r="BR56" s="227">
        <f t="shared" si="174"/>
        <v>3902.22</v>
      </c>
      <c r="BS56" s="227">
        <f t="shared" si="175"/>
        <v>4428.7700000000004</v>
      </c>
      <c r="BT56" s="227" t="str">
        <f t="shared" si="176"/>
        <v>-</v>
      </c>
      <c r="BU56" s="380">
        <v>0</v>
      </c>
      <c r="BV56" s="115">
        <f t="shared" si="177"/>
        <v>11</v>
      </c>
      <c r="BW56" s="227">
        <f t="shared" si="178"/>
        <v>3049.34</v>
      </c>
      <c r="BX56" s="227">
        <f t="shared" si="179"/>
        <v>3378.83</v>
      </c>
      <c r="BY56" s="227">
        <f t="shared" si="180"/>
        <v>3624.46</v>
      </c>
      <c r="BZ56" s="227">
        <f t="shared" si="181"/>
        <v>3995.87</v>
      </c>
      <c r="CA56" s="227">
        <f t="shared" si="182"/>
        <v>4535.0600000000004</v>
      </c>
      <c r="CB56" s="227" t="str">
        <f t="shared" si="183"/>
        <v>-</v>
      </c>
      <c r="CC56" s="161"/>
      <c r="CD56" s="115">
        <f t="shared" si="184"/>
        <v>11</v>
      </c>
      <c r="CE56" s="227">
        <f t="shared" si="185"/>
        <v>3124.34</v>
      </c>
      <c r="CF56" s="227">
        <f t="shared" si="186"/>
        <v>3453.83</v>
      </c>
      <c r="CG56" s="227">
        <f t="shared" si="187"/>
        <v>3699.46</v>
      </c>
      <c r="CH56" s="227">
        <f t="shared" si="188"/>
        <v>4075.79</v>
      </c>
      <c r="CI56" s="227">
        <f t="shared" si="189"/>
        <v>4625.76</v>
      </c>
      <c r="CJ56" s="227" t="str">
        <f t="shared" si="190"/>
        <v>-</v>
      </c>
      <c r="CK56" s="159"/>
      <c r="CL56" s="115">
        <f t="shared" si="191"/>
        <v>11</v>
      </c>
      <c r="CM56" s="227">
        <f t="shared" si="192"/>
        <v>3124.34</v>
      </c>
      <c r="CN56" s="227">
        <f t="shared" si="193"/>
        <v>3453.83</v>
      </c>
      <c r="CO56" s="227">
        <f t="shared" si="194"/>
        <v>3699.46</v>
      </c>
      <c r="CP56" s="227">
        <f t="shared" si="195"/>
        <v>4075.79</v>
      </c>
      <c r="CQ56" s="227">
        <f t="shared" si="196"/>
        <v>4625.76</v>
      </c>
      <c r="CR56" s="227">
        <v>4798.4399999999996</v>
      </c>
      <c r="CS56" s="159"/>
      <c r="CT56" s="115">
        <f t="shared" si="197"/>
        <v>11</v>
      </c>
      <c r="CU56" s="227">
        <f t="shared" si="198"/>
        <v>3193.08</v>
      </c>
      <c r="CV56" s="227">
        <f t="shared" si="148"/>
        <v>3529.81</v>
      </c>
      <c r="CW56" s="227">
        <f t="shared" si="148"/>
        <v>3780.85</v>
      </c>
      <c r="CX56" s="227">
        <f t="shared" si="148"/>
        <v>4165.46</v>
      </c>
      <c r="CY56" s="227">
        <f t="shared" si="148"/>
        <v>4727.53</v>
      </c>
      <c r="CZ56" s="227">
        <f t="shared" si="224"/>
        <v>4798.4399999999996</v>
      </c>
      <c r="DB56" s="115">
        <f t="shared" si="199"/>
        <v>11</v>
      </c>
      <c r="DC56" s="227">
        <f t="shared" si="200"/>
        <v>3193.08</v>
      </c>
      <c r="DD56" s="227">
        <f t="shared" si="132"/>
        <v>3529.81</v>
      </c>
      <c r="DE56" s="227">
        <f t="shared" si="133"/>
        <v>3780.85</v>
      </c>
      <c r="DF56" s="227">
        <f t="shared" si="134"/>
        <v>4165.46</v>
      </c>
      <c r="DG56" s="227">
        <f t="shared" si="135"/>
        <v>4727.53</v>
      </c>
      <c r="DH56" s="227">
        <v>4869.3599999999997</v>
      </c>
      <c r="DJ56" s="115">
        <f t="shared" si="201"/>
        <v>11</v>
      </c>
      <c r="DK56" s="37">
        <f t="shared" si="202"/>
        <v>3336.77</v>
      </c>
      <c r="DL56" s="112">
        <f t="shared" si="203"/>
        <v>3635.7</v>
      </c>
      <c r="DM56" s="112">
        <f t="shared" si="204"/>
        <v>3894.28</v>
      </c>
      <c r="DN56" s="112">
        <f t="shared" si="205"/>
        <v>4290.42</v>
      </c>
      <c r="DO56" s="112">
        <f t="shared" si="206"/>
        <v>4869.3599999999997</v>
      </c>
      <c r="DP56" s="112">
        <f t="shared" si="207"/>
        <v>5015.4399999999996</v>
      </c>
      <c r="DR56" s="115">
        <f t="shared" si="208"/>
        <v>11</v>
      </c>
      <c r="DS56" s="37">
        <f t="shared" si="209"/>
        <v>3336.77</v>
      </c>
      <c r="DT56" s="37">
        <f t="shared" si="149"/>
        <v>3635.7</v>
      </c>
      <c r="DU56" s="37">
        <f t="shared" si="149"/>
        <v>3894.28</v>
      </c>
      <c r="DV56" s="37">
        <f t="shared" si="149"/>
        <v>4290.42</v>
      </c>
      <c r="DW56" s="37">
        <f t="shared" si="149"/>
        <v>4869.3599999999997</v>
      </c>
      <c r="DX56" s="37">
        <f t="shared" si="149"/>
        <v>5015.4399999999996</v>
      </c>
      <c r="DZ56" s="115">
        <f t="shared" si="210"/>
        <v>11</v>
      </c>
      <c r="EA56" s="37">
        <f t="shared" si="211"/>
        <v>3480.25</v>
      </c>
      <c r="EB56" s="112">
        <f t="shared" si="212"/>
        <v>3749.13</v>
      </c>
      <c r="EC56" s="112">
        <f t="shared" si="213"/>
        <v>4015.78</v>
      </c>
      <c r="ED56" s="112">
        <f t="shared" si="214"/>
        <v>4424.28</v>
      </c>
      <c r="EE56" s="112">
        <f t="shared" si="215"/>
        <v>5021.28</v>
      </c>
      <c r="EF56" s="112">
        <f t="shared" si="216"/>
        <v>5171.92</v>
      </c>
      <c r="EH56" s="115">
        <f t="shared" si="217"/>
        <v>11</v>
      </c>
      <c r="EI56" s="37">
        <f t="shared" si="218"/>
        <v>3542.89</v>
      </c>
      <c r="EJ56" s="112">
        <f t="shared" si="219"/>
        <v>3797.87</v>
      </c>
      <c r="EK56" s="112">
        <f t="shared" si="220"/>
        <v>4067.99</v>
      </c>
      <c r="EL56" s="112">
        <f t="shared" si="221"/>
        <v>4481.8</v>
      </c>
      <c r="EM56" s="112">
        <f t="shared" si="222"/>
        <v>5086.5600000000004</v>
      </c>
      <c r="EN56" s="112">
        <f t="shared" si="223"/>
        <v>5239.1499999999996</v>
      </c>
    </row>
    <row r="57" spans="2:144">
      <c r="B57" s="75">
        <f t="shared" ref="B57:B64" si="226">B12</f>
        <v>7</v>
      </c>
      <c r="C57" s="384">
        <f t="shared" ref="C57:H62" si="227">C12</f>
        <v>1800</v>
      </c>
      <c r="D57" s="37">
        <f t="shared" si="227"/>
        <v>2000</v>
      </c>
      <c r="E57" s="37">
        <f t="shared" si="227"/>
        <v>2130</v>
      </c>
      <c r="F57" s="37">
        <f t="shared" si="227"/>
        <v>2230</v>
      </c>
      <c r="G57" s="37">
        <f t="shared" si="227"/>
        <v>2305</v>
      </c>
      <c r="H57" s="385">
        <f t="shared" si="227"/>
        <v>2375</v>
      </c>
      <c r="AO57" s="159"/>
      <c r="AP57" s="115">
        <f t="shared" si="141"/>
        <v>10</v>
      </c>
      <c r="AQ57" s="114">
        <f t="shared" si="150"/>
        <v>2659.48</v>
      </c>
      <c r="AR57" s="114">
        <f t="shared" si="151"/>
        <v>2952.57</v>
      </c>
      <c r="AS57" s="114">
        <f t="shared" si="152"/>
        <v>3175.09</v>
      </c>
      <c r="AT57" s="114">
        <f t="shared" si="153"/>
        <v>3397.63</v>
      </c>
      <c r="AU57" s="114">
        <f t="shared" si="154"/>
        <v>3820.98</v>
      </c>
      <c r="AV57" s="114" t="str">
        <f t="shared" si="155"/>
        <v>-</v>
      </c>
      <c r="AW57" s="159"/>
      <c r="AX57" s="115">
        <f t="shared" si="156"/>
        <v>10</v>
      </c>
      <c r="AY57" s="112">
        <f t="shared" si="157"/>
        <v>2733.95</v>
      </c>
      <c r="AZ57" s="112">
        <f t="shared" si="158"/>
        <v>3035.24</v>
      </c>
      <c r="BA57" s="112">
        <f t="shared" si="159"/>
        <v>3263.99</v>
      </c>
      <c r="BB57" s="112">
        <f t="shared" si="160"/>
        <v>3492.76</v>
      </c>
      <c r="BC57" s="112">
        <f t="shared" si="161"/>
        <v>3927.97</v>
      </c>
      <c r="BD57" s="112" t="str">
        <f t="shared" si="162"/>
        <v>-</v>
      </c>
      <c r="BE57" s="159"/>
      <c r="BF57" s="115">
        <f t="shared" si="163"/>
        <v>10</v>
      </c>
      <c r="BG57" s="227">
        <f t="shared" si="164"/>
        <v>2810.5</v>
      </c>
      <c r="BH57" s="227">
        <f t="shared" si="165"/>
        <v>3120.23</v>
      </c>
      <c r="BI57" s="227">
        <f t="shared" si="166"/>
        <v>3355.38</v>
      </c>
      <c r="BJ57" s="227">
        <f t="shared" si="167"/>
        <v>3590.56</v>
      </c>
      <c r="BK57" s="227">
        <f t="shared" si="168"/>
        <v>4037.95</v>
      </c>
      <c r="BL57" s="227" t="str">
        <f t="shared" si="169"/>
        <v>-</v>
      </c>
      <c r="BN57" s="115">
        <f t="shared" si="170"/>
        <v>10</v>
      </c>
      <c r="BO57" s="227">
        <f t="shared" si="171"/>
        <v>2866.71</v>
      </c>
      <c r="BP57" s="227">
        <f t="shared" si="172"/>
        <v>3182.63</v>
      </c>
      <c r="BQ57" s="227">
        <f t="shared" si="173"/>
        <v>3422.49</v>
      </c>
      <c r="BR57" s="227">
        <f t="shared" si="174"/>
        <v>3662.37</v>
      </c>
      <c r="BS57" s="227">
        <f t="shared" si="175"/>
        <v>4118.71</v>
      </c>
      <c r="BT57" s="227" t="str">
        <f t="shared" si="176"/>
        <v>-</v>
      </c>
      <c r="BU57" s="380">
        <v>0</v>
      </c>
      <c r="BV57" s="115">
        <f t="shared" si="177"/>
        <v>10</v>
      </c>
      <c r="BW57" s="227">
        <f t="shared" si="178"/>
        <v>2935.51</v>
      </c>
      <c r="BX57" s="227">
        <f t="shared" si="179"/>
        <v>3259.01</v>
      </c>
      <c r="BY57" s="227">
        <f t="shared" si="180"/>
        <v>3504.63</v>
      </c>
      <c r="BZ57" s="227">
        <f t="shared" si="181"/>
        <v>3750.27</v>
      </c>
      <c r="CA57" s="227">
        <f t="shared" si="182"/>
        <v>4217.5600000000004</v>
      </c>
      <c r="CB57" s="227" t="str">
        <f t="shared" si="183"/>
        <v>-</v>
      </c>
      <c r="CC57" s="161"/>
      <c r="CD57" s="115">
        <f t="shared" si="184"/>
        <v>10</v>
      </c>
      <c r="CE57" s="227">
        <f t="shared" si="185"/>
        <v>3010.51</v>
      </c>
      <c r="CF57" s="227">
        <f t="shared" si="186"/>
        <v>3334.01</v>
      </c>
      <c r="CG57" s="227">
        <f t="shared" si="187"/>
        <v>3579.63</v>
      </c>
      <c r="CH57" s="227">
        <f t="shared" si="188"/>
        <v>3825.28</v>
      </c>
      <c r="CI57" s="227">
        <f t="shared" si="189"/>
        <v>4301.91</v>
      </c>
      <c r="CJ57" s="227" t="str">
        <f t="shared" si="190"/>
        <v>-</v>
      </c>
      <c r="CK57" s="159"/>
      <c r="CL57" s="115">
        <f t="shared" si="191"/>
        <v>10</v>
      </c>
      <c r="CM57" s="227">
        <f t="shared" si="192"/>
        <v>3010.51</v>
      </c>
      <c r="CN57" s="227">
        <f t="shared" si="193"/>
        <v>3334.01</v>
      </c>
      <c r="CO57" s="227">
        <f t="shared" si="194"/>
        <v>3579.63</v>
      </c>
      <c r="CP57" s="227">
        <f t="shared" si="195"/>
        <v>3825.28</v>
      </c>
      <c r="CQ57" s="227">
        <f t="shared" si="196"/>
        <v>4301.91</v>
      </c>
      <c r="CR57" s="227">
        <v>4462.5</v>
      </c>
      <c r="CS57" s="159"/>
      <c r="CT57" s="115">
        <f t="shared" si="197"/>
        <v>10</v>
      </c>
      <c r="CU57" s="227">
        <f t="shared" si="198"/>
        <v>3076.74</v>
      </c>
      <c r="CV57" s="227">
        <f t="shared" si="148"/>
        <v>3407.36</v>
      </c>
      <c r="CW57" s="227">
        <f t="shared" si="148"/>
        <v>3658.38</v>
      </c>
      <c r="CX57" s="227">
        <f t="shared" si="148"/>
        <v>3909.44</v>
      </c>
      <c r="CY57" s="227">
        <f t="shared" si="148"/>
        <v>4396.55</v>
      </c>
      <c r="CZ57" s="227">
        <f t="shared" si="224"/>
        <v>4462.5</v>
      </c>
      <c r="DB57" s="115">
        <f t="shared" si="199"/>
        <v>10</v>
      </c>
      <c r="DC57" s="227">
        <f t="shared" si="200"/>
        <v>3076.74</v>
      </c>
      <c r="DD57" s="227">
        <f t="shared" si="132"/>
        <v>3407.36</v>
      </c>
      <c r="DE57" s="227">
        <f t="shared" si="133"/>
        <v>3658.38</v>
      </c>
      <c r="DF57" s="227">
        <f t="shared" si="134"/>
        <v>3909.44</v>
      </c>
      <c r="DG57" s="227">
        <f t="shared" si="135"/>
        <v>4396.55</v>
      </c>
      <c r="DH57" s="227">
        <v>4528.45</v>
      </c>
      <c r="DJ57" s="115">
        <f t="shared" si="201"/>
        <v>10</v>
      </c>
      <c r="DK57" s="37">
        <f t="shared" si="202"/>
        <v>3215.19</v>
      </c>
      <c r="DL57" s="112">
        <f t="shared" si="203"/>
        <v>3509.58</v>
      </c>
      <c r="DM57" s="112">
        <f t="shared" si="204"/>
        <v>3768.13</v>
      </c>
      <c r="DN57" s="112">
        <f t="shared" si="205"/>
        <v>4026.72</v>
      </c>
      <c r="DO57" s="112">
        <f t="shared" si="206"/>
        <v>4528.45</v>
      </c>
      <c r="DP57" s="112">
        <f t="shared" si="207"/>
        <v>4664.3</v>
      </c>
      <c r="DR57" s="115">
        <f t="shared" si="208"/>
        <v>10</v>
      </c>
      <c r="DS57" s="37">
        <f t="shared" si="209"/>
        <v>3215.19</v>
      </c>
      <c r="DT57" s="37">
        <f t="shared" si="149"/>
        <v>3509.58</v>
      </c>
      <c r="DU57" s="37">
        <f t="shared" si="149"/>
        <v>3768.13</v>
      </c>
      <c r="DV57" s="37">
        <f t="shared" si="149"/>
        <v>4026.72</v>
      </c>
      <c r="DW57" s="37">
        <f t="shared" si="149"/>
        <v>4528.45</v>
      </c>
      <c r="DX57" s="37">
        <f t="shared" si="149"/>
        <v>4664.3</v>
      </c>
      <c r="DZ57" s="115">
        <f t="shared" si="210"/>
        <v>10</v>
      </c>
      <c r="EA57" s="37">
        <f t="shared" si="211"/>
        <v>3353.44</v>
      </c>
      <c r="EB57" s="112">
        <f t="shared" si="212"/>
        <v>3619.08</v>
      </c>
      <c r="EC57" s="112">
        <f t="shared" si="213"/>
        <v>3885.7</v>
      </c>
      <c r="ED57" s="112">
        <f t="shared" si="214"/>
        <v>4152.3500000000004</v>
      </c>
      <c r="EE57" s="112">
        <f t="shared" si="215"/>
        <v>4669.74</v>
      </c>
      <c r="EF57" s="112">
        <f t="shared" si="216"/>
        <v>4809.83</v>
      </c>
      <c r="EH57" s="115">
        <f t="shared" si="217"/>
        <v>10</v>
      </c>
      <c r="EI57" s="37">
        <f t="shared" si="218"/>
        <v>3413.8</v>
      </c>
      <c r="EJ57" s="112">
        <f t="shared" si="219"/>
        <v>3666.13</v>
      </c>
      <c r="EK57" s="112">
        <f t="shared" si="220"/>
        <v>3936.21</v>
      </c>
      <c r="EL57" s="112">
        <f t="shared" si="221"/>
        <v>4206.33</v>
      </c>
      <c r="EM57" s="112">
        <f t="shared" si="222"/>
        <v>4730.45</v>
      </c>
      <c r="EN57" s="112">
        <f t="shared" si="223"/>
        <v>4872.3599999999997</v>
      </c>
    </row>
    <row r="58" spans="2:144">
      <c r="B58" s="75">
        <f t="shared" si="226"/>
        <v>6</v>
      </c>
      <c r="C58" s="384">
        <f t="shared" si="227"/>
        <v>1764</v>
      </c>
      <c r="D58" s="37">
        <f t="shared" si="227"/>
        <v>1960</v>
      </c>
      <c r="E58" s="37">
        <f t="shared" si="227"/>
        <v>2060</v>
      </c>
      <c r="F58" s="37">
        <f t="shared" si="227"/>
        <v>2155</v>
      </c>
      <c r="G58" s="37">
        <f t="shared" si="227"/>
        <v>2220</v>
      </c>
      <c r="H58" s="385">
        <f t="shared" si="227"/>
        <v>2285</v>
      </c>
      <c r="AO58" s="159"/>
      <c r="AP58" s="115">
        <f t="shared" si="141"/>
        <v>9</v>
      </c>
      <c r="AQ58" s="114">
        <f t="shared" si="150"/>
        <v>2350.11</v>
      </c>
      <c r="AR58" s="114">
        <f t="shared" si="151"/>
        <v>2605.1999999999998</v>
      </c>
      <c r="AS58" s="114">
        <f t="shared" si="152"/>
        <v>2735.47</v>
      </c>
      <c r="AT58" s="114">
        <f t="shared" si="153"/>
        <v>3093.69</v>
      </c>
      <c r="AU58" s="114">
        <f t="shared" si="154"/>
        <v>3375.92</v>
      </c>
      <c r="AV58" s="114" t="str">
        <f t="shared" si="155"/>
        <v>-</v>
      </c>
      <c r="AW58" s="159"/>
      <c r="AX58" s="115">
        <f t="shared" si="156"/>
        <v>9</v>
      </c>
      <c r="AY58" s="112">
        <f t="shared" si="157"/>
        <v>2415.91</v>
      </c>
      <c r="AZ58" s="112">
        <f t="shared" si="158"/>
        <v>2678.15</v>
      </c>
      <c r="BA58" s="112">
        <f t="shared" si="159"/>
        <v>2812.06</v>
      </c>
      <c r="BB58" s="112">
        <f t="shared" si="160"/>
        <v>3180.31</v>
      </c>
      <c r="BC58" s="112">
        <f t="shared" si="161"/>
        <v>3470.45</v>
      </c>
      <c r="BD58" s="112" t="str">
        <f t="shared" si="162"/>
        <v>-</v>
      </c>
      <c r="BE58" s="159"/>
      <c r="BF58" s="115">
        <f t="shared" si="163"/>
        <v>9</v>
      </c>
      <c r="BG58" s="227">
        <f t="shared" si="164"/>
        <v>2483.56</v>
      </c>
      <c r="BH58" s="227">
        <f t="shared" si="165"/>
        <v>2753.14</v>
      </c>
      <c r="BI58" s="227">
        <f t="shared" si="166"/>
        <v>2890.8</v>
      </c>
      <c r="BJ58" s="227">
        <f t="shared" si="167"/>
        <v>3269.36</v>
      </c>
      <c r="BK58" s="227">
        <f t="shared" si="168"/>
        <v>3567.62</v>
      </c>
      <c r="BL58" s="227" t="str">
        <f t="shared" si="169"/>
        <v>-</v>
      </c>
      <c r="BN58" s="115">
        <f t="shared" si="170"/>
        <v>9</v>
      </c>
      <c r="BO58" s="227">
        <f t="shared" si="171"/>
        <v>2533.23</v>
      </c>
      <c r="BP58" s="227">
        <f t="shared" si="172"/>
        <v>2808.2</v>
      </c>
      <c r="BQ58" s="227">
        <f t="shared" si="173"/>
        <v>2948.62</v>
      </c>
      <c r="BR58" s="227">
        <f t="shared" si="174"/>
        <v>3334.75</v>
      </c>
      <c r="BS58" s="227">
        <f t="shared" si="175"/>
        <v>3638.97</v>
      </c>
      <c r="BT58" s="227" t="str">
        <f t="shared" si="176"/>
        <v>-</v>
      </c>
      <c r="BU58" s="380">
        <f>$BW$34</f>
        <v>80</v>
      </c>
      <c r="BV58" s="115">
        <f t="shared" si="177"/>
        <v>9</v>
      </c>
      <c r="BW58" s="227">
        <f>IF(BO58="-","-",IF(AND($BU58=0,$BW$35=0),ROUND(BO58*$BW$36,2),IF(AND($BU58&gt;0,$BW$35=0,(((BO58*$BW$36)-BO58)&lt;$BU58)),BO58+$BU58,IF(AND($BU58&gt;0,$BW$35=0,(((BO58*$BW$36)-BO58)&gt;=$BU58)),ROUND(BO58*$BW$36,2),IF(AND($BW$35&gt;0,$CA$35=1),ROUND((BO58+$BW$35)*$BW$36,2),IF(AND($BW$35&gt;0,$CA$35=2),ROUND(BO58*$BW$36,2)+$BW$35))))))</f>
        <v>2613.23</v>
      </c>
      <c r="BX58" s="227">
        <f t="shared" si="179"/>
        <v>2888.2</v>
      </c>
      <c r="BY58" s="227">
        <f t="shared" si="180"/>
        <v>3028.62</v>
      </c>
      <c r="BZ58" s="227">
        <f t="shared" si="181"/>
        <v>3414.78</v>
      </c>
      <c r="CA58" s="227">
        <f t="shared" si="182"/>
        <v>3726.31</v>
      </c>
      <c r="CB58" s="227" t="str">
        <f t="shared" si="183"/>
        <v>-</v>
      </c>
      <c r="CC58" s="161"/>
      <c r="CD58" s="115">
        <f t="shared" si="184"/>
        <v>9</v>
      </c>
      <c r="CE58" s="227">
        <f>IF(BW58="-","-",IF(ROUND(BW58*$CE$36,2)-BW58&lt;$CE$34,BW58+$CE$34,ROUND(BW58*$CE$36,2)))</f>
        <v>2688.23</v>
      </c>
      <c r="CF58" s="227">
        <f t="shared" si="186"/>
        <v>2963.2</v>
      </c>
      <c r="CG58" s="227">
        <f t="shared" si="187"/>
        <v>3103.62</v>
      </c>
      <c r="CH58" s="227">
        <f t="shared" si="188"/>
        <v>3489.78</v>
      </c>
      <c r="CI58" s="227">
        <f t="shared" si="189"/>
        <v>3801.31</v>
      </c>
      <c r="CJ58" s="227" t="str">
        <f t="shared" si="190"/>
        <v>-</v>
      </c>
      <c r="CK58" s="159"/>
      <c r="CL58" s="115">
        <f t="shared" si="191"/>
        <v>9</v>
      </c>
      <c r="CM58" s="227">
        <f t="shared" si="192"/>
        <v>2688.23</v>
      </c>
      <c r="CN58" s="227">
        <f t="shared" si="193"/>
        <v>2963.2</v>
      </c>
      <c r="CO58" s="227">
        <f t="shared" si="194"/>
        <v>3103.62</v>
      </c>
      <c r="CP58" s="227">
        <f t="shared" si="195"/>
        <v>3489.78</v>
      </c>
      <c r="CQ58" s="227">
        <f t="shared" si="196"/>
        <v>3801.31</v>
      </c>
      <c r="CR58" s="227">
        <v>3943.21</v>
      </c>
      <c r="CS58" s="159"/>
      <c r="CT58" s="115">
        <f t="shared" si="197"/>
        <v>9</v>
      </c>
      <c r="CU58" s="227">
        <f t="shared" si="198"/>
        <v>2747.37</v>
      </c>
      <c r="CV58" s="227">
        <f t="shared" si="148"/>
        <v>3028.39</v>
      </c>
      <c r="CW58" s="227">
        <f t="shared" si="148"/>
        <v>3171.9</v>
      </c>
      <c r="CX58" s="227">
        <f t="shared" si="148"/>
        <v>3566.56</v>
      </c>
      <c r="CY58" s="227">
        <f t="shared" si="148"/>
        <v>3884.94</v>
      </c>
      <c r="CZ58" s="227">
        <f t="shared" si="224"/>
        <v>3943.21</v>
      </c>
      <c r="DB58" s="115">
        <f t="shared" si="199"/>
        <v>9</v>
      </c>
      <c r="DC58" s="227">
        <f t="shared" si="200"/>
        <v>2747.37</v>
      </c>
      <c r="DD58" s="227">
        <f t="shared" si="132"/>
        <v>3028.39</v>
      </c>
      <c r="DE58" s="227">
        <f t="shared" si="133"/>
        <v>3171.9</v>
      </c>
      <c r="DF58" s="227">
        <f t="shared" si="134"/>
        <v>3566.56</v>
      </c>
      <c r="DG58" s="227">
        <f t="shared" si="135"/>
        <v>3884.94</v>
      </c>
      <c r="DH58" s="227">
        <v>4001.49</v>
      </c>
      <c r="DJ58" s="74" t="s">
        <v>251</v>
      </c>
      <c r="DK58" s="37">
        <f t="shared" si="202"/>
        <v>2871</v>
      </c>
      <c r="DL58" s="112">
        <f t="shared" si="203"/>
        <v>3128.39</v>
      </c>
      <c r="DM58" s="112">
        <f t="shared" si="204"/>
        <v>3271.9</v>
      </c>
      <c r="DN58" s="112">
        <f t="shared" si="205"/>
        <v>3673.56</v>
      </c>
      <c r="DO58" s="112">
        <f t="shared" si="206"/>
        <v>4001.49</v>
      </c>
      <c r="DP58" s="112">
        <f t="shared" si="207"/>
        <v>4121.53</v>
      </c>
      <c r="DR58" s="115" t="str">
        <f t="shared" si="208"/>
        <v>9b</v>
      </c>
      <c r="DS58" s="37">
        <f t="shared" si="209"/>
        <v>2871</v>
      </c>
      <c r="DT58" s="37">
        <f t="shared" si="149"/>
        <v>3128.39</v>
      </c>
      <c r="DU58" s="37">
        <f t="shared" si="149"/>
        <v>3271.9</v>
      </c>
      <c r="DV58" s="37">
        <f t="shared" si="149"/>
        <v>3673.56</v>
      </c>
      <c r="DW58" s="37">
        <f t="shared" si="149"/>
        <v>4001.49</v>
      </c>
      <c r="DX58" s="37">
        <f t="shared" si="149"/>
        <v>4121.53</v>
      </c>
      <c r="DZ58" s="115" t="str">
        <f t="shared" si="210"/>
        <v>9b</v>
      </c>
      <c r="EA58" s="37">
        <f t="shared" si="211"/>
        <v>2994.45</v>
      </c>
      <c r="EB58" s="112">
        <f t="shared" si="212"/>
        <v>3228.39</v>
      </c>
      <c r="EC58" s="112">
        <f t="shared" si="213"/>
        <v>3373.98</v>
      </c>
      <c r="ED58" s="112">
        <f t="shared" si="214"/>
        <v>3788.18</v>
      </c>
      <c r="EE58" s="112">
        <f t="shared" si="215"/>
        <v>4126.34</v>
      </c>
      <c r="EF58" s="112">
        <f t="shared" si="216"/>
        <v>4250.12</v>
      </c>
      <c r="EH58" s="115" t="str">
        <f t="shared" si="217"/>
        <v>9b</v>
      </c>
      <c r="EI58" s="37">
        <f t="shared" si="218"/>
        <v>3048.35</v>
      </c>
      <c r="EJ58" s="112">
        <f t="shared" si="219"/>
        <v>3270.36</v>
      </c>
      <c r="EK58" s="112">
        <f t="shared" si="220"/>
        <v>3417.84</v>
      </c>
      <c r="EL58" s="112">
        <f t="shared" si="221"/>
        <v>3837.43</v>
      </c>
      <c r="EM58" s="112">
        <f t="shared" si="222"/>
        <v>4179.9799999999996</v>
      </c>
      <c r="EN58" s="112">
        <f t="shared" si="223"/>
        <v>4305.37</v>
      </c>
    </row>
    <row r="59" spans="2:144">
      <c r="B59" s="75">
        <f t="shared" si="226"/>
        <v>5</v>
      </c>
      <c r="C59" s="384">
        <f t="shared" si="227"/>
        <v>1688</v>
      </c>
      <c r="D59" s="37">
        <f t="shared" si="227"/>
        <v>1875</v>
      </c>
      <c r="E59" s="37">
        <f t="shared" si="227"/>
        <v>1970</v>
      </c>
      <c r="F59" s="37">
        <f t="shared" si="227"/>
        <v>2065</v>
      </c>
      <c r="G59" s="37">
        <f t="shared" si="227"/>
        <v>2135</v>
      </c>
      <c r="H59" s="385">
        <f t="shared" si="227"/>
        <v>2185</v>
      </c>
      <c r="AO59" s="159"/>
      <c r="AP59" s="115">
        <f t="shared" si="141"/>
        <v>8</v>
      </c>
      <c r="AQ59" s="114">
        <f t="shared" si="150"/>
        <v>2198.14</v>
      </c>
      <c r="AR59" s="114">
        <f t="shared" si="151"/>
        <v>2436.96</v>
      </c>
      <c r="AS59" s="114">
        <f t="shared" si="152"/>
        <v>2545.5</v>
      </c>
      <c r="AT59" s="114">
        <f t="shared" si="153"/>
        <v>2648.63</v>
      </c>
      <c r="AU59" s="114">
        <f t="shared" si="154"/>
        <v>2762.61</v>
      </c>
      <c r="AV59" s="114">
        <f t="shared" si="155"/>
        <v>2833.17</v>
      </c>
      <c r="AW59" s="159"/>
      <c r="AX59" s="115">
        <f t="shared" si="156"/>
        <v>8</v>
      </c>
      <c r="AY59" s="112">
        <f t="shared" si="157"/>
        <v>2259.69</v>
      </c>
      <c r="AZ59" s="112">
        <f t="shared" si="158"/>
        <v>2505.19</v>
      </c>
      <c r="BA59" s="112">
        <f t="shared" si="159"/>
        <v>2616.77</v>
      </c>
      <c r="BB59" s="112">
        <f t="shared" si="160"/>
        <v>2722.79</v>
      </c>
      <c r="BC59" s="112">
        <f t="shared" si="161"/>
        <v>2839.96</v>
      </c>
      <c r="BD59" s="112">
        <f t="shared" si="162"/>
        <v>2912.5</v>
      </c>
      <c r="BE59" s="159"/>
      <c r="BF59" s="115">
        <f t="shared" si="163"/>
        <v>8</v>
      </c>
      <c r="BG59" s="227">
        <f t="shared" si="164"/>
        <v>2322.96</v>
      </c>
      <c r="BH59" s="227">
        <f t="shared" si="165"/>
        <v>2575.34</v>
      </c>
      <c r="BI59" s="227">
        <f t="shared" si="166"/>
        <v>2690.04</v>
      </c>
      <c r="BJ59" s="227">
        <f t="shared" si="167"/>
        <v>2799.03</v>
      </c>
      <c r="BK59" s="227">
        <f t="shared" si="168"/>
        <v>2919.48</v>
      </c>
      <c r="BL59" s="227">
        <f t="shared" si="169"/>
        <v>2994.05</v>
      </c>
      <c r="BN59" s="115">
        <f t="shared" si="170"/>
        <v>8</v>
      </c>
      <c r="BO59" s="227">
        <f t="shared" si="171"/>
        <v>2369.42</v>
      </c>
      <c r="BP59" s="227">
        <f t="shared" si="172"/>
        <v>2626.85</v>
      </c>
      <c r="BQ59" s="227">
        <f t="shared" si="173"/>
        <v>2743.84</v>
      </c>
      <c r="BR59" s="227">
        <f t="shared" si="174"/>
        <v>2855.01</v>
      </c>
      <c r="BS59" s="227">
        <f t="shared" si="175"/>
        <v>2977.87</v>
      </c>
      <c r="BT59" s="227">
        <f t="shared" si="176"/>
        <v>3053.93</v>
      </c>
      <c r="BU59" s="380">
        <f>$BW$34</f>
        <v>80</v>
      </c>
      <c r="BV59" s="115">
        <f t="shared" si="177"/>
        <v>8</v>
      </c>
      <c r="BW59" s="227">
        <f t="shared" si="178"/>
        <v>2449.42</v>
      </c>
      <c r="BX59" s="227">
        <f t="shared" si="179"/>
        <v>2706.85</v>
      </c>
      <c r="BY59" s="227">
        <f t="shared" si="180"/>
        <v>2823.84</v>
      </c>
      <c r="BZ59" s="227">
        <f t="shared" si="181"/>
        <v>2935.01</v>
      </c>
      <c r="CA59" s="227">
        <f t="shared" si="182"/>
        <v>3057.87</v>
      </c>
      <c r="CB59" s="227">
        <f t="shared" si="183"/>
        <v>3133.93</v>
      </c>
      <c r="CC59" s="161"/>
      <c r="CD59" s="115" t="str">
        <f>$BV$58&amp;" kl"</f>
        <v>9 kl</v>
      </c>
      <c r="CE59" s="227">
        <f>CE58</f>
        <v>2688.23</v>
      </c>
      <c r="CF59" s="227">
        <f>CF58</f>
        <v>2963.2</v>
      </c>
      <c r="CG59" s="227">
        <f>CG58</f>
        <v>3103.62</v>
      </c>
      <c r="CH59" s="227">
        <f>CH58</f>
        <v>3489.78</v>
      </c>
      <c r="CI59" s="227" t="s">
        <v>15</v>
      </c>
      <c r="CJ59" s="227" t="s">
        <v>15</v>
      </c>
      <c r="CK59" s="159"/>
      <c r="CL59" s="115" t="str">
        <f t="shared" si="191"/>
        <v>9 kl</v>
      </c>
      <c r="CM59" s="227">
        <f t="shared" si="192"/>
        <v>2688.23</v>
      </c>
      <c r="CN59" s="227">
        <f t="shared" si="193"/>
        <v>2963.2</v>
      </c>
      <c r="CO59" s="227">
        <f t="shared" si="194"/>
        <v>3103.62</v>
      </c>
      <c r="CP59" s="227">
        <f t="shared" si="195"/>
        <v>3489.78</v>
      </c>
      <c r="CQ59" s="227">
        <f>CP59+53.5</f>
        <v>3543.28</v>
      </c>
      <c r="CR59" s="227" t="str">
        <f t="shared" ref="CR59:CR68" si="228">CJ59</f>
        <v>-</v>
      </c>
      <c r="CS59" s="159"/>
      <c r="CT59" s="115" t="str">
        <f t="shared" si="197"/>
        <v>9 kl</v>
      </c>
      <c r="CU59" s="227">
        <f t="shared" si="198"/>
        <v>2747.37</v>
      </c>
      <c r="CV59" s="227">
        <f t="shared" ref="CV59:CV68" si="229">IF(CF59="-","-",ROUND(CF59*$CU$36,2))</f>
        <v>3028.39</v>
      </c>
      <c r="CW59" s="227">
        <f t="shared" ref="CW59:CW68" si="230">IF(CG59="-","-",ROUND(CG59*$CU$36,2))</f>
        <v>3171.9</v>
      </c>
      <c r="CX59" s="227">
        <f t="shared" ref="CX59:CX68" si="231">IF(CH59="-","-",ROUND(CH59*$CU$36,2))</f>
        <v>3566.56</v>
      </c>
      <c r="CY59" s="227">
        <f>CX59+53.5</f>
        <v>3620.06</v>
      </c>
      <c r="CZ59" s="227" t="str">
        <f>CR59</f>
        <v>-</v>
      </c>
      <c r="DB59" s="115" t="str">
        <f t="shared" si="199"/>
        <v>9 kl</v>
      </c>
      <c r="DC59" s="227">
        <f t="shared" si="200"/>
        <v>2747.37</v>
      </c>
      <c r="DD59" s="227">
        <f t="shared" si="132"/>
        <v>3028.39</v>
      </c>
      <c r="DE59" s="227">
        <f t="shared" si="133"/>
        <v>3171.9</v>
      </c>
      <c r="DF59" s="227">
        <f t="shared" si="134"/>
        <v>3566.56</v>
      </c>
      <c r="DG59" s="227">
        <f>DF59+107</f>
        <v>3673.56</v>
      </c>
      <c r="DH59" s="227" t="str">
        <f t="shared" ref="DH59:DH68" si="232">CZ59</f>
        <v>-</v>
      </c>
      <c r="DJ59" s="115" t="str">
        <f t="shared" si="201"/>
        <v>9 kl</v>
      </c>
      <c r="DK59" s="37">
        <f t="shared" si="202"/>
        <v>2871</v>
      </c>
      <c r="DL59" s="112">
        <f t="shared" si="203"/>
        <v>3128.39</v>
      </c>
      <c r="DM59" s="112">
        <f t="shared" si="204"/>
        <v>3271.9</v>
      </c>
      <c r="DN59" s="112">
        <f t="shared" si="205"/>
        <v>3673.56</v>
      </c>
      <c r="DO59" s="545">
        <f t="shared" si="206"/>
        <v>3783.77</v>
      </c>
      <c r="DP59" s="112" t="str">
        <f t="shared" si="207"/>
        <v>-</v>
      </c>
      <c r="DR59" s="74" t="s">
        <v>252</v>
      </c>
      <c r="DS59" s="37">
        <f t="shared" si="209"/>
        <v>2871</v>
      </c>
      <c r="DT59" s="37">
        <f t="shared" si="149"/>
        <v>3128.39</v>
      </c>
      <c r="DU59" s="37">
        <f>DV60</f>
        <v>3176.23</v>
      </c>
      <c r="DV59" s="37">
        <f>DM59</f>
        <v>3271.9</v>
      </c>
      <c r="DW59" s="37">
        <f>DN59</f>
        <v>3673.56</v>
      </c>
      <c r="DX59" s="37">
        <f>DO59</f>
        <v>3783.77</v>
      </c>
      <c r="DZ59" s="115" t="str">
        <f t="shared" si="210"/>
        <v>9a</v>
      </c>
      <c r="EA59" s="37">
        <f t="shared" si="211"/>
        <v>2994.45</v>
      </c>
      <c r="EB59" s="112">
        <f t="shared" si="212"/>
        <v>3228.39</v>
      </c>
      <c r="EC59" s="112">
        <f t="shared" si="213"/>
        <v>3276.23</v>
      </c>
      <c r="ED59" s="112">
        <f t="shared" si="214"/>
        <v>3373.98</v>
      </c>
      <c r="EE59" s="112">
        <f t="shared" si="215"/>
        <v>3788.18</v>
      </c>
      <c r="EF59" s="112">
        <f t="shared" si="216"/>
        <v>3901.82</v>
      </c>
      <c r="EH59" s="115" t="str">
        <f t="shared" si="217"/>
        <v>9a</v>
      </c>
      <c r="EI59" s="37">
        <f t="shared" si="218"/>
        <v>3048.35</v>
      </c>
      <c r="EJ59" s="112">
        <f t="shared" si="219"/>
        <v>3270.36</v>
      </c>
      <c r="EK59" s="112">
        <f t="shared" si="220"/>
        <v>3318.82</v>
      </c>
      <c r="EL59" s="112">
        <f t="shared" si="221"/>
        <v>3417.84</v>
      </c>
      <c r="EM59" s="112">
        <f t="shared" si="222"/>
        <v>3837.43</v>
      </c>
      <c r="EN59" s="112">
        <f t="shared" si="223"/>
        <v>3952.54</v>
      </c>
    </row>
    <row r="60" spans="2:144">
      <c r="B60" s="75">
        <f t="shared" si="226"/>
        <v>4</v>
      </c>
      <c r="C60" s="384">
        <f t="shared" si="227"/>
        <v>1602</v>
      </c>
      <c r="D60" s="37">
        <f t="shared" si="227"/>
        <v>1780</v>
      </c>
      <c r="E60" s="37">
        <f t="shared" si="227"/>
        <v>1900</v>
      </c>
      <c r="F60" s="37">
        <f t="shared" si="227"/>
        <v>1970</v>
      </c>
      <c r="G60" s="37">
        <f t="shared" si="227"/>
        <v>2040</v>
      </c>
      <c r="H60" s="385">
        <f t="shared" si="227"/>
        <v>2081</v>
      </c>
      <c r="AO60" s="159"/>
      <c r="AP60" s="115">
        <f t="shared" si="141"/>
        <v>7</v>
      </c>
      <c r="AQ60" s="114">
        <f t="shared" si="150"/>
        <v>2057.0300000000002</v>
      </c>
      <c r="AR60" s="114">
        <f t="shared" si="151"/>
        <v>2279.56</v>
      </c>
      <c r="AS60" s="114">
        <f t="shared" si="152"/>
        <v>2426.1</v>
      </c>
      <c r="AT60" s="114">
        <f t="shared" si="153"/>
        <v>2534.65</v>
      </c>
      <c r="AU60" s="114">
        <f t="shared" si="154"/>
        <v>2621.49</v>
      </c>
      <c r="AV60" s="114">
        <f t="shared" si="155"/>
        <v>2697.47</v>
      </c>
      <c r="AW60" s="159"/>
      <c r="AX60" s="115">
        <f t="shared" si="156"/>
        <v>7</v>
      </c>
      <c r="AY60" s="112">
        <f t="shared" si="157"/>
        <v>2114.63</v>
      </c>
      <c r="AZ60" s="112">
        <f t="shared" si="158"/>
        <v>2343.39</v>
      </c>
      <c r="BA60" s="112">
        <f t="shared" si="159"/>
        <v>2494.0300000000002</v>
      </c>
      <c r="BB60" s="112">
        <f t="shared" si="160"/>
        <v>2605.62</v>
      </c>
      <c r="BC60" s="112">
        <f t="shared" si="161"/>
        <v>2694.89</v>
      </c>
      <c r="BD60" s="112">
        <f t="shared" si="162"/>
        <v>2773</v>
      </c>
      <c r="BE60" s="159"/>
      <c r="BF60" s="115">
        <f t="shared" si="163"/>
        <v>7</v>
      </c>
      <c r="BG60" s="227">
        <f t="shared" si="164"/>
        <v>2173.84</v>
      </c>
      <c r="BH60" s="227">
        <f t="shared" si="165"/>
        <v>2409</v>
      </c>
      <c r="BI60" s="227">
        <f t="shared" si="166"/>
        <v>2563.86</v>
      </c>
      <c r="BJ60" s="227">
        <f t="shared" si="167"/>
        <v>2678.58</v>
      </c>
      <c r="BK60" s="227">
        <f t="shared" si="168"/>
        <v>2770.35</v>
      </c>
      <c r="BL60" s="227">
        <f t="shared" si="169"/>
        <v>2850.64</v>
      </c>
      <c r="BN60" s="115">
        <f t="shared" si="170"/>
        <v>7</v>
      </c>
      <c r="BO60" s="227">
        <f t="shared" si="171"/>
        <v>2217.3200000000002</v>
      </c>
      <c r="BP60" s="227">
        <f t="shared" si="172"/>
        <v>2457.1799999999998</v>
      </c>
      <c r="BQ60" s="227">
        <f t="shared" si="173"/>
        <v>2615.14</v>
      </c>
      <c r="BR60" s="227">
        <f t="shared" si="174"/>
        <v>2732.15</v>
      </c>
      <c r="BS60" s="227">
        <f t="shared" si="175"/>
        <v>2825.76</v>
      </c>
      <c r="BT60" s="227">
        <f t="shared" si="176"/>
        <v>2907.65</v>
      </c>
      <c r="BU60" s="380">
        <f t="shared" ref="BU60:BU67" si="233">$BW$34</f>
        <v>80</v>
      </c>
      <c r="BV60" s="115">
        <f t="shared" si="177"/>
        <v>7</v>
      </c>
      <c r="BW60" s="227">
        <f t="shared" si="178"/>
        <v>2297.3200000000002</v>
      </c>
      <c r="BX60" s="227">
        <f t="shared" si="179"/>
        <v>2537.1799999999998</v>
      </c>
      <c r="BY60" s="227">
        <f t="shared" si="180"/>
        <v>2695.14</v>
      </c>
      <c r="BZ60" s="227">
        <f t="shared" si="181"/>
        <v>2812.15</v>
      </c>
      <c r="CA60" s="227">
        <f t="shared" si="182"/>
        <v>2905.76</v>
      </c>
      <c r="CB60" s="227">
        <f t="shared" si="183"/>
        <v>2987.65</v>
      </c>
      <c r="CC60" s="161"/>
      <c r="CD60" s="115">
        <f t="shared" ref="CD60:CD68" si="234">BV59</f>
        <v>8</v>
      </c>
      <c r="CE60" s="227">
        <f t="shared" ref="CE60:CE68" si="235">IF(BW59="-","-",IF(ROUND(BW59*$CE$36,2)-BW59&lt;$CE$34,BW59+$CE$34,ROUND(BW59*$CE$36,2)))</f>
        <v>2524.42</v>
      </c>
      <c r="CF60" s="227">
        <f t="shared" ref="CF60:CF68" si="236">IF(BX59="-","-",IF(ROUND(BX59*$CE$36,2)-BX59&lt;$CE$34,BX59+$CE$34,ROUND(BX59*$CE$36,2)))</f>
        <v>2781.85</v>
      </c>
      <c r="CG60" s="227">
        <f t="shared" ref="CG60:CG68" si="237">IF(BY59="-","-",IF(ROUND(BY59*$CE$36,2)-BY59&lt;$CE$34,BY59+$CE$34,ROUND(BY59*$CE$36,2)))</f>
        <v>2898.84</v>
      </c>
      <c r="CH60" s="227">
        <f t="shared" ref="CH60:CH68" si="238">IF(BZ59="-","-",IF(ROUND(BZ59*$CE$36,2)-BZ59&lt;$CE$34,BZ59+$CE$34,ROUND(BZ59*$CE$36,2)))</f>
        <v>3010.01</v>
      </c>
      <c r="CI60" s="227">
        <f t="shared" ref="CI60:CI68" si="239">IF(CA59="-","-",IF(ROUND(CA59*$CE$36,2)-CA59&lt;$CE$34,CA59+$CE$34,ROUND(CA59*$CE$36,2)))</f>
        <v>3132.87</v>
      </c>
      <c r="CJ60" s="227">
        <f t="shared" ref="CJ60:CJ68" si="240">IF(CB59="-","-",IF(ROUND(CB59*$CE$36,2)-CB59&lt;$CE$34,CB59+$CE$34,ROUND(CB59*$CE$36,2)))</f>
        <v>3208.93</v>
      </c>
      <c r="CK60" s="159"/>
      <c r="CL60" s="115">
        <f t="shared" ref="CL60:CL68" si="241">CD60</f>
        <v>8</v>
      </c>
      <c r="CM60" s="227">
        <f t="shared" ref="CM60:CM68" si="242">CE60</f>
        <v>2524.42</v>
      </c>
      <c r="CN60" s="227">
        <f t="shared" ref="CN60:CN68" si="243">CF60</f>
        <v>2781.85</v>
      </c>
      <c r="CO60" s="227">
        <f t="shared" ref="CO60:CO68" si="244">CG60</f>
        <v>2898.84</v>
      </c>
      <c r="CP60" s="227">
        <f t="shared" ref="CP60:CP68" si="245">CH60</f>
        <v>3010.01</v>
      </c>
      <c r="CQ60" s="227">
        <f t="shared" ref="CQ60:CQ68" si="246">CI60</f>
        <v>3132.87</v>
      </c>
      <c r="CR60" s="227">
        <f t="shared" si="228"/>
        <v>3208.93</v>
      </c>
      <c r="CS60" s="159"/>
      <c r="CT60" s="115">
        <f t="shared" ref="CT60:CT68" si="247">CL60</f>
        <v>8</v>
      </c>
      <c r="CU60" s="227">
        <f t="shared" ref="CU60:CU68" si="248">IF(CE60="-","-",ROUND(CE60*$CU$36,2))</f>
        <v>2579.96</v>
      </c>
      <c r="CV60" s="227">
        <f t="shared" si="229"/>
        <v>2843.05</v>
      </c>
      <c r="CW60" s="227">
        <f t="shared" si="230"/>
        <v>2962.61</v>
      </c>
      <c r="CX60" s="227">
        <f t="shared" si="231"/>
        <v>3076.23</v>
      </c>
      <c r="CY60" s="227">
        <f t="shared" ref="CY60:CY68" si="249">IF(CI60="-","-",ROUND(CI60*$CU$36,2))</f>
        <v>3201.79</v>
      </c>
      <c r="CZ60" s="227">
        <f t="shared" ref="CZ60:CZ68" si="250">IF(CJ60="-","-",ROUND(CJ60*$CU$36,2))</f>
        <v>3279.53</v>
      </c>
      <c r="DB60" s="115">
        <f t="shared" ref="DB60:DB68" si="251">CT60</f>
        <v>8</v>
      </c>
      <c r="DC60" s="227">
        <f t="shared" ref="DC60:DC68" si="252">CU60</f>
        <v>2579.96</v>
      </c>
      <c r="DD60" s="227">
        <f t="shared" ref="DD60:DD68" si="253">CV60</f>
        <v>2843.05</v>
      </c>
      <c r="DE60" s="227">
        <f t="shared" ref="DE60:DE68" si="254">CW60</f>
        <v>2962.61</v>
      </c>
      <c r="DF60" s="227">
        <f t="shared" ref="DF60:DF68" si="255">CX60</f>
        <v>3076.23</v>
      </c>
      <c r="DG60" s="227">
        <f t="shared" ref="DG60:DG68" si="256">CY60</f>
        <v>3201.79</v>
      </c>
      <c r="DH60" s="227">
        <f t="shared" si="232"/>
        <v>3279.53</v>
      </c>
      <c r="DI60" s="161"/>
      <c r="DJ60" s="115">
        <f t="shared" si="201"/>
        <v>8</v>
      </c>
      <c r="DK60" s="37">
        <f t="shared" si="202"/>
        <v>2696.06</v>
      </c>
      <c r="DL60" s="112">
        <f t="shared" si="203"/>
        <v>2943.05</v>
      </c>
      <c r="DM60" s="112">
        <f t="shared" si="204"/>
        <v>3062.61</v>
      </c>
      <c r="DN60" s="112">
        <f t="shared" si="205"/>
        <v>3176.23</v>
      </c>
      <c r="DO60" s="112">
        <f t="shared" si="206"/>
        <v>3301.79</v>
      </c>
      <c r="DP60" s="112">
        <f t="shared" si="207"/>
        <v>3379.53</v>
      </c>
      <c r="DR60" s="115">
        <f t="shared" si="208"/>
        <v>8</v>
      </c>
      <c r="DS60" s="37">
        <f t="shared" si="209"/>
        <v>2696.06</v>
      </c>
      <c r="DT60" s="37">
        <f t="shared" si="149"/>
        <v>2943.05</v>
      </c>
      <c r="DU60" s="37">
        <f t="shared" si="149"/>
        <v>3062.61</v>
      </c>
      <c r="DV60" s="37">
        <f t="shared" si="149"/>
        <v>3176.23</v>
      </c>
      <c r="DW60" s="37">
        <f t="shared" si="149"/>
        <v>3301.79</v>
      </c>
      <c r="DX60" s="37">
        <f t="shared" si="149"/>
        <v>3379.53</v>
      </c>
      <c r="DZ60" s="115">
        <f t="shared" si="210"/>
        <v>8</v>
      </c>
      <c r="EA60" s="37">
        <f t="shared" si="211"/>
        <v>2811.99</v>
      </c>
      <c r="EB60" s="112">
        <f t="shared" si="212"/>
        <v>3043.05</v>
      </c>
      <c r="EC60" s="112">
        <f t="shared" si="213"/>
        <v>3162.61</v>
      </c>
      <c r="ED60" s="112">
        <f t="shared" si="214"/>
        <v>3276.23</v>
      </c>
      <c r="EE60" s="112">
        <f t="shared" si="215"/>
        <v>3404.81</v>
      </c>
      <c r="EF60" s="112">
        <f t="shared" si="216"/>
        <v>3484.97</v>
      </c>
      <c r="EH60" s="115">
        <f t="shared" si="217"/>
        <v>8</v>
      </c>
      <c r="EI60" s="37">
        <f t="shared" si="218"/>
        <v>2862.61</v>
      </c>
      <c r="EJ60" s="112">
        <f t="shared" si="219"/>
        <v>3083.05</v>
      </c>
      <c r="EK60" s="112">
        <f t="shared" si="220"/>
        <v>3203.72</v>
      </c>
      <c r="EL60" s="112">
        <f t="shared" si="221"/>
        <v>3318.82</v>
      </c>
      <c r="EM60" s="112">
        <f t="shared" si="222"/>
        <v>3449.07</v>
      </c>
      <c r="EN60" s="112">
        <f t="shared" si="223"/>
        <v>3530.27</v>
      </c>
    </row>
    <row r="61" spans="2:144">
      <c r="B61" s="75">
        <f t="shared" si="226"/>
        <v>3</v>
      </c>
      <c r="C61" s="384">
        <f t="shared" si="227"/>
        <v>1575</v>
      </c>
      <c r="D61" s="37">
        <f t="shared" si="227"/>
        <v>1750</v>
      </c>
      <c r="E61" s="37">
        <f t="shared" si="227"/>
        <v>1800</v>
      </c>
      <c r="F61" s="37">
        <f t="shared" si="227"/>
        <v>1880</v>
      </c>
      <c r="G61" s="37">
        <f t="shared" si="227"/>
        <v>1940</v>
      </c>
      <c r="H61" s="385">
        <f t="shared" si="227"/>
        <v>1995</v>
      </c>
      <c r="AO61" s="159"/>
      <c r="AP61" s="115">
        <f t="shared" si="141"/>
        <v>6</v>
      </c>
      <c r="AQ61" s="114">
        <f t="shared" si="150"/>
        <v>2019.03</v>
      </c>
      <c r="AR61" s="114">
        <f t="shared" si="151"/>
        <v>2236.14</v>
      </c>
      <c r="AS61" s="114">
        <f t="shared" si="152"/>
        <v>2344.69</v>
      </c>
      <c r="AT61" s="114">
        <f t="shared" si="153"/>
        <v>2453.2399999999998</v>
      </c>
      <c r="AU61" s="114">
        <f t="shared" si="154"/>
        <v>2523.8000000000002</v>
      </c>
      <c r="AV61" s="114">
        <f t="shared" si="155"/>
        <v>2599.7800000000002</v>
      </c>
      <c r="AW61" s="159"/>
      <c r="AX61" s="115">
        <f t="shared" si="156"/>
        <v>6</v>
      </c>
      <c r="AY61" s="112">
        <f t="shared" si="157"/>
        <v>2075.56</v>
      </c>
      <c r="AZ61" s="112">
        <f t="shared" si="158"/>
        <v>2298.75</v>
      </c>
      <c r="BA61" s="112">
        <f t="shared" si="159"/>
        <v>2410.34</v>
      </c>
      <c r="BB61" s="112">
        <f t="shared" si="160"/>
        <v>2521.9299999999998</v>
      </c>
      <c r="BC61" s="112">
        <f t="shared" si="161"/>
        <v>2594.4699999999998</v>
      </c>
      <c r="BD61" s="112">
        <f t="shared" si="162"/>
        <v>2672.57</v>
      </c>
      <c r="BE61" s="159"/>
      <c r="BF61" s="115">
        <f t="shared" si="163"/>
        <v>6</v>
      </c>
      <c r="BG61" s="227">
        <f t="shared" si="164"/>
        <v>2133.6799999999998</v>
      </c>
      <c r="BH61" s="227">
        <f t="shared" si="165"/>
        <v>2363.12</v>
      </c>
      <c r="BI61" s="227">
        <f t="shared" si="166"/>
        <v>2477.83</v>
      </c>
      <c r="BJ61" s="227">
        <f t="shared" si="167"/>
        <v>2592.54</v>
      </c>
      <c r="BK61" s="227">
        <f t="shared" si="168"/>
        <v>2667.12</v>
      </c>
      <c r="BL61" s="227">
        <f t="shared" si="169"/>
        <v>2747.4</v>
      </c>
      <c r="BN61" s="115">
        <f t="shared" si="170"/>
        <v>6</v>
      </c>
      <c r="BO61" s="227">
        <f t="shared" si="171"/>
        <v>2176.35</v>
      </c>
      <c r="BP61" s="227">
        <f t="shared" si="172"/>
        <v>2410.38</v>
      </c>
      <c r="BQ61" s="227">
        <f t="shared" si="173"/>
        <v>2527.39</v>
      </c>
      <c r="BR61" s="227">
        <f t="shared" si="174"/>
        <v>2644.39</v>
      </c>
      <c r="BS61" s="227">
        <f t="shared" si="175"/>
        <v>2720.46</v>
      </c>
      <c r="BT61" s="227">
        <f t="shared" si="176"/>
        <v>2802.35</v>
      </c>
      <c r="BU61" s="380">
        <f t="shared" si="233"/>
        <v>80</v>
      </c>
      <c r="BV61" s="115">
        <f t="shared" si="177"/>
        <v>6</v>
      </c>
      <c r="BW61" s="227">
        <f t="shared" si="178"/>
        <v>2256.35</v>
      </c>
      <c r="BX61" s="227">
        <f t="shared" si="179"/>
        <v>2490.38</v>
      </c>
      <c r="BY61" s="227">
        <f t="shared" si="180"/>
        <v>2607.39</v>
      </c>
      <c r="BZ61" s="227">
        <f t="shared" si="181"/>
        <v>2724.39</v>
      </c>
      <c r="CA61" s="227">
        <f t="shared" si="182"/>
        <v>2800.46</v>
      </c>
      <c r="CB61" s="227">
        <f t="shared" si="183"/>
        <v>2882.35</v>
      </c>
      <c r="CC61" s="161"/>
      <c r="CD61" s="115">
        <f t="shared" si="234"/>
        <v>7</v>
      </c>
      <c r="CE61" s="227">
        <f t="shared" si="235"/>
        <v>2372.3200000000002</v>
      </c>
      <c r="CF61" s="227">
        <f t="shared" si="236"/>
        <v>2612.1799999999998</v>
      </c>
      <c r="CG61" s="227">
        <f t="shared" si="237"/>
        <v>2770.14</v>
      </c>
      <c r="CH61" s="227">
        <f t="shared" si="238"/>
        <v>2887.15</v>
      </c>
      <c r="CI61" s="227">
        <f t="shared" si="239"/>
        <v>2980.76</v>
      </c>
      <c r="CJ61" s="227">
        <f t="shared" si="240"/>
        <v>3062.65</v>
      </c>
      <c r="CK61" s="159"/>
      <c r="CL61" s="115">
        <f t="shared" si="241"/>
        <v>7</v>
      </c>
      <c r="CM61" s="227">
        <f t="shared" si="242"/>
        <v>2372.3200000000002</v>
      </c>
      <c r="CN61" s="227">
        <f t="shared" si="243"/>
        <v>2612.1799999999998</v>
      </c>
      <c r="CO61" s="227">
        <f t="shared" si="244"/>
        <v>2770.14</v>
      </c>
      <c r="CP61" s="227">
        <f t="shared" si="245"/>
        <v>2887.15</v>
      </c>
      <c r="CQ61" s="227">
        <f t="shared" si="246"/>
        <v>2980.76</v>
      </c>
      <c r="CR61" s="227">
        <f t="shared" si="228"/>
        <v>3062.65</v>
      </c>
      <c r="CS61" s="159"/>
      <c r="CT61" s="115">
        <f t="shared" si="247"/>
        <v>7</v>
      </c>
      <c r="CU61" s="227">
        <f t="shared" si="248"/>
        <v>2424.5100000000002</v>
      </c>
      <c r="CV61" s="227">
        <f t="shared" si="229"/>
        <v>2669.65</v>
      </c>
      <c r="CW61" s="227">
        <f t="shared" si="230"/>
        <v>2831.08</v>
      </c>
      <c r="CX61" s="227">
        <f t="shared" si="231"/>
        <v>2950.67</v>
      </c>
      <c r="CY61" s="227">
        <f t="shared" si="249"/>
        <v>3046.34</v>
      </c>
      <c r="CZ61" s="227">
        <f t="shared" si="250"/>
        <v>3130.03</v>
      </c>
      <c r="DB61" s="115">
        <f t="shared" si="251"/>
        <v>7</v>
      </c>
      <c r="DC61" s="227">
        <f t="shared" si="252"/>
        <v>2424.5100000000002</v>
      </c>
      <c r="DD61" s="227">
        <f t="shared" si="253"/>
        <v>2669.65</v>
      </c>
      <c r="DE61" s="227">
        <f t="shared" si="254"/>
        <v>2831.08</v>
      </c>
      <c r="DF61" s="227">
        <f t="shared" si="255"/>
        <v>2950.67</v>
      </c>
      <c r="DG61" s="227">
        <f t="shared" si="256"/>
        <v>3046.34</v>
      </c>
      <c r="DH61" s="227">
        <f t="shared" si="232"/>
        <v>3130.03</v>
      </c>
      <c r="DJ61" s="115">
        <f t="shared" si="201"/>
        <v>7</v>
      </c>
      <c r="DK61" s="37">
        <f t="shared" si="202"/>
        <v>2533.61</v>
      </c>
      <c r="DL61" s="112">
        <f t="shared" si="203"/>
        <v>2769.65</v>
      </c>
      <c r="DM61" s="112">
        <f t="shared" si="204"/>
        <v>2931.08</v>
      </c>
      <c r="DN61" s="112">
        <f t="shared" si="205"/>
        <v>3050.67</v>
      </c>
      <c r="DO61" s="112">
        <f t="shared" si="206"/>
        <v>3146.34</v>
      </c>
      <c r="DP61" s="112">
        <f t="shared" si="207"/>
        <v>3230.03</v>
      </c>
      <c r="DR61" s="115">
        <f t="shared" si="208"/>
        <v>7</v>
      </c>
      <c r="DS61" s="37">
        <f t="shared" si="209"/>
        <v>2533.61</v>
      </c>
      <c r="DT61" s="37">
        <f t="shared" si="149"/>
        <v>2769.65</v>
      </c>
      <c r="DU61" s="37">
        <f t="shared" si="149"/>
        <v>2931.08</v>
      </c>
      <c r="DV61" s="37">
        <f t="shared" si="149"/>
        <v>3050.67</v>
      </c>
      <c r="DW61" s="37">
        <f t="shared" si="149"/>
        <v>3146.34</v>
      </c>
      <c r="DX61" s="37">
        <f t="shared" si="149"/>
        <v>3230.03</v>
      </c>
      <c r="DZ61" s="115">
        <f t="shared" si="210"/>
        <v>7</v>
      </c>
      <c r="EA61" s="37">
        <f t="shared" si="211"/>
        <v>2642.56</v>
      </c>
      <c r="EB61" s="112">
        <f t="shared" si="212"/>
        <v>2869.65</v>
      </c>
      <c r="EC61" s="112">
        <f t="shared" si="213"/>
        <v>3031.08</v>
      </c>
      <c r="ED61" s="112">
        <f t="shared" si="214"/>
        <v>3150.67</v>
      </c>
      <c r="EE61" s="112">
        <f t="shared" si="215"/>
        <v>3246.34</v>
      </c>
      <c r="EF61" s="112">
        <f t="shared" si="216"/>
        <v>3330.81</v>
      </c>
      <c r="EH61" s="115">
        <f t="shared" si="217"/>
        <v>7</v>
      </c>
      <c r="EI61" s="37">
        <f t="shared" si="218"/>
        <v>2690.13</v>
      </c>
      <c r="EJ61" s="112">
        <f t="shared" si="219"/>
        <v>2909.65</v>
      </c>
      <c r="EK61" s="112">
        <f t="shared" si="220"/>
        <v>3071.08</v>
      </c>
      <c r="EL61" s="112">
        <f t="shared" si="221"/>
        <v>3191.63</v>
      </c>
      <c r="EM61" s="112">
        <f t="shared" si="222"/>
        <v>3288.54</v>
      </c>
      <c r="EN61" s="112">
        <f t="shared" si="223"/>
        <v>3374.11</v>
      </c>
    </row>
    <row r="62" spans="2:144">
      <c r="B62" s="75" t="str">
        <f t="shared" si="226"/>
        <v>2Ü</v>
      </c>
      <c r="C62" s="384">
        <f t="shared" si="227"/>
        <v>1503</v>
      </c>
      <c r="D62" s="37">
        <f t="shared" si="227"/>
        <v>1670</v>
      </c>
      <c r="E62" s="37">
        <f t="shared" si="227"/>
        <v>1730</v>
      </c>
      <c r="F62" s="37">
        <f t="shared" si="227"/>
        <v>1810</v>
      </c>
      <c r="G62" s="37">
        <f t="shared" si="227"/>
        <v>1865</v>
      </c>
      <c r="H62" s="385">
        <f t="shared" si="227"/>
        <v>1906</v>
      </c>
      <c r="AO62" s="159"/>
      <c r="AP62" s="115">
        <f t="shared" si="141"/>
        <v>5</v>
      </c>
      <c r="AQ62" s="114">
        <f t="shared" si="150"/>
        <v>1932.19</v>
      </c>
      <c r="AR62" s="114">
        <f t="shared" si="151"/>
        <v>2138.44</v>
      </c>
      <c r="AS62" s="114">
        <f t="shared" si="152"/>
        <v>2247</v>
      </c>
      <c r="AT62" s="114">
        <f t="shared" si="153"/>
        <v>2350.11</v>
      </c>
      <c r="AU62" s="114">
        <f t="shared" si="154"/>
        <v>2431.5300000000002</v>
      </c>
      <c r="AV62" s="114">
        <f t="shared" si="155"/>
        <v>2485.8000000000002</v>
      </c>
      <c r="AW62" s="159"/>
      <c r="AX62" s="115">
        <f t="shared" si="156"/>
        <v>5</v>
      </c>
      <c r="AY62" s="112">
        <f t="shared" si="157"/>
        <v>1986.29</v>
      </c>
      <c r="AZ62" s="112">
        <f t="shared" si="158"/>
        <v>2198.3200000000002</v>
      </c>
      <c r="BA62" s="112">
        <f t="shared" si="159"/>
        <v>2309.92</v>
      </c>
      <c r="BB62" s="112">
        <f t="shared" si="160"/>
        <v>2415.91</v>
      </c>
      <c r="BC62" s="112">
        <f t="shared" si="161"/>
        <v>2499.61</v>
      </c>
      <c r="BD62" s="112">
        <f t="shared" si="162"/>
        <v>2555.4</v>
      </c>
      <c r="BE62" s="159"/>
      <c r="BF62" s="115">
        <f t="shared" si="163"/>
        <v>5</v>
      </c>
      <c r="BG62" s="227">
        <f t="shared" si="164"/>
        <v>2041.91</v>
      </c>
      <c r="BH62" s="227">
        <f t="shared" si="165"/>
        <v>2259.87</v>
      </c>
      <c r="BI62" s="227">
        <f t="shared" si="166"/>
        <v>2374.6</v>
      </c>
      <c r="BJ62" s="227">
        <f t="shared" si="167"/>
        <v>2483.56</v>
      </c>
      <c r="BK62" s="227">
        <f t="shared" si="168"/>
        <v>2569.6</v>
      </c>
      <c r="BL62" s="227">
        <f t="shared" si="169"/>
        <v>2626.95</v>
      </c>
      <c r="BN62" s="115">
        <f t="shared" si="170"/>
        <v>5</v>
      </c>
      <c r="BO62" s="227">
        <f t="shared" si="171"/>
        <v>2082.75</v>
      </c>
      <c r="BP62" s="227">
        <f t="shared" si="172"/>
        <v>2305.0700000000002</v>
      </c>
      <c r="BQ62" s="227">
        <f t="shared" si="173"/>
        <v>2422.09</v>
      </c>
      <c r="BR62" s="227">
        <f t="shared" si="174"/>
        <v>2533.23</v>
      </c>
      <c r="BS62" s="227">
        <f t="shared" si="175"/>
        <v>2620.9899999999998</v>
      </c>
      <c r="BT62" s="227">
        <f t="shared" si="176"/>
        <v>2679.49</v>
      </c>
      <c r="BU62" s="380">
        <f t="shared" si="233"/>
        <v>80</v>
      </c>
      <c r="BV62" s="115">
        <f t="shared" si="177"/>
        <v>5</v>
      </c>
      <c r="BW62" s="227">
        <f t="shared" si="178"/>
        <v>2162.75</v>
      </c>
      <c r="BX62" s="227">
        <f t="shared" si="179"/>
        <v>2385.0700000000002</v>
      </c>
      <c r="BY62" s="227">
        <f t="shared" si="180"/>
        <v>2502.09</v>
      </c>
      <c r="BZ62" s="227">
        <f t="shared" si="181"/>
        <v>2613.23</v>
      </c>
      <c r="CA62" s="227">
        <f t="shared" si="182"/>
        <v>2700.99</v>
      </c>
      <c r="CB62" s="227">
        <f t="shared" si="183"/>
        <v>2759.49</v>
      </c>
      <c r="CC62" s="161"/>
      <c r="CD62" s="115">
        <f t="shared" si="234"/>
        <v>6</v>
      </c>
      <c r="CE62" s="227">
        <f t="shared" si="235"/>
        <v>2331.35</v>
      </c>
      <c r="CF62" s="227">
        <f t="shared" si="236"/>
        <v>2565.38</v>
      </c>
      <c r="CG62" s="227">
        <f t="shared" si="237"/>
        <v>2682.39</v>
      </c>
      <c r="CH62" s="227">
        <f t="shared" si="238"/>
        <v>2799.39</v>
      </c>
      <c r="CI62" s="227">
        <f t="shared" si="239"/>
        <v>2875.46</v>
      </c>
      <c r="CJ62" s="227">
        <f t="shared" si="240"/>
        <v>2957.35</v>
      </c>
      <c r="CK62" s="159"/>
      <c r="CL62" s="115">
        <f t="shared" si="241"/>
        <v>6</v>
      </c>
      <c r="CM62" s="227">
        <f t="shared" si="242"/>
        <v>2331.35</v>
      </c>
      <c r="CN62" s="227">
        <f t="shared" si="243"/>
        <v>2565.38</v>
      </c>
      <c r="CO62" s="227">
        <f t="shared" si="244"/>
        <v>2682.39</v>
      </c>
      <c r="CP62" s="227">
        <f t="shared" si="245"/>
        <v>2799.39</v>
      </c>
      <c r="CQ62" s="227">
        <f t="shared" si="246"/>
        <v>2875.46</v>
      </c>
      <c r="CR62" s="227">
        <f t="shared" si="228"/>
        <v>2957.35</v>
      </c>
      <c r="CS62" s="159"/>
      <c r="CT62" s="115">
        <f t="shared" si="247"/>
        <v>6</v>
      </c>
      <c r="CU62" s="227">
        <f t="shared" si="248"/>
        <v>2382.64</v>
      </c>
      <c r="CV62" s="227">
        <f t="shared" si="229"/>
        <v>2621.82</v>
      </c>
      <c r="CW62" s="227">
        <f t="shared" si="230"/>
        <v>2741.4</v>
      </c>
      <c r="CX62" s="227">
        <f t="shared" si="231"/>
        <v>2860.98</v>
      </c>
      <c r="CY62" s="227">
        <f t="shared" si="249"/>
        <v>2938.72</v>
      </c>
      <c r="CZ62" s="227">
        <f t="shared" si="250"/>
        <v>3022.41</v>
      </c>
      <c r="DB62" s="115">
        <f t="shared" si="251"/>
        <v>6</v>
      </c>
      <c r="DC62" s="227">
        <f t="shared" si="252"/>
        <v>2382.64</v>
      </c>
      <c r="DD62" s="227">
        <f t="shared" si="253"/>
        <v>2621.82</v>
      </c>
      <c r="DE62" s="227">
        <f t="shared" si="254"/>
        <v>2741.4</v>
      </c>
      <c r="DF62" s="227">
        <f t="shared" si="255"/>
        <v>2860.98</v>
      </c>
      <c r="DG62" s="227">
        <f t="shared" si="256"/>
        <v>2938.72</v>
      </c>
      <c r="DH62" s="227">
        <f t="shared" si="232"/>
        <v>3022.41</v>
      </c>
      <c r="DJ62" s="115">
        <f t="shared" si="201"/>
        <v>6</v>
      </c>
      <c r="DK62" s="37">
        <f t="shared" si="202"/>
        <v>2489.86</v>
      </c>
      <c r="DL62" s="112">
        <f t="shared" si="203"/>
        <v>2721.82</v>
      </c>
      <c r="DM62" s="112">
        <f t="shared" si="204"/>
        <v>2841.4</v>
      </c>
      <c r="DN62" s="112">
        <f t="shared" si="205"/>
        <v>2960.98</v>
      </c>
      <c r="DO62" s="112">
        <f t="shared" si="206"/>
        <v>3038.72</v>
      </c>
      <c r="DP62" s="112">
        <f t="shared" si="207"/>
        <v>3122.41</v>
      </c>
      <c r="DR62" s="115">
        <f t="shared" si="208"/>
        <v>6</v>
      </c>
      <c r="DS62" s="37">
        <f t="shared" si="209"/>
        <v>2489.86</v>
      </c>
      <c r="DT62" s="37">
        <f t="shared" si="149"/>
        <v>2721.82</v>
      </c>
      <c r="DU62" s="37">
        <f t="shared" si="149"/>
        <v>2841.4</v>
      </c>
      <c r="DV62" s="37">
        <f t="shared" si="149"/>
        <v>2960.98</v>
      </c>
      <c r="DW62" s="37">
        <f t="shared" si="149"/>
        <v>3038.72</v>
      </c>
      <c r="DX62" s="37">
        <f t="shared" si="149"/>
        <v>3122.41</v>
      </c>
      <c r="DZ62" s="115">
        <f t="shared" si="210"/>
        <v>6</v>
      </c>
      <c r="EA62" s="37">
        <f t="shared" si="211"/>
        <v>2596.92</v>
      </c>
      <c r="EB62" s="112">
        <f t="shared" si="212"/>
        <v>2821.82</v>
      </c>
      <c r="EC62" s="112">
        <f t="shared" si="213"/>
        <v>2941.4</v>
      </c>
      <c r="ED62" s="112">
        <f t="shared" si="214"/>
        <v>3060.98</v>
      </c>
      <c r="EE62" s="112">
        <f t="shared" si="215"/>
        <v>3138.72</v>
      </c>
      <c r="EF62" s="112">
        <f t="shared" si="216"/>
        <v>3222.41</v>
      </c>
      <c r="EH62" s="115">
        <f t="shared" si="217"/>
        <v>6</v>
      </c>
      <c r="EI62" s="37">
        <f t="shared" si="218"/>
        <v>2643.66</v>
      </c>
      <c r="EJ62" s="112">
        <f t="shared" si="219"/>
        <v>2861.82</v>
      </c>
      <c r="EK62" s="112">
        <f t="shared" si="220"/>
        <v>2981.4</v>
      </c>
      <c r="EL62" s="112">
        <f t="shared" si="221"/>
        <v>3100.98</v>
      </c>
      <c r="EM62" s="112">
        <f t="shared" si="222"/>
        <v>3179.52</v>
      </c>
      <c r="EN62" s="112">
        <f t="shared" si="223"/>
        <v>3264.3</v>
      </c>
    </row>
    <row r="63" spans="2:144">
      <c r="B63" s="75">
        <f t="shared" si="226"/>
        <v>2</v>
      </c>
      <c r="C63" s="384">
        <f t="shared" ref="C63:H63" si="257">C18</f>
        <v>1449</v>
      </c>
      <c r="D63" s="37">
        <f t="shared" si="257"/>
        <v>1610</v>
      </c>
      <c r="E63" s="37">
        <f t="shared" si="257"/>
        <v>1660</v>
      </c>
      <c r="F63" s="37">
        <f t="shared" si="257"/>
        <v>1710</v>
      </c>
      <c r="G63" s="37">
        <f t="shared" si="257"/>
        <v>1820</v>
      </c>
      <c r="H63" s="385">
        <f t="shared" si="257"/>
        <v>1935</v>
      </c>
      <c r="AO63" s="159"/>
      <c r="AP63" s="115">
        <f t="shared" si="141"/>
        <v>4</v>
      </c>
      <c r="AQ63" s="114">
        <f t="shared" si="150"/>
        <v>1834.5</v>
      </c>
      <c r="AR63" s="114">
        <f t="shared" si="151"/>
        <v>2035.33</v>
      </c>
      <c r="AS63" s="114">
        <f t="shared" si="152"/>
        <v>2171.0100000000002</v>
      </c>
      <c r="AT63" s="114">
        <f t="shared" si="153"/>
        <v>2247</v>
      </c>
      <c r="AU63" s="114">
        <f t="shared" si="154"/>
        <v>2322.98</v>
      </c>
      <c r="AV63" s="114">
        <f t="shared" si="155"/>
        <v>2371.8200000000002</v>
      </c>
      <c r="AW63" s="159"/>
      <c r="AX63" s="115">
        <f t="shared" si="156"/>
        <v>4</v>
      </c>
      <c r="AY63" s="112">
        <f t="shared" si="157"/>
        <v>1885.87</v>
      </c>
      <c r="AZ63" s="112">
        <f t="shared" si="158"/>
        <v>2092.3200000000002</v>
      </c>
      <c r="BA63" s="112">
        <f t="shared" si="159"/>
        <v>2231.8000000000002</v>
      </c>
      <c r="BB63" s="112">
        <f t="shared" si="160"/>
        <v>2309.92</v>
      </c>
      <c r="BC63" s="112">
        <f t="shared" si="161"/>
        <v>2388.02</v>
      </c>
      <c r="BD63" s="112">
        <f t="shared" si="162"/>
        <v>2438.23</v>
      </c>
      <c r="BE63" s="159"/>
      <c r="BF63" s="115">
        <f t="shared" si="163"/>
        <v>4</v>
      </c>
      <c r="BG63" s="227">
        <f t="shared" si="164"/>
        <v>1938.67</v>
      </c>
      <c r="BH63" s="227">
        <f t="shared" si="165"/>
        <v>2150.9</v>
      </c>
      <c r="BI63" s="227">
        <f t="shared" si="166"/>
        <v>2294.29</v>
      </c>
      <c r="BJ63" s="227">
        <f t="shared" si="167"/>
        <v>2374.6</v>
      </c>
      <c r="BK63" s="227">
        <f t="shared" si="168"/>
        <v>2454.88</v>
      </c>
      <c r="BL63" s="227">
        <f t="shared" si="169"/>
        <v>2506.5</v>
      </c>
      <c r="BN63" s="115">
        <f t="shared" si="170"/>
        <v>4</v>
      </c>
      <c r="BO63" s="227">
        <f t="shared" si="171"/>
        <v>1977.44</v>
      </c>
      <c r="BP63" s="227">
        <f t="shared" si="172"/>
        <v>2193.92</v>
      </c>
      <c r="BQ63" s="227">
        <f t="shared" si="173"/>
        <v>2340.1799999999998</v>
      </c>
      <c r="BR63" s="227">
        <f t="shared" si="174"/>
        <v>2422.09</v>
      </c>
      <c r="BS63" s="227">
        <f t="shared" si="175"/>
        <v>2503.98</v>
      </c>
      <c r="BT63" s="227">
        <f t="shared" si="176"/>
        <v>2556.63</v>
      </c>
      <c r="BU63" s="380">
        <f t="shared" si="233"/>
        <v>80</v>
      </c>
      <c r="BV63" s="115">
        <f t="shared" si="177"/>
        <v>4</v>
      </c>
      <c r="BW63" s="227">
        <f t="shared" si="178"/>
        <v>2057.44</v>
      </c>
      <c r="BX63" s="227">
        <f t="shared" si="179"/>
        <v>2273.92</v>
      </c>
      <c r="BY63" s="227">
        <f t="shared" si="180"/>
        <v>2420.1799999999998</v>
      </c>
      <c r="BZ63" s="227">
        <f t="shared" si="181"/>
        <v>2502.09</v>
      </c>
      <c r="CA63" s="227">
        <f t="shared" si="182"/>
        <v>2583.98</v>
      </c>
      <c r="CB63" s="227">
        <f t="shared" si="183"/>
        <v>2636.63</v>
      </c>
      <c r="CC63" s="161"/>
      <c r="CD63" s="115">
        <f t="shared" si="234"/>
        <v>5</v>
      </c>
      <c r="CE63" s="227">
        <f t="shared" si="235"/>
        <v>2237.75</v>
      </c>
      <c r="CF63" s="227">
        <f t="shared" si="236"/>
        <v>2460.0700000000002</v>
      </c>
      <c r="CG63" s="227">
        <f t="shared" si="237"/>
        <v>2577.09</v>
      </c>
      <c r="CH63" s="227">
        <f t="shared" si="238"/>
        <v>2688.23</v>
      </c>
      <c r="CI63" s="227">
        <f t="shared" si="239"/>
        <v>2775.99</v>
      </c>
      <c r="CJ63" s="227">
        <f t="shared" si="240"/>
        <v>2834.49</v>
      </c>
      <c r="CK63" s="159"/>
      <c r="CL63" s="115">
        <f t="shared" si="241"/>
        <v>5</v>
      </c>
      <c r="CM63" s="227">
        <f t="shared" si="242"/>
        <v>2237.75</v>
      </c>
      <c r="CN63" s="227">
        <f t="shared" si="243"/>
        <v>2460.0700000000002</v>
      </c>
      <c r="CO63" s="227">
        <f t="shared" si="244"/>
        <v>2577.09</v>
      </c>
      <c r="CP63" s="227">
        <f t="shared" si="245"/>
        <v>2688.23</v>
      </c>
      <c r="CQ63" s="227">
        <f t="shared" si="246"/>
        <v>2775.99</v>
      </c>
      <c r="CR63" s="227">
        <f t="shared" si="228"/>
        <v>2834.49</v>
      </c>
      <c r="CS63" s="159"/>
      <c r="CT63" s="115">
        <f t="shared" si="247"/>
        <v>5</v>
      </c>
      <c r="CU63" s="227">
        <f t="shared" si="248"/>
        <v>2286.98</v>
      </c>
      <c r="CV63" s="227">
        <f t="shared" si="229"/>
        <v>2514.19</v>
      </c>
      <c r="CW63" s="227">
        <f t="shared" si="230"/>
        <v>2633.79</v>
      </c>
      <c r="CX63" s="227">
        <f t="shared" si="231"/>
        <v>2747.37</v>
      </c>
      <c r="CY63" s="227">
        <f t="shared" si="249"/>
        <v>2837.06</v>
      </c>
      <c r="CZ63" s="227">
        <f t="shared" si="250"/>
        <v>2896.85</v>
      </c>
      <c r="DB63" s="115">
        <f t="shared" si="251"/>
        <v>5</v>
      </c>
      <c r="DC63" s="227">
        <f t="shared" si="252"/>
        <v>2286.98</v>
      </c>
      <c r="DD63" s="227">
        <f t="shared" si="253"/>
        <v>2514.19</v>
      </c>
      <c r="DE63" s="227">
        <f t="shared" si="254"/>
        <v>2633.79</v>
      </c>
      <c r="DF63" s="227">
        <f t="shared" si="255"/>
        <v>2747.37</v>
      </c>
      <c r="DG63" s="227">
        <f t="shared" si="256"/>
        <v>2837.06</v>
      </c>
      <c r="DH63" s="227">
        <f t="shared" si="232"/>
        <v>2896.85</v>
      </c>
      <c r="DJ63" s="115">
        <f t="shared" si="201"/>
        <v>5</v>
      </c>
      <c r="DK63" s="37">
        <f t="shared" si="202"/>
        <v>2389.89</v>
      </c>
      <c r="DL63" s="112">
        <f t="shared" si="203"/>
        <v>2614.19</v>
      </c>
      <c r="DM63" s="112">
        <f t="shared" si="204"/>
        <v>2733.79</v>
      </c>
      <c r="DN63" s="112">
        <f t="shared" si="205"/>
        <v>2847.37</v>
      </c>
      <c r="DO63" s="112">
        <f t="shared" si="206"/>
        <v>2937.06</v>
      </c>
      <c r="DP63" s="112">
        <f t="shared" si="207"/>
        <v>2996.85</v>
      </c>
      <c r="DR63" s="115">
        <f t="shared" si="208"/>
        <v>5</v>
      </c>
      <c r="DS63" s="37">
        <f t="shared" si="209"/>
        <v>2389.89</v>
      </c>
      <c r="DT63" s="37">
        <f t="shared" si="149"/>
        <v>2614.19</v>
      </c>
      <c r="DU63" s="37">
        <f t="shared" si="149"/>
        <v>2733.79</v>
      </c>
      <c r="DV63" s="37">
        <f t="shared" si="149"/>
        <v>2847.37</v>
      </c>
      <c r="DW63" s="37">
        <f t="shared" si="149"/>
        <v>2937.06</v>
      </c>
      <c r="DX63" s="37">
        <f t="shared" si="149"/>
        <v>2996.85</v>
      </c>
      <c r="DZ63" s="115">
        <f t="shared" si="210"/>
        <v>5</v>
      </c>
      <c r="EA63" s="37">
        <f t="shared" si="211"/>
        <v>2492.66</v>
      </c>
      <c r="EB63" s="112">
        <f t="shared" si="212"/>
        <v>2714.19</v>
      </c>
      <c r="EC63" s="112">
        <f t="shared" si="213"/>
        <v>2833.79</v>
      </c>
      <c r="ED63" s="112">
        <f t="shared" si="214"/>
        <v>2947.37</v>
      </c>
      <c r="EE63" s="112">
        <f t="shared" si="215"/>
        <v>3037.06</v>
      </c>
      <c r="EF63" s="112">
        <f t="shared" si="216"/>
        <v>3096.85</v>
      </c>
      <c r="EH63" s="115">
        <f t="shared" si="217"/>
        <v>5</v>
      </c>
      <c r="EI63" s="37">
        <f t="shared" si="218"/>
        <v>2537.5300000000002</v>
      </c>
      <c r="EJ63" s="112">
        <f t="shared" si="219"/>
        <v>2754.19</v>
      </c>
      <c r="EK63" s="112">
        <f t="shared" si="220"/>
        <v>2873.79</v>
      </c>
      <c r="EL63" s="112">
        <f t="shared" si="221"/>
        <v>2987.37</v>
      </c>
      <c r="EM63" s="112">
        <f t="shared" si="222"/>
        <v>3077.06</v>
      </c>
      <c r="EN63" s="112">
        <f t="shared" si="223"/>
        <v>3137.11</v>
      </c>
    </row>
    <row r="64" spans="2:144">
      <c r="B64" s="75">
        <f t="shared" si="226"/>
        <v>1</v>
      </c>
      <c r="C64" s="384" t="str">
        <f t="shared" ref="C64:H64" si="258">C19</f>
        <v>-</v>
      </c>
      <c r="D64" s="37">
        <f t="shared" si="258"/>
        <v>1286</v>
      </c>
      <c r="E64" s="37">
        <f t="shared" si="258"/>
        <v>1310</v>
      </c>
      <c r="F64" s="37">
        <f t="shared" si="258"/>
        <v>1340</v>
      </c>
      <c r="G64" s="37">
        <f t="shared" si="258"/>
        <v>1368</v>
      </c>
      <c r="H64" s="385">
        <f t="shared" si="258"/>
        <v>1440</v>
      </c>
      <c r="AO64" s="159"/>
      <c r="AP64" s="115">
        <f t="shared" si="141"/>
        <v>3</v>
      </c>
      <c r="AQ64" s="114">
        <f t="shared" si="150"/>
        <v>1807.36</v>
      </c>
      <c r="AR64" s="114">
        <f t="shared" si="151"/>
        <v>2002.75</v>
      </c>
      <c r="AS64" s="114">
        <f t="shared" si="152"/>
        <v>2057.0300000000002</v>
      </c>
      <c r="AT64" s="114">
        <f t="shared" si="153"/>
        <v>2143.87</v>
      </c>
      <c r="AU64" s="114">
        <f t="shared" si="154"/>
        <v>2214.4299999999998</v>
      </c>
      <c r="AV64" s="114">
        <f t="shared" si="155"/>
        <v>2274.13</v>
      </c>
      <c r="AW64" s="159"/>
      <c r="AX64" s="115">
        <f t="shared" si="156"/>
        <v>3</v>
      </c>
      <c r="AY64" s="112">
        <f t="shared" si="157"/>
        <v>1857.97</v>
      </c>
      <c r="AZ64" s="112">
        <f t="shared" si="158"/>
        <v>2058.83</v>
      </c>
      <c r="BA64" s="112">
        <f t="shared" si="159"/>
        <v>2114.63</v>
      </c>
      <c r="BB64" s="112">
        <f t="shared" si="160"/>
        <v>2203.9</v>
      </c>
      <c r="BC64" s="112">
        <f t="shared" si="161"/>
        <v>2276.4299999999998</v>
      </c>
      <c r="BD64" s="112">
        <f t="shared" si="162"/>
        <v>2337.81</v>
      </c>
      <c r="BE64" s="159"/>
      <c r="BF64" s="115">
        <f t="shared" si="163"/>
        <v>3</v>
      </c>
      <c r="BG64" s="227">
        <f t="shared" si="164"/>
        <v>1909.99</v>
      </c>
      <c r="BH64" s="227">
        <f t="shared" si="165"/>
        <v>2116.48</v>
      </c>
      <c r="BI64" s="227">
        <f t="shared" si="166"/>
        <v>2173.84</v>
      </c>
      <c r="BJ64" s="227">
        <f t="shared" si="167"/>
        <v>2265.61</v>
      </c>
      <c r="BK64" s="227">
        <f t="shared" si="168"/>
        <v>2340.17</v>
      </c>
      <c r="BL64" s="227">
        <f t="shared" si="169"/>
        <v>2403.27</v>
      </c>
      <c r="BN64" s="115">
        <f t="shared" si="170"/>
        <v>3</v>
      </c>
      <c r="BO64" s="227">
        <f t="shared" si="171"/>
        <v>1948.19</v>
      </c>
      <c r="BP64" s="227">
        <f t="shared" si="172"/>
        <v>2158.81</v>
      </c>
      <c r="BQ64" s="227">
        <f t="shared" si="173"/>
        <v>2217.3200000000002</v>
      </c>
      <c r="BR64" s="227">
        <f t="shared" si="174"/>
        <v>2310.92</v>
      </c>
      <c r="BS64" s="227">
        <f t="shared" si="175"/>
        <v>2386.9699999999998</v>
      </c>
      <c r="BT64" s="227">
        <f t="shared" si="176"/>
        <v>2451.34</v>
      </c>
      <c r="BU64" s="380">
        <f t="shared" si="233"/>
        <v>80</v>
      </c>
      <c r="BV64" s="115">
        <f t="shared" si="177"/>
        <v>3</v>
      </c>
      <c r="BW64" s="227">
        <f t="shared" si="178"/>
        <v>2028.19</v>
      </c>
      <c r="BX64" s="227">
        <f t="shared" si="179"/>
        <v>2238.81</v>
      </c>
      <c r="BY64" s="227">
        <f t="shared" si="180"/>
        <v>2297.3200000000002</v>
      </c>
      <c r="BZ64" s="227">
        <f t="shared" si="181"/>
        <v>2390.92</v>
      </c>
      <c r="CA64" s="227">
        <f t="shared" si="182"/>
        <v>2466.9699999999998</v>
      </c>
      <c r="CB64" s="227">
        <f t="shared" si="183"/>
        <v>2531.34</v>
      </c>
      <c r="CC64" s="161"/>
      <c r="CD64" s="115">
        <f t="shared" si="234"/>
        <v>4</v>
      </c>
      <c r="CE64" s="227">
        <f t="shared" si="235"/>
        <v>2132.44</v>
      </c>
      <c r="CF64" s="227">
        <f t="shared" si="236"/>
        <v>2348.92</v>
      </c>
      <c r="CG64" s="227">
        <f t="shared" si="237"/>
        <v>2495.1799999999998</v>
      </c>
      <c r="CH64" s="227">
        <f t="shared" si="238"/>
        <v>2577.09</v>
      </c>
      <c r="CI64" s="227">
        <f t="shared" si="239"/>
        <v>2658.98</v>
      </c>
      <c r="CJ64" s="227">
        <f t="shared" si="240"/>
        <v>2711.63</v>
      </c>
      <c r="CK64" s="159"/>
      <c r="CL64" s="115">
        <f t="shared" si="241"/>
        <v>4</v>
      </c>
      <c r="CM64" s="227">
        <f t="shared" si="242"/>
        <v>2132.44</v>
      </c>
      <c r="CN64" s="227">
        <f t="shared" si="243"/>
        <v>2348.92</v>
      </c>
      <c r="CO64" s="227">
        <f t="shared" si="244"/>
        <v>2495.1799999999998</v>
      </c>
      <c r="CP64" s="227">
        <f t="shared" si="245"/>
        <v>2577.09</v>
      </c>
      <c r="CQ64" s="227">
        <f t="shared" si="246"/>
        <v>2658.98</v>
      </c>
      <c r="CR64" s="227">
        <f t="shared" si="228"/>
        <v>2711.63</v>
      </c>
      <c r="CS64" s="159"/>
      <c r="CT64" s="115">
        <f t="shared" si="247"/>
        <v>4</v>
      </c>
      <c r="CU64" s="227">
        <f t="shared" si="248"/>
        <v>2179.35</v>
      </c>
      <c r="CV64" s="227">
        <f t="shared" si="229"/>
        <v>2400.6</v>
      </c>
      <c r="CW64" s="227">
        <f t="shared" si="230"/>
        <v>2550.0700000000002</v>
      </c>
      <c r="CX64" s="227">
        <f t="shared" si="231"/>
        <v>2633.79</v>
      </c>
      <c r="CY64" s="227">
        <f t="shared" si="249"/>
        <v>2717.48</v>
      </c>
      <c r="CZ64" s="227">
        <f t="shared" si="250"/>
        <v>2771.29</v>
      </c>
      <c r="DB64" s="115">
        <f t="shared" si="251"/>
        <v>4</v>
      </c>
      <c r="DC64" s="227">
        <f t="shared" si="252"/>
        <v>2179.35</v>
      </c>
      <c r="DD64" s="227">
        <f t="shared" si="253"/>
        <v>2400.6</v>
      </c>
      <c r="DE64" s="227">
        <f t="shared" si="254"/>
        <v>2550.0700000000002</v>
      </c>
      <c r="DF64" s="227">
        <f t="shared" si="255"/>
        <v>2633.79</v>
      </c>
      <c r="DG64" s="227">
        <f t="shared" si="256"/>
        <v>2717.48</v>
      </c>
      <c r="DH64" s="227">
        <f t="shared" si="232"/>
        <v>2771.29</v>
      </c>
      <c r="DJ64" s="115">
        <f t="shared" si="201"/>
        <v>4</v>
      </c>
      <c r="DK64" s="37">
        <f t="shared" si="202"/>
        <v>2279.35</v>
      </c>
      <c r="DL64" s="112">
        <f t="shared" si="203"/>
        <v>2500.6</v>
      </c>
      <c r="DM64" s="112">
        <f t="shared" si="204"/>
        <v>2650.07</v>
      </c>
      <c r="DN64" s="112">
        <f t="shared" si="205"/>
        <v>2733.79</v>
      </c>
      <c r="DO64" s="112">
        <f t="shared" si="206"/>
        <v>2817.48</v>
      </c>
      <c r="DP64" s="112">
        <f t="shared" si="207"/>
        <v>2871.29</v>
      </c>
      <c r="DR64" s="115">
        <f t="shared" si="208"/>
        <v>4</v>
      </c>
      <c r="DS64" s="37">
        <f t="shared" si="209"/>
        <v>2279.35</v>
      </c>
      <c r="DT64" s="37">
        <f t="shared" si="149"/>
        <v>2500.6</v>
      </c>
      <c r="DU64" s="37">
        <f t="shared" si="149"/>
        <v>2650.07</v>
      </c>
      <c r="DV64" s="37">
        <f t="shared" si="149"/>
        <v>2733.79</v>
      </c>
      <c r="DW64" s="37">
        <f t="shared" si="149"/>
        <v>2817.48</v>
      </c>
      <c r="DX64" s="37">
        <f t="shared" si="149"/>
        <v>2871.29</v>
      </c>
      <c r="DZ64" s="115">
        <f t="shared" si="210"/>
        <v>4</v>
      </c>
      <c r="EA64" s="37">
        <f t="shared" si="211"/>
        <v>2379.35</v>
      </c>
      <c r="EB64" s="112">
        <f t="shared" si="212"/>
        <v>2600.6</v>
      </c>
      <c r="EC64" s="112">
        <f t="shared" si="213"/>
        <v>2750.07</v>
      </c>
      <c r="ED64" s="112">
        <f t="shared" si="214"/>
        <v>2833.79</v>
      </c>
      <c r="EE64" s="112">
        <f t="shared" si="215"/>
        <v>2917.48</v>
      </c>
      <c r="EF64" s="112">
        <f t="shared" si="216"/>
        <v>2971.29</v>
      </c>
      <c r="EH64" s="115">
        <f t="shared" si="217"/>
        <v>4</v>
      </c>
      <c r="EI64" s="37">
        <f t="shared" si="218"/>
        <v>2422.1799999999998</v>
      </c>
      <c r="EJ64" s="112">
        <f t="shared" si="219"/>
        <v>2640.6</v>
      </c>
      <c r="EK64" s="112">
        <f t="shared" si="220"/>
        <v>2790.07</v>
      </c>
      <c r="EL64" s="112">
        <f t="shared" si="221"/>
        <v>2873.79</v>
      </c>
      <c r="EM64" s="112">
        <f t="shared" si="222"/>
        <v>2957.48</v>
      </c>
      <c r="EN64" s="112">
        <f t="shared" si="223"/>
        <v>3011.29</v>
      </c>
    </row>
    <row r="65" spans="1:144" ht="12" thickBot="1">
      <c r="B65" s="135" t="str">
        <f>""</f>
        <v/>
      </c>
      <c r="C65" s="386" t="str">
        <f>""</f>
        <v/>
      </c>
      <c r="D65" s="387" t="str">
        <f>""</f>
        <v/>
      </c>
      <c r="E65" s="387" t="str">
        <f>""</f>
        <v/>
      </c>
      <c r="F65" s="387" t="str">
        <f>""</f>
        <v/>
      </c>
      <c r="G65" s="387" t="str">
        <f>""</f>
        <v/>
      </c>
      <c r="H65" s="388" t="str">
        <f>""</f>
        <v/>
      </c>
      <c r="AO65" s="159"/>
      <c r="AP65" s="115" t="str">
        <f t="shared" si="141"/>
        <v>2Ü</v>
      </c>
      <c r="AQ65" s="114">
        <f t="shared" si="150"/>
        <v>1725.95</v>
      </c>
      <c r="AR65" s="114">
        <f t="shared" si="151"/>
        <v>1910.48</v>
      </c>
      <c r="AS65" s="114">
        <f t="shared" si="152"/>
        <v>1981.04</v>
      </c>
      <c r="AT65" s="114">
        <f t="shared" si="153"/>
        <v>2067.89</v>
      </c>
      <c r="AU65" s="114">
        <f t="shared" si="154"/>
        <v>2127.6</v>
      </c>
      <c r="AV65" s="114">
        <f t="shared" si="155"/>
        <v>2176.4299999999998</v>
      </c>
      <c r="AW65" s="159"/>
      <c r="AX65" s="115" t="str">
        <f t="shared" si="156"/>
        <v>2Ü</v>
      </c>
      <c r="AY65" s="112">
        <f t="shared" si="157"/>
        <v>1774.28</v>
      </c>
      <c r="AZ65" s="112">
        <f t="shared" si="158"/>
        <v>1963.97</v>
      </c>
      <c r="BA65" s="112">
        <f t="shared" si="159"/>
        <v>2036.51</v>
      </c>
      <c r="BB65" s="112">
        <f t="shared" si="160"/>
        <v>2125.79</v>
      </c>
      <c r="BC65" s="112">
        <f t="shared" si="161"/>
        <v>2187.17</v>
      </c>
      <c r="BD65" s="112">
        <f t="shared" si="162"/>
        <v>2237.37</v>
      </c>
      <c r="BE65" s="159"/>
      <c r="BF65" s="115" t="str">
        <f t="shared" si="163"/>
        <v>2Ü</v>
      </c>
      <c r="BG65" s="227">
        <f t="shared" si="164"/>
        <v>1823.96</v>
      </c>
      <c r="BH65" s="227">
        <f t="shared" si="165"/>
        <v>2018.96</v>
      </c>
      <c r="BI65" s="227">
        <f t="shared" si="166"/>
        <v>2093.5300000000002</v>
      </c>
      <c r="BJ65" s="227">
        <f t="shared" si="167"/>
        <v>2185.31</v>
      </c>
      <c r="BK65" s="227">
        <f t="shared" si="168"/>
        <v>2248.41</v>
      </c>
      <c r="BL65" s="227">
        <f t="shared" si="169"/>
        <v>2300.02</v>
      </c>
      <c r="BN65" s="115" t="str">
        <f t="shared" si="170"/>
        <v>2Ü</v>
      </c>
      <c r="BO65" s="227">
        <f t="shared" si="171"/>
        <v>1860.44</v>
      </c>
      <c r="BP65" s="227">
        <f t="shared" si="172"/>
        <v>2059.34</v>
      </c>
      <c r="BQ65" s="227">
        <f t="shared" si="173"/>
        <v>2135.4</v>
      </c>
      <c r="BR65" s="227">
        <f t="shared" si="174"/>
        <v>2229.02</v>
      </c>
      <c r="BS65" s="227">
        <f t="shared" si="175"/>
        <v>2293.38</v>
      </c>
      <c r="BT65" s="227">
        <f t="shared" si="176"/>
        <v>2346.02</v>
      </c>
      <c r="BU65" s="380">
        <f t="shared" si="233"/>
        <v>80</v>
      </c>
      <c r="BV65" s="115" t="str">
        <f t="shared" si="177"/>
        <v>2Ü</v>
      </c>
      <c r="BW65" s="227">
        <f t="shared" si="178"/>
        <v>1940.44</v>
      </c>
      <c r="BX65" s="227">
        <f t="shared" si="179"/>
        <v>2139.34</v>
      </c>
      <c r="BY65" s="227">
        <f t="shared" si="180"/>
        <v>2215.4</v>
      </c>
      <c r="BZ65" s="227">
        <f t="shared" si="181"/>
        <v>2309.02</v>
      </c>
      <c r="CA65" s="227">
        <f t="shared" si="182"/>
        <v>2373.38</v>
      </c>
      <c r="CB65" s="227">
        <f t="shared" si="183"/>
        <v>2426.02</v>
      </c>
      <c r="CC65" s="161"/>
      <c r="CD65" s="115">
        <f t="shared" si="234"/>
        <v>3</v>
      </c>
      <c r="CE65" s="227">
        <f t="shared" si="235"/>
        <v>2103.19</v>
      </c>
      <c r="CF65" s="227">
        <f t="shared" si="236"/>
        <v>2313.81</v>
      </c>
      <c r="CG65" s="227">
        <f t="shared" si="237"/>
        <v>2372.3200000000002</v>
      </c>
      <c r="CH65" s="227">
        <f t="shared" si="238"/>
        <v>2465.92</v>
      </c>
      <c r="CI65" s="227">
        <f t="shared" si="239"/>
        <v>2541.9699999999998</v>
      </c>
      <c r="CJ65" s="227">
        <f t="shared" si="240"/>
        <v>2606.34</v>
      </c>
      <c r="CK65" s="159"/>
      <c r="CL65" s="115">
        <f t="shared" si="241"/>
        <v>3</v>
      </c>
      <c r="CM65" s="227">
        <f t="shared" si="242"/>
        <v>2103.19</v>
      </c>
      <c r="CN65" s="227">
        <f t="shared" si="243"/>
        <v>2313.81</v>
      </c>
      <c r="CO65" s="227">
        <f t="shared" si="244"/>
        <v>2372.3200000000002</v>
      </c>
      <c r="CP65" s="227">
        <f t="shared" si="245"/>
        <v>2465.92</v>
      </c>
      <c r="CQ65" s="227">
        <f t="shared" si="246"/>
        <v>2541.9699999999998</v>
      </c>
      <c r="CR65" s="227">
        <f t="shared" si="228"/>
        <v>2606.34</v>
      </c>
      <c r="CS65" s="159"/>
      <c r="CT65" s="115">
        <f t="shared" si="247"/>
        <v>3</v>
      </c>
      <c r="CU65" s="227">
        <f t="shared" si="248"/>
        <v>2149.46</v>
      </c>
      <c r="CV65" s="227">
        <f t="shared" si="229"/>
        <v>2364.71</v>
      </c>
      <c r="CW65" s="227">
        <f t="shared" si="230"/>
        <v>2424.5100000000002</v>
      </c>
      <c r="CX65" s="227">
        <f t="shared" si="231"/>
        <v>2520.17</v>
      </c>
      <c r="CY65" s="227">
        <f t="shared" si="249"/>
        <v>2597.89</v>
      </c>
      <c r="CZ65" s="227">
        <f t="shared" si="250"/>
        <v>2663.68</v>
      </c>
      <c r="DB65" s="115">
        <f t="shared" si="251"/>
        <v>3</v>
      </c>
      <c r="DC65" s="227">
        <f t="shared" si="252"/>
        <v>2149.46</v>
      </c>
      <c r="DD65" s="227">
        <f t="shared" si="253"/>
        <v>2364.71</v>
      </c>
      <c r="DE65" s="227">
        <f t="shared" si="254"/>
        <v>2424.5100000000002</v>
      </c>
      <c r="DF65" s="227">
        <f t="shared" si="255"/>
        <v>2520.17</v>
      </c>
      <c r="DG65" s="227">
        <f t="shared" si="256"/>
        <v>2597.89</v>
      </c>
      <c r="DH65" s="227">
        <f t="shared" si="232"/>
        <v>2663.68</v>
      </c>
      <c r="DJ65" s="115">
        <f t="shared" si="201"/>
        <v>3</v>
      </c>
      <c r="DK65" s="37">
        <f t="shared" si="202"/>
        <v>2249.46</v>
      </c>
      <c r="DL65" s="112">
        <f t="shared" si="203"/>
        <v>2464.71</v>
      </c>
      <c r="DM65" s="112">
        <f t="shared" si="204"/>
        <v>2524.5100000000002</v>
      </c>
      <c r="DN65" s="112">
        <f t="shared" si="205"/>
        <v>2620.17</v>
      </c>
      <c r="DO65" s="112">
        <f t="shared" si="206"/>
        <v>2697.89</v>
      </c>
      <c r="DP65" s="112">
        <f t="shared" si="207"/>
        <v>2763.68</v>
      </c>
      <c r="DR65" s="115">
        <f t="shared" si="208"/>
        <v>3</v>
      </c>
      <c r="DS65" s="37">
        <f t="shared" si="209"/>
        <v>2249.46</v>
      </c>
      <c r="DT65" s="37">
        <f t="shared" si="149"/>
        <v>2464.71</v>
      </c>
      <c r="DU65" s="37">
        <f t="shared" si="149"/>
        <v>2524.5100000000002</v>
      </c>
      <c r="DV65" s="37">
        <f t="shared" si="149"/>
        <v>2620.17</v>
      </c>
      <c r="DW65" s="37">
        <f t="shared" si="149"/>
        <v>2697.89</v>
      </c>
      <c r="DX65" s="37">
        <f t="shared" si="149"/>
        <v>2763.68</v>
      </c>
      <c r="DZ65" s="115">
        <f t="shared" si="210"/>
        <v>3</v>
      </c>
      <c r="EA65" s="37">
        <f t="shared" si="211"/>
        <v>2349.46</v>
      </c>
      <c r="EB65" s="112">
        <f t="shared" si="212"/>
        <v>2564.71</v>
      </c>
      <c r="EC65" s="112">
        <f t="shared" si="213"/>
        <v>2624.51</v>
      </c>
      <c r="ED65" s="112">
        <f t="shared" si="214"/>
        <v>2720.17</v>
      </c>
      <c r="EE65" s="112">
        <f t="shared" si="215"/>
        <v>2797.89</v>
      </c>
      <c r="EF65" s="112">
        <f t="shared" si="216"/>
        <v>2863.68</v>
      </c>
      <c r="EH65" s="115">
        <f t="shared" si="217"/>
        <v>3</v>
      </c>
      <c r="EI65" s="37">
        <f t="shared" si="218"/>
        <v>2391.75</v>
      </c>
      <c r="EJ65" s="112">
        <f t="shared" si="219"/>
        <v>2604.71</v>
      </c>
      <c r="EK65" s="112">
        <f t="shared" si="220"/>
        <v>2664.51</v>
      </c>
      <c r="EL65" s="112">
        <f t="shared" si="221"/>
        <v>2760.17</v>
      </c>
      <c r="EM65" s="112">
        <f t="shared" si="222"/>
        <v>2837.89</v>
      </c>
      <c r="EN65" s="112">
        <f t="shared" si="223"/>
        <v>2903.68</v>
      </c>
    </row>
    <row r="66" spans="1:144">
      <c r="C66" s="153"/>
      <c r="AO66" s="159"/>
      <c r="AP66" s="115">
        <f t="shared" si="141"/>
        <v>2</v>
      </c>
      <c r="AQ66" s="114">
        <f t="shared" si="150"/>
        <v>1666.24</v>
      </c>
      <c r="AR66" s="114">
        <f t="shared" si="151"/>
        <v>1845.35</v>
      </c>
      <c r="AS66" s="114">
        <f t="shared" si="152"/>
        <v>1899.63</v>
      </c>
      <c r="AT66" s="114">
        <f t="shared" si="153"/>
        <v>1953.9</v>
      </c>
      <c r="AU66" s="114">
        <f t="shared" si="154"/>
        <v>2078.7399999999998</v>
      </c>
      <c r="AV66" s="114">
        <f t="shared" si="155"/>
        <v>2209</v>
      </c>
      <c r="AW66" s="159"/>
      <c r="AX66" s="115">
        <f t="shared" si="156"/>
        <v>2</v>
      </c>
      <c r="AY66" s="112">
        <f t="shared" si="157"/>
        <v>1712.89</v>
      </c>
      <c r="AZ66" s="112">
        <f t="shared" si="158"/>
        <v>1897.02</v>
      </c>
      <c r="BA66" s="112">
        <f t="shared" si="159"/>
        <v>1952.82</v>
      </c>
      <c r="BB66" s="112">
        <f t="shared" si="160"/>
        <v>2008.61</v>
      </c>
      <c r="BC66" s="112">
        <f t="shared" si="161"/>
        <v>2136.94</v>
      </c>
      <c r="BD66" s="112">
        <f t="shared" si="162"/>
        <v>2270.85</v>
      </c>
      <c r="BE66" s="159"/>
      <c r="BF66" s="115">
        <f t="shared" si="163"/>
        <v>2</v>
      </c>
      <c r="BG66" s="227">
        <f t="shared" si="164"/>
        <v>1760.85</v>
      </c>
      <c r="BH66" s="227">
        <f t="shared" si="165"/>
        <v>1950.14</v>
      </c>
      <c r="BI66" s="227">
        <f t="shared" si="166"/>
        <v>2007.5</v>
      </c>
      <c r="BJ66" s="227">
        <f t="shared" si="167"/>
        <v>2064.85</v>
      </c>
      <c r="BK66" s="227">
        <f t="shared" si="168"/>
        <v>2196.77</v>
      </c>
      <c r="BL66" s="227">
        <f t="shared" si="169"/>
        <v>2334.4299999999998</v>
      </c>
      <c r="BN66" s="115">
        <f t="shared" si="170"/>
        <v>2</v>
      </c>
      <c r="BO66" s="227">
        <f t="shared" si="171"/>
        <v>1796.07</v>
      </c>
      <c r="BP66" s="227">
        <f t="shared" si="172"/>
        <v>1989.14</v>
      </c>
      <c r="BQ66" s="227">
        <f t="shared" si="173"/>
        <v>2047.65</v>
      </c>
      <c r="BR66" s="227">
        <f t="shared" si="174"/>
        <v>2106.15</v>
      </c>
      <c r="BS66" s="227">
        <f t="shared" si="175"/>
        <v>2240.71</v>
      </c>
      <c r="BT66" s="227">
        <f t="shared" si="176"/>
        <v>2381.12</v>
      </c>
      <c r="BU66" s="380">
        <f t="shared" si="233"/>
        <v>80</v>
      </c>
      <c r="BV66" s="115">
        <f t="shared" si="177"/>
        <v>2</v>
      </c>
      <c r="BW66" s="227">
        <f t="shared" si="178"/>
        <v>1876.07</v>
      </c>
      <c r="BX66" s="227">
        <f t="shared" si="179"/>
        <v>2069.1400000000003</v>
      </c>
      <c r="BY66" s="227">
        <f t="shared" si="180"/>
        <v>2127.65</v>
      </c>
      <c r="BZ66" s="227">
        <f t="shared" si="181"/>
        <v>2186.15</v>
      </c>
      <c r="CA66" s="227">
        <f t="shared" si="182"/>
        <v>2320.71</v>
      </c>
      <c r="CB66" s="227">
        <f t="shared" si="183"/>
        <v>2461.12</v>
      </c>
      <c r="CC66" s="161"/>
      <c r="CD66" s="115" t="str">
        <f t="shared" si="234"/>
        <v>2Ü</v>
      </c>
      <c r="CE66" s="227">
        <f t="shared" si="235"/>
        <v>2015.44</v>
      </c>
      <c r="CF66" s="227">
        <f t="shared" si="236"/>
        <v>2214.34</v>
      </c>
      <c r="CG66" s="227">
        <f t="shared" si="237"/>
        <v>2290.4</v>
      </c>
      <c r="CH66" s="227">
        <f t="shared" si="238"/>
        <v>2384.02</v>
      </c>
      <c r="CI66" s="227">
        <f t="shared" si="239"/>
        <v>2448.38</v>
      </c>
      <c r="CJ66" s="227">
        <f t="shared" si="240"/>
        <v>2501.02</v>
      </c>
      <c r="CK66" s="159"/>
      <c r="CL66" s="115" t="str">
        <f t="shared" si="241"/>
        <v>2Ü</v>
      </c>
      <c r="CM66" s="227">
        <f t="shared" si="242"/>
        <v>2015.44</v>
      </c>
      <c r="CN66" s="227">
        <f t="shared" si="243"/>
        <v>2214.34</v>
      </c>
      <c r="CO66" s="227">
        <f t="shared" si="244"/>
        <v>2290.4</v>
      </c>
      <c r="CP66" s="227">
        <f t="shared" si="245"/>
        <v>2384.02</v>
      </c>
      <c r="CQ66" s="227">
        <f t="shared" si="246"/>
        <v>2448.38</v>
      </c>
      <c r="CR66" s="227">
        <f t="shared" si="228"/>
        <v>2501.02</v>
      </c>
      <c r="CS66" s="159"/>
      <c r="CT66" s="115" t="str">
        <f t="shared" si="247"/>
        <v>2Ü</v>
      </c>
      <c r="CU66" s="227">
        <f t="shared" si="248"/>
        <v>2059.7800000000002</v>
      </c>
      <c r="CV66" s="227">
        <f t="shared" si="229"/>
        <v>2263.06</v>
      </c>
      <c r="CW66" s="227">
        <f t="shared" si="230"/>
        <v>2340.79</v>
      </c>
      <c r="CX66" s="227">
        <f t="shared" si="231"/>
        <v>2436.4699999999998</v>
      </c>
      <c r="CY66" s="227">
        <f t="shared" si="249"/>
        <v>2502.2399999999998</v>
      </c>
      <c r="CZ66" s="227">
        <f t="shared" si="250"/>
        <v>2556.04</v>
      </c>
      <c r="DB66" s="115" t="str">
        <f t="shared" si="251"/>
        <v>2Ü</v>
      </c>
      <c r="DC66" s="227">
        <f t="shared" si="252"/>
        <v>2059.7800000000002</v>
      </c>
      <c r="DD66" s="227">
        <f t="shared" si="253"/>
        <v>2263.06</v>
      </c>
      <c r="DE66" s="227">
        <f t="shared" si="254"/>
        <v>2340.79</v>
      </c>
      <c r="DF66" s="227">
        <f t="shared" si="255"/>
        <v>2436.4699999999998</v>
      </c>
      <c r="DG66" s="227">
        <f t="shared" si="256"/>
        <v>2502.2399999999998</v>
      </c>
      <c r="DH66" s="227">
        <f t="shared" si="232"/>
        <v>2556.04</v>
      </c>
      <c r="DJ66" s="115" t="str">
        <f t="shared" si="201"/>
        <v>2Ü</v>
      </c>
      <c r="DK66" s="37">
        <f t="shared" si="202"/>
        <v>2159.7800000000002</v>
      </c>
      <c r="DL66" s="112">
        <f t="shared" si="203"/>
        <v>2363.06</v>
      </c>
      <c r="DM66" s="112">
        <f t="shared" si="204"/>
        <v>2440.79</v>
      </c>
      <c r="DN66" s="112">
        <f t="shared" si="205"/>
        <v>2536.4699999999998</v>
      </c>
      <c r="DO66" s="112">
        <f t="shared" si="206"/>
        <v>2602.2399999999998</v>
      </c>
      <c r="DP66" s="112">
        <f t="shared" si="207"/>
        <v>2656.04</v>
      </c>
      <c r="DR66" s="115" t="str">
        <f t="shared" si="208"/>
        <v>2Ü</v>
      </c>
      <c r="DS66" s="37">
        <f t="shared" si="209"/>
        <v>2159.7800000000002</v>
      </c>
      <c r="DT66" s="37">
        <f t="shared" ref="DT66:DX68" si="259">DL66</f>
        <v>2363.06</v>
      </c>
      <c r="DU66" s="37">
        <f t="shared" si="259"/>
        <v>2440.79</v>
      </c>
      <c r="DV66" s="37">
        <f t="shared" si="259"/>
        <v>2536.4699999999998</v>
      </c>
      <c r="DW66" s="37">
        <f t="shared" si="259"/>
        <v>2602.2399999999998</v>
      </c>
      <c r="DX66" s="37">
        <f t="shared" si="259"/>
        <v>2656.04</v>
      </c>
      <c r="DZ66" s="115" t="str">
        <f t="shared" si="210"/>
        <v>2Ü</v>
      </c>
      <c r="EA66" s="37">
        <f t="shared" si="211"/>
        <v>2259.7800000000002</v>
      </c>
      <c r="EB66" s="112">
        <f t="shared" si="212"/>
        <v>2463.06</v>
      </c>
      <c r="EC66" s="112">
        <f t="shared" si="213"/>
        <v>2540.79</v>
      </c>
      <c r="ED66" s="112">
        <f t="shared" si="214"/>
        <v>2636.47</v>
      </c>
      <c r="EE66" s="112">
        <f t="shared" si="215"/>
        <v>2702.24</v>
      </c>
      <c r="EF66" s="112">
        <f t="shared" si="216"/>
        <v>2756.04</v>
      </c>
      <c r="EH66" s="115" t="str">
        <f t="shared" si="217"/>
        <v>2Ü</v>
      </c>
      <c r="EI66" s="37">
        <f>IF(EA66="-","-",IF(ROUND(EA66*$EI$37,2)-EA66&lt;$EI$34,EA66+$EI$34,ROUND(EA66*$EI$37,2)))</f>
        <v>2300.46</v>
      </c>
      <c r="EJ66" s="112">
        <f t="shared" si="219"/>
        <v>2503.06</v>
      </c>
      <c r="EK66" s="112">
        <f t="shared" si="220"/>
        <v>2580.79</v>
      </c>
      <c r="EL66" s="112">
        <f t="shared" si="221"/>
        <v>2676.47</v>
      </c>
      <c r="EM66" s="112">
        <f t="shared" si="222"/>
        <v>2742.24</v>
      </c>
      <c r="EN66" s="112">
        <f t="shared" si="223"/>
        <v>2796.04</v>
      </c>
    </row>
    <row r="67" spans="1:144">
      <c r="A67" s="155" t="s">
        <v>83</v>
      </c>
      <c r="B67" s="152">
        <f>Para!C50</f>
        <v>1</v>
      </c>
      <c r="C67" s="148" t="str">
        <f>Para!F50</f>
        <v>EG 1 - 9 (bis Vb BAT-O)</v>
      </c>
      <c r="D67" s="147"/>
      <c r="E67" s="147"/>
      <c r="F67" s="147"/>
      <c r="G67" s="147"/>
      <c r="H67" s="147"/>
      <c r="AO67" s="159"/>
      <c r="AP67" s="115">
        <f>AP19</f>
        <v>1</v>
      </c>
      <c r="AQ67" s="114" t="str">
        <f t="shared" si="150"/>
        <v>-</v>
      </c>
      <c r="AR67" s="114">
        <f t="shared" si="151"/>
        <v>1481.71</v>
      </c>
      <c r="AS67" s="114">
        <f t="shared" si="152"/>
        <v>1508.85</v>
      </c>
      <c r="AT67" s="114">
        <f t="shared" si="153"/>
        <v>1541.41</v>
      </c>
      <c r="AU67" s="114">
        <f t="shared" si="154"/>
        <v>1573.98</v>
      </c>
      <c r="AV67" s="114">
        <f t="shared" si="155"/>
        <v>1655.39</v>
      </c>
      <c r="AW67" s="159"/>
      <c r="AX67" s="115">
        <f t="shared" si="156"/>
        <v>1</v>
      </c>
      <c r="AY67" s="112" t="str">
        <f t="shared" si="157"/>
        <v>-</v>
      </c>
      <c r="AZ67" s="112">
        <f t="shared" si="158"/>
        <v>1523.2</v>
      </c>
      <c r="BA67" s="112">
        <f t="shared" si="159"/>
        <v>1551.1</v>
      </c>
      <c r="BB67" s="112">
        <f t="shared" si="160"/>
        <v>1584.57</v>
      </c>
      <c r="BC67" s="112">
        <f t="shared" si="161"/>
        <v>1618.05</v>
      </c>
      <c r="BD67" s="112">
        <f t="shared" si="162"/>
        <v>1701.74</v>
      </c>
      <c r="BE67" s="159"/>
      <c r="BF67" s="115">
        <f t="shared" si="163"/>
        <v>1</v>
      </c>
      <c r="BG67" s="227" t="str">
        <f t="shared" si="164"/>
        <v>-</v>
      </c>
      <c r="BH67" s="227">
        <f t="shared" si="165"/>
        <v>1565.85</v>
      </c>
      <c r="BI67" s="227">
        <f t="shared" si="166"/>
        <v>1594.53</v>
      </c>
      <c r="BJ67" s="227">
        <f t="shared" si="167"/>
        <v>1628.94</v>
      </c>
      <c r="BK67" s="227">
        <f t="shared" si="168"/>
        <v>1663.36</v>
      </c>
      <c r="BL67" s="227">
        <f t="shared" si="169"/>
        <v>1749.39</v>
      </c>
      <c r="BN67" s="115">
        <f t="shared" si="170"/>
        <v>1</v>
      </c>
      <c r="BO67" s="227" t="str">
        <f t="shared" si="171"/>
        <v>-</v>
      </c>
      <c r="BP67" s="227">
        <f t="shared" si="172"/>
        <v>1597.17</v>
      </c>
      <c r="BQ67" s="227">
        <f t="shared" si="173"/>
        <v>1626.42</v>
      </c>
      <c r="BR67" s="227">
        <f t="shared" si="174"/>
        <v>1661.52</v>
      </c>
      <c r="BS67" s="227">
        <f t="shared" si="175"/>
        <v>1696.63</v>
      </c>
      <c r="BT67" s="227">
        <f t="shared" si="176"/>
        <v>1784.38</v>
      </c>
      <c r="BU67" s="380">
        <f t="shared" si="233"/>
        <v>80</v>
      </c>
      <c r="BV67" s="115">
        <f t="shared" si="177"/>
        <v>1</v>
      </c>
      <c r="BW67" s="227" t="str">
        <f t="shared" si="178"/>
        <v>-</v>
      </c>
      <c r="BX67" s="227">
        <f t="shared" si="179"/>
        <v>1677.17</v>
      </c>
      <c r="BY67" s="227">
        <f t="shared" si="180"/>
        <v>1706.42</v>
      </c>
      <c r="BZ67" s="227">
        <f t="shared" si="181"/>
        <v>1741.52</v>
      </c>
      <c r="CA67" s="227">
        <f t="shared" si="182"/>
        <v>1776.63</v>
      </c>
      <c r="CB67" s="227">
        <f t="shared" si="183"/>
        <v>1864.38</v>
      </c>
      <c r="CC67" s="161"/>
      <c r="CD67" s="115">
        <f t="shared" si="234"/>
        <v>2</v>
      </c>
      <c r="CE67" s="227">
        <f t="shared" si="235"/>
        <v>1951.07</v>
      </c>
      <c r="CF67" s="227">
        <f t="shared" si="236"/>
        <v>2144.1400000000003</v>
      </c>
      <c r="CG67" s="227">
        <f t="shared" si="237"/>
        <v>2202.65</v>
      </c>
      <c r="CH67" s="227">
        <f t="shared" si="238"/>
        <v>2261.15</v>
      </c>
      <c r="CI67" s="227">
        <f t="shared" si="239"/>
        <v>2395.71</v>
      </c>
      <c r="CJ67" s="227">
        <f t="shared" si="240"/>
        <v>2536.12</v>
      </c>
      <c r="CL67" s="115">
        <f t="shared" si="241"/>
        <v>2</v>
      </c>
      <c r="CM67" s="227">
        <f t="shared" si="242"/>
        <v>1951.07</v>
      </c>
      <c r="CN67" s="227">
        <f t="shared" si="243"/>
        <v>2144.1400000000003</v>
      </c>
      <c r="CO67" s="227">
        <f t="shared" si="244"/>
        <v>2202.65</v>
      </c>
      <c r="CP67" s="227">
        <f t="shared" si="245"/>
        <v>2261.15</v>
      </c>
      <c r="CQ67" s="227">
        <f t="shared" si="246"/>
        <v>2395.71</v>
      </c>
      <c r="CR67" s="227">
        <f t="shared" si="228"/>
        <v>2536.12</v>
      </c>
      <c r="CT67" s="115">
        <f t="shared" si="247"/>
        <v>2</v>
      </c>
      <c r="CU67" s="227">
        <f t="shared" si="248"/>
        <v>1993.99</v>
      </c>
      <c r="CV67" s="227">
        <f t="shared" si="229"/>
        <v>2191.31</v>
      </c>
      <c r="CW67" s="227">
        <f t="shared" si="230"/>
        <v>2251.11</v>
      </c>
      <c r="CX67" s="227">
        <f t="shared" si="231"/>
        <v>2310.9</v>
      </c>
      <c r="CY67" s="227">
        <f t="shared" si="249"/>
        <v>2448.42</v>
      </c>
      <c r="CZ67" s="227">
        <f t="shared" si="250"/>
        <v>2591.91</v>
      </c>
      <c r="DB67" s="115">
        <f t="shared" si="251"/>
        <v>2</v>
      </c>
      <c r="DC67" s="227">
        <f t="shared" si="252"/>
        <v>1993.99</v>
      </c>
      <c r="DD67" s="227">
        <f t="shared" si="253"/>
        <v>2191.31</v>
      </c>
      <c r="DE67" s="227">
        <f t="shared" si="254"/>
        <v>2251.11</v>
      </c>
      <c r="DF67" s="227">
        <f t="shared" si="255"/>
        <v>2310.9</v>
      </c>
      <c r="DG67" s="227">
        <f t="shared" si="256"/>
        <v>2448.42</v>
      </c>
      <c r="DH67" s="227">
        <f t="shared" si="232"/>
        <v>2591.91</v>
      </c>
      <c r="DJ67" s="115">
        <f t="shared" si="201"/>
        <v>2</v>
      </c>
      <c r="DK67" s="37">
        <f t="shared" si="202"/>
        <v>2093.9899999999998</v>
      </c>
      <c r="DL67" s="112">
        <f t="shared" si="203"/>
        <v>2291.31</v>
      </c>
      <c r="DM67" s="112">
        <f t="shared" si="204"/>
        <v>2351.11</v>
      </c>
      <c r="DN67" s="112">
        <f t="shared" si="205"/>
        <v>2410.9</v>
      </c>
      <c r="DO67" s="112">
        <f t="shared" si="206"/>
        <v>2548.42</v>
      </c>
      <c r="DP67" s="112">
        <f t="shared" si="207"/>
        <v>2691.91</v>
      </c>
      <c r="DR67" s="115">
        <f t="shared" si="208"/>
        <v>2</v>
      </c>
      <c r="DS67" s="37">
        <f t="shared" si="209"/>
        <v>2093.9899999999998</v>
      </c>
      <c r="DT67" s="37">
        <f t="shared" si="259"/>
        <v>2291.31</v>
      </c>
      <c r="DU67" s="37">
        <f t="shared" si="259"/>
        <v>2351.11</v>
      </c>
      <c r="DV67" s="37">
        <f t="shared" si="259"/>
        <v>2410.9</v>
      </c>
      <c r="DW67" s="37">
        <f t="shared" si="259"/>
        <v>2548.42</v>
      </c>
      <c r="DX67" s="37">
        <f t="shared" si="259"/>
        <v>2691.91</v>
      </c>
      <c r="DZ67" s="115">
        <f t="shared" si="210"/>
        <v>2</v>
      </c>
      <c r="EA67" s="37">
        <f>IF(DS67="-","-",IF(ROUND(DS67*$EA$37,2)-DS67&lt;$EA$34,DS67+$EA$34,ROUND(DS67*$EA$37,2)))</f>
        <v>2193.9899999999998</v>
      </c>
      <c r="EB67" s="112">
        <f t="shared" si="212"/>
        <v>2391.31</v>
      </c>
      <c r="EC67" s="112">
        <f t="shared" si="213"/>
        <v>2451.11</v>
      </c>
      <c r="ED67" s="112">
        <f t="shared" si="214"/>
        <v>2510.9</v>
      </c>
      <c r="EE67" s="112">
        <f t="shared" si="215"/>
        <v>2648.42</v>
      </c>
      <c r="EF67" s="112">
        <f t="shared" si="216"/>
        <v>2791.91</v>
      </c>
      <c r="EH67" s="115">
        <f t="shared" si="217"/>
        <v>2</v>
      </c>
      <c r="EI67" s="37">
        <f>IF(EA67="-","-",IF(ROUND(EA67*$EI$37,2)-EA67&lt;$EI$34,EA67+$EI$34,ROUND(EA67*$EI$37,2)))</f>
        <v>2233.9899999999998</v>
      </c>
      <c r="EJ67" s="112">
        <f t="shared" si="219"/>
        <v>2431.31</v>
      </c>
      <c r="EK67" s="112">
        <f t="shared" si="220"/>
        <v>2491.11</v>
      </c>
      <c r="EL67" s="112">
        <f t="shared" si="221"/>
        <v>2550.9</v>
      </c>
      <c r="EM67" s="112">
        <f t="shared" si="222"/>
        <v>2688.42</v>
      </c>
      <c r="EN67" s="112">
        <f t="shared" si="223"/>
        <v>2831.91</v>
      </c>
    </row>
    <row r="68" spans="1:144" ht="12" thickBot="1">
      <c r="B68" s="75" t="str">
        <f>B45</f>
        <v>EG</v>
      </c>
      <c r="C68" s="75" t="str">
        <f t="shared" ref="C68:H68" si="260">C45</f>
        <v>Stufe 1</v>
      </c>
      <c r="D68" s="75" t="str">
        <f t="shared" si="260"/>
        <v>Stufe 2</v>
      </c>
      <c r="E68" s="75" t="str">
        <f t="shared" si="260"/>
        <v>Stufe 3</v>
      </c>
      <c r="F68" s="75" t="str">
        <f t="shared" si="260"/>
        <v>Stufe 4</v>
      </c>
      <c r="G68" s="75" t="str">
        <f t="shared" si="260"/>
        <v>Stufe 5</v>
      </c>
      <c r="H68" s="75" t="str">
        <f t="shared" si="260"/>
        <v>Stufe 6</v>
      </c>
      <c r="CD68" s="115">
        <f t="shared" si="234"/>
        <v>1</v>
      </c>
      <c r="CE68" s="227" t="str">
        <f t="shared" si="235"/>
        <v>-</v>
      </c>
      <c r="CF68" s="227">
        <f t="shared" si="236"/>
        <v>1752.17</v>
      </c>
      <c r="CG68" s="227">
        <f t="shared" si="237"/>
        <v>1781.42</v>
      </c>
      <c r="CH68" s="227">
        <f t="shared" si="238"/>
        <v>1816.52</v>
      </c>
      <c r="CI68" s="227">
        <f t="shared" si="239"/>
        <v>1851.63</v>
      </c>
      <c r="CJ68" s="227">
        <f t="shared" si="240"/>
        <v>1939.38</v>
      </c>
      <c r="CL68" s="115">
        <f t="shared" si="241"/>
        <v>1</v>
      </c>
      <c r="CM68" s="227" t="str">
        <f t="shared" si="242"/>
        <v>-</v>
      </c>
      <c r="CN68" s="227">
        <f t="shared" si="243"/>
        <v>1752.17</v>
      </c>
      <c r="CO68" s="227">
        <f t="shared" si="244"/>
        <v>1781.42</v>
      </c>
      <c r="CP68" s="227">
        <f t="shared" si="245"/>
        <v>1816.52</v>
      </c>
      <c r="CQ68" s="227">
        <f t="shared" si="246"/>
        <v>1851.63</v>
      </c>
      <c r="CR68" s="227">
        <f t="shared" si="228"/>
        <v>1939.38</v>
      </c>
      <c r="CT68" s="115">
        <f t="shared" si="247"/>
        <v>1</v>
      </c>
      <c r="CU68" s="227" t="str">
        <f t="shared" si="248"/>
        <v>-</v>
      </c>
      <c r="CV68" s="227">
        <f t="shared" si="229"/>
        <v>1790.72</v>
      </c>
      <c r="CW68" s="227">
        <f t="shared" si="230"/>
        <v>1820.61</v>
      </c>
      <c r="CX68" s="227">
        <f t="shared" si="231"/>
        <v>1856.48</v>
      </c>
      <c r="CY68" s="227">
        <f t="shared" si="249"/>
        <v>1892.37</v>
      </c>
      <c r="CZ68" s="227">
        <f t="shared" si="250"/>
        <v>1982.05</v>
      </c>
      <c r="DB68" s="115">
        <f t="shared" si="251"/>
        <v>1</v>
      </c>
      <c r="DC68" s="227" t="str">
        <f t="shared" si="252"/>
        <v>-</v>
      </c>
      <c r="DD68" s="227">
        <f t="shared" si="253"/>
        <v>1790.72</v>
      </c>
      <c r="DE68" s="227">
        <f t="shared" si="254"/>
        <v>1820.61</v>
      </c>
      <c r="DF68" s="227">
        <f t="shared" si="255"/>
        <v>1856.48</v>
      </c>
      <c r="DG68" s="227">
        <f t="shared" si="256"/>
        <v>1892.37</v>
      </c>
      <c r="DH68" s="227">
        <f t="shared" si="232"/>
        <v>1982.05</v>
      </c>
      <c r="DJ68" s="115">
        <f t="shared" si="201"/>
        <v>1</v>
      </c>
      <c r="DK68" s="37" t="str">
        <f t="shared" si="202"/>
        <v>-</v>
      </c>
      <c r="DL68" s="112">
        <f t="shared" si="203"/>
        <v>1890.72</v>
      </c>
      <c r="DM68" s="112">
        <f t="shared" si="204"/>
        <v>1920.61</v>
      </c>
      <c r="DN68" s="112">
        <f t="shared" si="205"/>
        <v>1956.48</v>
      </c>
      <c r="DO68" s="112">
        <f t="shared" si="206"/>
        <v>1992.37</v>
      </c>
      <c r="DP68" s="112">
        <f t="shared" si="207"/>
        <v>2082.0500000000002</v>
      </c>
      <c r="DR68" s="115">
        <f t="shared" si="208"/>
        <v>1</v>
      </c>
      <c r="DS68" s="37" t="str">
        <f t="shared" si="209"/>
        <v>-</v>
      </c>
      <c r="DT68" s="37">
        <f t="shared" si="259"/>
        <v>1890.72</v>
      </c>
      <c r="DU68" s="37">
        <f t="shared" si="259"/>
        <v>1920.61</v>
      </c>
      <c r="DV68" s="37">
        <f t="shared" si="259"/>
        <v>1956.48</v>
      </c>
      <c r="DW68" s="37">
        <f t="shared" si="259"/>
        <v>1992.37</v>
      </c>
      <c r="DX68" s="37">
        <f t="shared" si="259"/>
        <v>2082.0500000000002</v>
      </c>
      <c r="DZ68" s="115">
        <f t="shared" si="210"/>
        <v>1</v>
      </c>
      <c r="EA68" s="37" t="str">
        <f t="shared" si="211"/>
        <v>-</v>
      </c>
      <c r="EB68" s="112">
        <f t="shared" si="212"/>
        <v>1990.72</v>
      </c>
      <c r="EC68" s="112">
        <f t="shared" si="213"/>
        <v>2020.61</v>
      </c>
      <c r="ED68" s="112">
        <f t="shared" si="214"/>
        <v>2056.48</v>
      </c>
      <c r="EE68" s="112">
        <f t="shared" si="215"/>
        <v>2092.37</v>
      </c>
      <c r="EF68" s="112">
        <f t="shared" si="216"/>
        <v>2182.0500000000002</v>
      </c>
      <c r="EH68" s="115">
        <f t="shared" si="217"/>
        <v>1</v>
      </c>
      <c r="EI68" s="37" t="str">
        <f>IF(EA68="-","-",IF(ROUND(EA68*$EI$37,2)-EA68&lt;$EI$34,EA68+$EI$34,ROUND(EA68*$EI$37,2)))</f>
        <v>-</v>
      </c>
      <c r="EJ68" s="112">
        <f t="shared" si="219"/>
        <v>2030.72</v>
      </c>
      <c r="EK68" s="112">
        <f t="shared" si="220"/>
        <v>2060.6099999999997</v>
      </c>
      <c r="EL68" s="112">
        <f t="shared" si="221"/>
        <v>2096.48</v>
      </c>
      <c r="EM68" s="112">
        <f t="shared" si="222"/>
        <v>2132.37</v>
      </c>
      <c r="EN68" s="112">
        <f t="shared" si="223"/>
        <v>2222.0500000000002</v>
      </c>
    </row>
    <row r="69" spans="1:144">
      <c r="B69" s="75" t="str">
        <f t="shared" ref="B69:B87" si="261">B46</f>
        <v>15Ü</v>
      </c>
      <c r="C69" s="389">
        <f>IF(K2="-","-",IF(K2="","",ROUND(K2*Para!$C$49,0)))</f>
        <v>4070</v>
      </c>
      <c r="D69" s="390">
        <f>IF(L2="-","-",IF(L2="","",ROUND(L2*Para!$C$49,0)))</f>
        <v>4523</v>
      </c>
      <c r="E69" s="390">
        <f>IF(M2="-","-",IF(M2="","",ROUND(M2*Para!$C$49,0)))</f>
        <v>4953</v>
      </c>
      <c r="F69" s="390">
        <f>IF(N2="-","-",IF(N2="","",ROUND(N2*Para!$C$49,0)))</f>
        <v>5236</v>
      </c>
      <c r="G69" s="390">
        <f>IF(O2="-","-",IF(O2="","",ROUND(O2*Para!$C$49,0)))</f>
        <v>5305</v>
      </c>
      <c r="H69" s="391" t="str">
        <f>IF(P2="-","-",IF(P2="","",ROUND(P2*Para!$C$49,0)))</f>
        <v>-</v>
      </c>
    </row>
    <row r="70" spans="1:144">
      <c r="B70" s="75">
        <f t="shared" si="261"/>
        <v>15</v>
      </c>
      <c r="C70" s="392">
        <f>IF(K3="-","-",IF(K3="","",ROUND(K3*Para!$C$49,0)))</f>
        <v>3224</v>
      </c>
      <c r="D70" s="116">
        <f>IF(L3="-","-",IF(L3="","",ROUND(L3*Para!$C$49,0)))</f>
        <v>3580</v>
      </c>
      <c r="E70" s="116">
        <f>IF(M3="-","-",IF(M3="","",ROUND(M3*Para!$C$49,0)))</f>
        <v>3714</v>
      </c>
      <c r="F70" s="116">
        <f>IF(N3="-","-",IF(N3="","",ROUND(N3*Para!$C$49,0)))</f>
        <v>4190</v>
      </c>
      <c r="G70" s="116">
        <f>IF(O3="-","-",IF(O3="","",ROUND(O3*Para!$C$49,0)))</f>
        <v>4551</v>
      </c>
      <c r="H70" s="393" t="str">
        <f>IF(P3="-","-",IF(P3="","",ROUND(P3*Para!$C$49,0)))</f>
        <v>-</v>
      </c>
      <c r="DJ70" s="396" t="s">
        <v>325</v>
      </c>
      <c r="DK70" s="466">
        <v>100</v>
      </c>
      <c r="DQ70" s="81"/>
      <c r="DR70" s="396" t="s">
        <v>325</v>
      </c>
      <c r="DS70" s="466">
        <v>90</v>
      </c>
      <c r="DY70" s="81"/>
      <c r="DZ70" s="396" t="s">
        <v>325</v>
      </c>
      <c r="EA70" s="466">
        <v>50</v>
      </c>
    </row>
    <row r="71" spans="1:144">
      <c r="B71" s="75">
        <f t="shared" si="261"/>
        <v>14</v>
      </c>
      <c r="C71" s="392">
        <f>IF(K4="-","-",IF(K4="","",ROUND(K4*Para!$C$49,0)))</f>
        <v>2914</v>
      </c>
      <c r="D71" s="116">
        <f>IF(L4="-","-",IF(L4="","",ROUND(L4*Para!$C$49,0)))</f>
        <v>3238</v>
      </c>
      <c r="E71" s="116">
        <f>IF(M4="-","-",IF(M4="","",ROUND(M4*Para!$C$49,0)))</f>
        <v>3427</v>
      </c>
      <c r="F71" s="116">
        <f>IF(N4="-","-",IF(N4="","",ROUND(N4*Para!$C$49,0)))</f>
        <v>3714</v>
      </c>
      <c r="G71" s="116">
        <f>IF(O4="-","-",IF(O4="","",ROUND(O4*Para!$C$49,0)))</f>
        <v>4153</v>
      </c>
      <c r="H71" s="393" t="str">
        <f>IF(P4="-","-",IF(P4="","",ROUND(P4*Para!$C$49,0)))</f>
        <v>-</v>
      </c>
      <c r="CC71" s="135"/>
      <c r="DB71" s="161" t="s">
        <v>585</v>
      </c>
      <c r="DI71" s="161" t="s">
        <v>585</v>
      </c>
      <c r="DJ71" s="222" t="str">
        <f>$R$22</f>
        <v>Sockel</v>
      </c>
      <c r="DK71" s="231">
        <v>0</v>
      </c>
      <c r="DL71" s="159"/>
      <c r="DM71" s="159">
        <v>1</v>
      </c>
      <c r="DN71" s="159" t="s">
        <v>233</v>
      </c>
      <c r="DO71" s="162">
        <v>1</v>
      </c>
      <c r="DQ71" s="161" t="s">
        <v>585</v>
      </c>
      <c r="DR71" s="220" t="str">
        <f>$R$22</f>
        <v>Sockel</v>
      </c>
      <c r="DS71" s="228"/>
      <c r="DU71" s="394">
        <v>1</v>
      </c>
      <c r="DV71" s="394" t="s">
        <v>233</v>
      </c>
      <c r="DW71" s="395">
        <v>2</v>
      </c>
      <c r="DY71" s="161" t="s">
        <v>585</v>
      </c>
      <c r="DZ71" s="220" t="str">
        <f>$R$22</f>
        <v>Sockel</v>
      </c>
      <c r="EA71" s="228"/>
      <c r="EC71" s="394">
        <v>1</v>
      </c>
      <c r="ED71" s="394" t="s">
        <v>233</v>
      </c>
      <c r="EE71" s="395">
        <v>2</v>
      </c>
    </row>
    <row r="72" spans="1:144">
      <c r="B72" s="75" t="str">
        <f t="shared" si="261"/>
        <v>13Ü</v>
      </c>
      <c r="C72" s="392" t="str">
        <f>IF(K5="-","-",IF(K5="","",ROUND(K5*Para!$C$49,0)))</f>
        <v>-</v>
      </c>
      <c r="D72" s="116">
        <f>IF(L5="-","-",IF(L5="","",ROUND(L5*Para!$C$49,0)))</f>
        <v>2983</v>
      </c>
      <c r="E72" s="116">
        <f>IF(M5="-","-",IF(M5="","",ROUND(M5*Para!$C$49,0)))</f>
        <v>3145</v>
      </c>
      <c r="F72" s="116">
        <f>IF(N5="-","-",IF(N5="","",ROUND(N5*Para!$C$49,0)))</f>
        <v>3427</v>
      </c>
      <c r="G72" s="116">
        <f>IF(O5="-","-",IF(O5="","",ROUND(O5*Para!$C$49,0)))</f>
        <v>3714</v>
      </c>
      <c r="H72" s="393">
        <f>IF(P5="-","-",IF(P5="","",ROUND(P5*Para!$C$49,0)))</f>
        <v>4153</v>
      </c>
      <c r="CC72" s="135"/>
      <c r="DI72" s="161" t="s">
        <v>585</v>
      </c>
      <c r="DJ72" s="222" t="str">
        <f>$R$23</f>
        <v>linear</v>
      </c>
      <c r="DK72" s="232">
        <v>1.032</v>
      </c>
      <c r="DL72" s="159" t="str">
        <f>IF(DK72&gt;0,FIXED((DK72-1)*100,2),0)</f>
        <v>3,20</v>
      </c>
      <c r="DM72" s="159">
        <v>2</v>
      </c>
      <c r="DN72" s="159" t="s">
        <v>234</v>
      </c>
      <c r="DO72" s="159"/>
      <c r="DQ72" s="161" t="s">
        <v>585</v>
      </c>
      <c r="DR72" s="220" t="str">
        <f>$R$23</f>
        <v>linear</v>
      </c>
      <c r="DS72" s="232">
        <v>1.032</v>
      </c>
      <c r="DT72" s="135" t="str">
        <f>IF(DS72&gt;0,FIXED((DS72-1)*100,2),0)</f>
        <v>3,20</v>
      </c>
      <c r="DU72" s="394">
        <v>2</v>
      </c>
      <c r="DV72" s="394" t="s">
        <v>234</v>
      </c>
      <c r="DY72" s="161" t="s">
        <v>585</v>
      </c>
      <c r="DZ72" s="220" t="str">
        <f>$R$23</f>
        <v>linear</v>
      </c>
      <c r="EA72" s="232">
        <v>1.014</v>
      </c>
      <c r="EB72" s="135" t="str">
        <f>IF(EA72&gt;0,FIXED((EA72-1)*100,2),0)</f>
        <v>1,40</v>
      </c>
      <c r="EC72" s="394">
        <v>2</v>
      </c>
      <c r="ED72" s="394" t="s">
        <v>234</v>
      </c>
    </row>
    <row r="73" spans="1:144">
      <c r="B73" s="75">
        <f t="shared" si="261"/>
        <v>13</v>
      </c>
      <c r="C73" s="392">
        <f>IF(K6="-","-",IF(K6="","",ROUND(K6*Para!$C$49,0)))</f>
        <v>2683</v>
      </c>
      <c r="D73" s="116">
        <f>IF(L6="-","-",IF(L6="","",ROUND(L6*Para!$C$49,0)))</f>
        <v>2983</v>
      </c>
      <c r="E73" s="116">
        <f>IF(M6="-","-",IF(M6="","",ROUND(M6*Para!$C$49,0)))</f>
        <v>3145</v>
      </c>
      <c r="F73" s="116">
        <f>IF(N6="-","-",IF(N6="","",ROUND(N6*Para!$C$49,0)))</f>
        <v>3460</v>
      </c>
      <c r="G73" s="116">
        <f>IF(O6="-","-",IF(O6="","",ROUND(O6*Para!$C$49,0)))</f>
        <v>3894</v>
      </c>
      <c r="H73" s="393" t="str">
        <f>IF(P6="-","-",IF(P6="","",ROUND(P6*Para!$C$49,0)))</f>
        <v>-</v>
      </c>
      <c r="CC73" s="135"/>
      <c r="DB73" s="224" t="str">
        <f>$R$24</f>
        <v>Eingabe hier</v>
      </c>
      <c r="DC73" s="232">
        <v>1.0149999999999999</v>
      </c>
      <c r="DI73" s="159"/>
      <c r="DJ73" s="224" t="str">
        <f>$R$24</f>
        <v>Eingabe hier</v>
      </c>
      <c r="DK73" s="232">
        <v>1.032</v>
      </c>
      <c r="DL73" s="159"/>
      <c r="DM73" s="159"/>
      <c r="DN73" s="159"/>
      <c r="DO73" s="159"/>
      <c r="DQ73" s="396" t="s">
        <v>327</v>
      </c>
      <c r="DR73" s="221" t="str">
        <f>$R$24</f>
        <v>Eingabe hier</v>
      </c>
      <c r="DS73" s="232">
        <v>1.032</v>
      </c>
      <c r="DT73" s="135" t="str">
        <f>IF(DS73&gt;0,FIXED((DS73-1)*100,2),0)</f>
        <v>3,20</v>
      </c>
      <c r="DY73" s="396" t="s">
        <v>327</v>
      </c>
      <c r="DZ73" s="221" t="str">
        <f>$R$24</f>
        <v>Eingabe hier</v>
      </c>
      <c r="EA73" s="232">
        <v>1.014</v>
      </c>
      <c r="EB73" s="135" t="str">
        <f>IF(EA73&gt;0,FIXED((EA73-1)*100,2),0)</f>
        <v>1,40</v>
      </c>
    </row>
    <row r="74" spans="1:144">
      <c r="B74" s="75">
        <f t="shared" si="261"/>
        <v>12</v>
      </c>
      <c r="C74" s="392">
        <f>IF(K7="-","-",IF(K7="","",ROUND(K7*Para!$C$49,0)))</f>
        <v>2400</v>
      </c>
      <c r="D74" s="116">
        <f>IF(L7="-","-",IF(L7="","",ROUND(L7*Para!$C$49,0)))</f>
        <v>2669</v>
      </c>
      <c r="E74" s="116">
        <f>IF(M7="-","-",IF(M7="","",ROUND(M7*Para!$C$49,0)))</f>
        <v>3048</v>
      </c>
      <c r="F74" s="116">
        <f>IF(N7="-","-",IF(N7="","",ROUND(N7*Para!$C$49,0)))</f>
        <v>3381</v>
      </c>
      <c r="G74" s="116">
        <f>IF(O7="-","-",IF(O7="","",ROUND(O7*Para!$C$49,0)))</f>
        <v>3811</v>
      </c>
      <c r="H74" s="393" t="str">
        <f>IF(P7="-","-",IF(P7="","",ROUND(P7*Para!$C$49,0)))</f>
        <v>-</v>
      </c>
      <c r="CC74" s="135"/>
      <c r="DI74" s="159"/>
      <c r="DJ74" s="162" t="s">
        <v>196</v>
      </c>
      <c r="DK74" s="159"/>
      <c r="DL74" s="159"/>
      <c r="DM74" s="159"/>
      <c r="DN74" s="159"/>
      <c r="DO74" s="159"/>
      <c r="DQ74" s="81"/>
      <c r="DR74" s="162" t="s">
        <v>196</v>
      </c>
      <c r="DY74" s="81"/>
      <c r="DZ74" s="162" t="s">
        <v>196</v>
      </c>
    </row>
    <row r="75" spans="1:144">
      <c r="B75" s="75">
        <f t="shared" si="261"/>
        <v>11</v>
      </c>
      <c r="C75" s="392">
        <f>IF(K8="-","-",IF(K8="","",ROUND(K8*Para!$C$49,0)))</f>
        <v>2317</v>
      </c>
      <c r="D75" s="116">
        <f>IF(L8="-","-",IF(L8="","",ROUND(L8*Para!$C$49,0)))</f>
        <v>2572</v>
      </c>
      <c r="E75" s="116">
        <f>IF(M8="-","-",IF(M8="","",ROUND(M8*Para!$C$49,0)))</f>
        <v>2761</v>
      </c>
      <c r="F75" s="116">
        <f>IF(N8="-","-",IF(N8="","",ROUND(N8*Para!$C$49,0)))</f>
        <v>3048</v>
      </c>
      <c r="G75" s="116">
        <f>IF(O8="-","-",IF(O8="","",ROUND(O8*Para!$C$49,0)))</f>
        <v>3464</v>
      </c>
      <c r="H75" s="393" t="str">
        <f>IF(P8="-","-",IF(P8="","",ROUND(P8*Para!$C$49,0)))</f>
        <v>-</v>
      </c>
      <c r="CC75" s="135"/>
      <c r="DI75" s="159"/>
      <c r="DJ75" s="162" t="str">
        <f>Para!F182</f>
        <v>( ab 1.01.2019 )</v>
      </c>
      <c r="DK75" s="159"/>
      <c r="DL75" s="159"/>
      <c r="DM75" s="159"/>
      <c r="DN75" s="159"/>
      <c r="DO75" s="159"/>
      <c r="DQ75" s="81"/>
      <c r="DR75" s="158" t="str">
        <f>Para!$F$174</f>
        <v>( ab 1.02.2020 )</v>
      </c>
      <c r="DY75" s="81"/>
      <c r="DZ75" s="158" t="str">
        <f>Para!$F$175</f>
        <v>( ab 1.01.2021 )</v>
      </c>
    </row>
    <row r="76" spans="1:144">
      <c r="B76" s="75">
        <f t="shared" si="261"/>
        <v>10</v>
      </c>
      <c r="C76" s="392">
        <f>IF(K9="-","-",IF(K9="","",ROUND(K9*Para!$C$49,0)))</f>
        <v>2229</v>
      </c>
      <c r="D76" s="116">
        <f>IF(L9="-","-",IF(L9="","",ROUND(L9*Para!$C$49,0)))</f>
        <v>2479</v>
      </c>
      <c r="E76" s="116">
        <f>IF(M9="-","-",IF(M9="","",ROUND(M9*Para!$C$49,0)))</f>
        <v>2669</v>
      </c>
      <c r="F76" s="116">
        <f>IF(N9="-","-",IF(N9="","",ROUND(N9*Para!$C$49,0)))</f>
        <v>2858</v>
      </c>
      <c r="G76" s="116">
        <f>IF(O9="-","-",IF(O9="","",ROUND(O9*Para!$C$49,0)))</f>
        <v>3219</v>
      </c>
      <c r="H76" s="393" t="str">
        <f>IF(P9="-","-",IF(P9="","",ROUND(P9*Para!$C$49,0)))</f>
        <v>-</v>
      </c>
      <c r="CC76" s="135"/>
      <c r="DI76" s="159"/>
      <c r="DJ76" s="162" t="str">
        <f>Para!G182</f>
        <v>Stand 1.01.2019</v>
      </c>
      <c r="DK76" s="159"/>
      <c r="DL76" s="159"/>
      <c r="DM76" s="159"/>
      <c r="DN76" s="159"/>
      <c r="DO76" s="159"/>
      <c r="DQ76" s="81"/>
      <c r="DR76" s="158" t="str">
        <f>Para!$G$174</f>
        <v>Stand 1.02.2020</v>
      </c>
      <c r="DY76" s="81"/>
      <c r="DZ76" s="158" t="str">
        <f>Para!$G$175</f>
        <v>Stand 1.01.2021</v>
      </c>
    </row>
    <row r="77" spans="1:144">
      <c r="B77" s="75">
        <f t="shared" si="261"/>
        <v>9</v>
      </c>
      <c r="C77" s="392">
        <f>IF(K10="-","-",IF(K10="","",ROUND(K10*Para!$C$49,0)))</f>
        <v>1966</v>
      </c>
      <c r="D77" s="116">
        <f>IF(L10="-","-",IF(L10="","",ROUND(L10*Para!$C$49,0)))</f>
        <v>2183</v>
      </c>
      <c r="E77" s="116">
        <f>IF(M10="-","-",IF(M10="","",ROUND(M10*Para!$C$49,0)))</f>
        <v>2294</v>
      </c>
      <c r="F77" s="116">
        <f>IF(N10="-","-",IF(N10="","",ROUND(N10*Para!$C$49,0)))</f>
        <v>2599</v>
      </c>
      <c r="G77" s="116">
        <f>IF(O10="-","-",IF(O10="","",ROUND(O10*Para!$C$49,0)))</f>
        <v>2840</v>
      </c>
      <c r="H77" s="393" t="str">
        <f>IF(P10="-","-",IF(P10="","",ROUND(P10*Para!$C$49,0)))</f>
        <v>-</v>
      </c>
      <c r="CC77" s="135"/>
      <c r="DI77" s="161"/>
      <c r="DJ77" s="159" t="str">
        <f>Para!E182</f>
        <v>ab 1.01.2019</v>
      </c>
      <c r="DK77" s="159"/>
      <c r="DL77" s="159"/>
      <c r="DM77" s="159"/>
      <c r="DN77" s="159"/>
      <c r="DO77" s="159"/>
      <c r="DQ77" s="81"/>
      <c r="DR77" s="135" t="str">
        <f>Para!$E$174</f>
        <v>ab 1.02.2020</v>
      </c>
      <c r="DY77" s="81"/>
      <c r="DZ77" s="135" t="str">
        <f>Para!$E$175</f>
        <v>ab 1.01.2021</v>
      </c>
    </row>
    <row r="78" spans="1:144">
      <c r="B78" s="75">
        <f t="shared" si="261"/>
        <v>9</v>
      </c>
      <c r="C78" s="384">
        <f t="shared" ref="C78:H78" si="262">K10</f>
        <v>2125</v>
      </c>
      <c r="D78" s="37">
        <f t="shared" si="262"/>
        <v>2360</v>
      </c>
      <c r="E78" s="37">
        <f t="shared" si="262"/>
        <v>2480</v>
      </c>
      <c r="F78" s="37">
        <f t="shared" si="262"/>
        <v>2810</v>
      </c>
      <c r="G78" s="37">
        <f t="shared" si="262"/>
        <v>3070</v>
      </c>
      <c r="H78" s="385" t="str">
        <f t="shared" si="262"/>
        <v>-</v>
      </c>
      <c r="CC78" s="135"/>
      <c r="DI78" s="161"/>
      <c r="DJ78" s="162" t="str">
        <f>Para!H182</f>
        <v xml:space="preserve"> (gilt bis 31.12.2019)</v>
      </c>
      <c r="DK78" s="159"/>
      <c r="DL78" s="159"/>
      <c r="DM78" s="159"/>
      <c r="DN78" s="159"/>
      <c r="DO78" s="159"/>
      <c r="DQ78" s="81"/>
      <c r="DR78" s="158" t="str">
        <f>Para!$H$174</f>
        <v xml:space="preserve"> (gilt bis 31.12.2020)</v>
      </c>
      <c r="DY78" s="81"/>
      <c r="DZ78" s="158" t="str">
        <f>Para!$H$175</f>
        <v xml:space="preserve"> (mind bis 30.09.2021)</v>
      </c>
    </row>
    <row r="79" spans="1:144">
      <c r="B79" s="75">
        <f t="shared" si="261"/>
        <v>8</v>
      </c>
      <c r="C79" s="384">
        <f t="shared" ref="C79:C87" si="263">K11</f>
        <v>1985</v>
      </c>
      <c r="D79" s="37">
        <f t="shared" ref="D79:D87" si="264">L11</f>
        <v>2205</v>
      </c>
      <c r="E79" s="37">
        <f t="shared" ref="E79:E87" si="265">M11</f>
        <v>2305</v>
      </c>
      <c r="F79" s="37">
        <f t="shared" ref="F79:F87" si="266">N11</f>
        <v>2400</v>
      </c>
      <c r="G79" s="37">
        <f t="shared" ref="G79:G87" si="267">O11</f>
        <v>2505</v>
      </c>
      <c r="H79" s="385">
        <f t="shared" ref="H79:H87" si="268">P11</f>
        <v>2570</v>
      </c>
      <c r="CC79" s="135"/>
      <c r="DI79" s="159"/>
      <c r="DJ79" s="135" t="str">
        <f>IF(AND(DK71=0,DK72&gt;1)," ( + "&amp;DL72&amp;" % ) ",IF(AND(DK71&gt;0,DK72&gt;1,DO71=1)," ( + "&amp;DK71&amp;" Euro ",IF(AND(DK71&gt;0,DK72&gt;1,DO71=2)," ( + "&amp;DL72&amp;" % ","")))</f>
        <v xml:space="preserve"> ( + 3,20 % ) </v>
      </c>
      <c r="DK79" s="159"/>
      <c r="DL79" s="159"/>
      <c r="DM79" s="159"/>
      <c r="DN79" s="159"/>
      <c r="DO79" s="159"/>
    </row>
    <row r="80" spans="1:144">
      <c r="B80" s="75">
        <f t="shared" si="261"/>
        <v>7</v>
      </c>
      <c r="C80" s="384">
        <f t="shared" si="263"/>
        <v>1855</v>
      </c>
      <c r="D80" s="37">
        <f t="shared" si="264"/>
        <v>2060</v>
      </c>
      <c r="E80" s="37">
        <f t="shared" si="265"/>
        <v>2195</v>
      </c>
      <c r="F80" s="37">
        <f t="shared" si="266"/>
        <v>2295</v>
      </c>
      <c r="G80" s="37">
        <f t="shared" si="267"/>
        <v>2375</v>
      </c>
      <c r="H80" s="385">
        <f t="shared" si="268"/>
        <v>2445</v>
      </c>
      <c r="CC80" s="135"/>
      <c r="DI80" s="159"/>
      <c r="DJ80" s="135" t="str">
        <f>IF(AND(DK71=0,DK72&gt;1)," ( + "&amp;DL72&amp;" % ) ",IF(AND(DK71&gt;0,DK72&gt;1,DO71=1),"  + "&amp;DL72&amp;" % )",IF(AND(DK71&gt;0,DK72&gt;1,DO71=2),"  + "&amp;DK71&amp;" Euro )","")))</f>
        <v xml:space="preserve"> ( + 3,20 % ) </v>
      </c>
      <c r="DK80" s="159"/>
      <c r="DL80" s="159"/>
      <c r="DM80" s="159"/>
      <c r="DN80" s="159"/>
      <c r="DO80" s="159"/>
    </row>
    <row r="81" spans="2:136">
      <c r="B81" s="75">
        <f t="shared" si="261"/>
        <v>6</v>
      </c>
      <c r="C81" s="384">
        <f t="shared" si="263"/>
        <v>1820</v>
      </c>
      <c r="D81" s="37">
        <f t="shared" si="264"/>
        <v>2020</v>
      </c>
      <c r="E81" s="37">
        <f t="shared" si="265"/>
        <v>2120</v>
      </c>
      <c r="F81" s="37">
        <f t="shared" si="266"/>
        <v>2220</v>
      </c>
      <c r="G81" s="37">
        <f t="shared" si="267"/>
        <v>2285</v>
      </c>
      <c r="H81" s="385">
        <f t="shared" si="268"/>
        <v>2355</v>
      </c>
      <c r="CC81" s="135"/>
      <c r="DB81" s="145" t="s">
        <v>586</v>
      </c>
      <c r="DI81" s="159"/>
      <c r="DJ81" s="145" t="str">
        <f>IF(AND(DK71=0,DK70&gt;1)," ( mindestens "&amp;DK70&amp;" € bzw + "&amp;DL72&amp;" % ) ",IF(AND(DK71&gt;0,DK72&gt;1),DJ79&amp;DJ80,IF(AND(DK71&gt;0,DK72=1),DJ79,DJ80)))</f>
        <v xml:space="preserve"> ( mindestens 100 € bzw + 3,20 % ) </v>
      </c>
      <c r="DK81" s="226"/>
      <c r="DL81" s="159"/>
      <c r="DM81" s="159"/>
      <c r="DN81" s="159"/>
      <c r="DO81" s="159"/>
      <c r="DR81" s="145" t="str">
        <f>IF(AND(DS71=0,DS70&gt;1)," ( mindestens "&amp;DS70&amp;" € bzw + "&amp;DT72&amp;" % ) ",IF(AND(DS71&gt;0,DS72&gt;1),DR79&amp;DR80,IF(AND(DS71&gt;0,DS72=1),DR79,DR80)))</f>
        <v xml:space="preserve"> ( mindestens 90 € bzw + 3,20 % ) </v>
      </c>
      <c r="DZ81" s="145" t="str">
        <f>IF(AND(EA71=0,EA70&gt;1)," ( mindestens "&amp;EA70&amp;" € bzw + "&amp;EB72&amp;" % ) ",IF(AND(EA71&gt;0,EA72&gt;1),DZ79&amp;DZ80,IF(AND(EA71&gt;0,EA72=1),DZ79,DZ80)))</f>
        <v xml:space="preserve"> ( mindestens 50 € bzw + 1,40 % ) </v>
      </c>
    </row>
    <row r="82" spans="2:136">
      <c r="B82" s="75">
        <f t="shared" si="261"/>
        <v>5</v>
      </c>
      <c r="C82" s="384">
        <f t="shared" si="263"/>
        <v>1740</v>
      </c>
      <c r="D82" s="37">
        <f t="shared" si="264"/>
        <v>1930</v>
      </c>
      <c r="E82" s="37">
        <f t="shared" si="265"/>
        <v>2030</v>
      </c>
      <c r="F82" s="37">
        <f t="shared" si="266"/>
        <v>2125</v>
      </c>
      <c r="G82" s="37">
        <f t="shared" si="267"/>
        <v>2200</v>
      </c>
      <c r="H82" s="385">
        <f t="shared" si="268"/>
        <v>2250</v>
      </c>
      <c r="CC82" s="135"/>
    </row>
    <row r="83" spans="2:136">
      <c r="B83" s="75">
        <f t="shared" si="261"/>
        <v>4</v>
      </c>
      <c r="C83" s="384">
        <f t="shared" si="263"/>
        <v>1650</v>
      </c>
      <c r="D83" s="37">
        <f t="shared" si="264"/>
        <v>1835</v>
      </c>
      <c r="E83" s="37">
        <f t="shared" si="265"/>
        <v>1960</v>
      </c>
      <c r="F83" s="37">
        <f t="shared" si="266"/>
        <v>2030</v>
      </c>
      <c r="G83" s="37">
        <f t="shared" si="267"/>
        <v>2100</v>
      </c>
      <c r="H83" s="385">
        <f t="shared" si="268"/>
        <v>2145</v>
      </c>
      <c r="CC83" s="135"/>
    </row>
    <row r="84" spans="2:136">
      <c r="B84" s="75">
        <f t="shared" si="261"/>
        <v>3</v>
      </c>
      <c r="C84" s="384">
        <f t="shared" si="263"/>
        <v>1625</v>
      </c>
      <c r="D84" s="37">
        <f t="shared" si="264"/>
        <v>1805</v>
      </c>
      <c r="E84" s="37">
        <f t="shared" si="265"/>
        <v>1855</v>
      </c>
      <c r="F84" s="37">
        <f t="shared" si="266"/>
        <v>1935</v>
      </c>
      <c r="G84" s="37">
        <f t="shared" si="267"/>
        <v>2000</v>
      </c>
      <c r="H84" s="385">
        <f t="shared" si="268"/>
        <v>2055</v>
      </c>
      <c r="CC84" s="135"/>
    </row>
    <row r="85" spans="2:136">
      <c r="B85" s="75" t="str">
        <f t="shared" si="261"/>
        <v>2Ü</v>
      </c>
      <c r="C85" s="384">
        <f t="shared" si="263"/>
        <v>1550</v>
      </c>
      <c r="D85" s="37">
        <f t="shared" si="264"/>
        <v>1720</v>
      </c>
      <c r="E85" s="37">
        <f t="shared" si="265"/>
        <v>1785</v>
      </c>
      <c r="F85" s="37">
        <f t="shared" si="266"/>
        <v>1865</v>
      </c>
      <c r="G85" s="37">
        <f t="shared" si="267"/>
        <v>1920</v>
      </c>
      <c r="H85" s="385">
        <f t="shared" si="268"/>
        <v>1965</v>
      </c>
      <c r="CC85" s="135"/>
      <c r="DB85" s="215" t="s">
        <v>442</v>
      </c>
      <c r="DC85" s="113" t="str">
        <f t="shared" ref="DC85:DH85" si="269">CU49</f>
        <v>Stufe 1</v>
      </c>
      <c r="DD85" s="113" t="str">
        <f t="shared" si="269"/>
        <v>Stufe 2</v>
      </c>
      <c r="DE85" s="113" t="str">
        <f t="shared" si="269"/>
        <v>Stufe 3</v>
      </c>
      <c r="DF85" s="113" t="str">
        <f t="shared" si="269"/>
        <v>Stufe 4</v>
      </c>
      <c r="DG85" s="113" t="str">
        <f t="shared" si="269"/>
        <v>Stufe 5</v>
      </c>
      <c r="DH85" s="113" t="str">
        <f t="shared" si="269"/>
        <v>Stufe 6</v>
      </c>
      <c r="DJ85" s="215">
        <v>2020</v>
      </c>
      <c r="DK85" s="113" t="str">
        <f t="shared" ref="DK85:DP85" si="270">DC85</f>
        <v>Stufe 1</v>
      </c>
      <c r="DL85" s="113" t="str">
        <f t="shared" si="270"/>
        <v>Stufe 2</v>
      </c>
      <c r="DM85" s="113" t="str">
        <f t="shared" si="270"/>
        <v>Stufe 3</v>
      </c>
      <c r="DN85" s="113" t="str">
        <f t="shared" si="270"/>
        <v>Stufe 4</v>
      </c>
      <c r="DO85" s="113" t="str">
        <f t="shared" si="270"/>
        <v>Stufe 5</v>
      </c>
      <c r="DP85" s="113" t="str">
        <f t="shared" si="270"/>
        <v>Stufe 6</v>
      </c>
      <c r="DR85" s="215">
        <v>2020</v>
      </c>
      <c r="DS85" s="113" t="str">
        <f t="shared" ref="DS85:DX85" si="271">DK85</f>
        <v>Stufe 1</v>
      </c>
      <c r="DT85" s="113" t="str">
        <f t="shared" si="271"/>
        <v>Stufe 2</v>
      </c>
      <c r="DU85" s="113" t="str">
        <f t="shared" si="271"/>
        <v>Stufe 3</v>
      </c>
      <c r="DV85" s="113" t="str">
        <f t="shared" si="271"/>
        <v>Stufe 4</v>
      </c>
      <c r="DW85" s="113" t="str">
        <f t="shared" si="271"/>
        <v>Stufe 5</v>
      </c>
      <c r="DX85" s="113" t="str">
        <f t="shared" si="271"/>
        <v>Stufe 6</v>
      </c>
      <c r="DZ85" s="215">
        <v>2021</v>
      </c>
      <c r="EA85" s="113" t="str">
        <f t="shared" ref="EA85:EF85" si="272">DS85</f>
        <v>Stufe 1</v>
      </c>
      <c r="EB85" s="113" t="str">
        <f t="shared" si="272"/>
        <v>Stufe 2</v>
      </c>
      <c r="EC85" s="113" t="str">
        <f t="shared" si="272"/>
        <v>Stufe 3</v>
      </c>
      <c r="ED85" s="113" t="str">
        <f t="shared" si="272"/>
        <v>Stufe 4</v>
      </c>
      <c r="EE85" s="113" t="str">
        <f t="shared" si="272"/>
        <v>Stufe 5</v>
      </c>
      <c r="EF85" s="113" t="str">
        <f t="shared" si="272"/>
        <v>Stufe 6</v>
      </c>
    </row>
    <row r="86" spans="2:136">
      <c r="B86" s="75">
        <f t="shared" si="261"/>
        <v>2</v>
      </c>
      <c r="C86" s="384">
        <f t="shared" si="263"/>
        <v>1495</v>
      </c>
      <c r="D86" s="37">
        <f t="shared" si="264"/>
        <v>1660</v>
      </c>
      <c r="E86" s="37">
        <f t="shared" si="265"/>
        <v>1710</v>
      </c>
      <c r="F86" s="37">
        <f t="shared" si="266"/>
        <v>1760</v>
      </c>
      <c r="G86" s="37">
        <f t="shared" si="267"/>
        <v>1875</v>
      </c>
      <c r="H86" s="385">
        <f t="shared" si="268"/>
        <v>1995</v>
      </c>
      <c r="CC86" s="135"/>
      <c r="DB86" s="115" t="str">
        <f>CT50</f>
        <v>15Ü</v>
      </c>
      <c r="DC86" s="227">
        <f t="shared" ref="DC86:DH86" si="273">IF(CU2="-","-",ROUND(CU2*$DC$73,2))</f>
        <v>5618.52</v>
      </c>
      <c r="DD86" s="227">
        <f t="shared" si="273"/>
        <v>6236.36</v>
      </c>
      <c r="DE86" s="227">
        <f t="shared" si="273"/>
        <v>6822.72</v>
      </c>
      <c r="DF86" s="227">
        <f t="shared" si="273"/>
        <v>7207.3</v>
      </c>
      <c r="DG86" s="227">
        <f t="shared" si="273"/>
        <v>7301.89</v>
      </c>
      <c r="DH86" s="227" t="str">
        <f t="shared" si="273"/>
        <v>-</v>
      </c>
      <c r="DJ86" s="115" t="str">
        <f>DB86</f>
        <v>15Ü</v>
      </c>
      <c r="DK86" s="37">
        <f>IF(DC86="-","-",IF(ROUND(DC86*$DK$72,2)-DC86&lt;$DK$70,DC86+$DK$70,ROUND(DC86*$DK$72,2)))</f>
        <v>5798.31</v>
      </c>
      <c r="DL86" s="37">
        <f t="shared" ref="DL86:DP100" si="274">IF(DD86="-","-",IF(ROUND(DD86*$DK$72,2)-DD86&lt;$DK$70,DD86+$DK$70,ROUND(DD86*$DK$72,2)))</f>
        <v>6435.92</v>
      </c>
      <c r="DM86" s="37">
        <f t="shared" si="274"/>
        <v>7041.05</v>
      </c>
      <c r="DN86" s="37">
        <f t="shared" si="274"/>
        <v>7437.93</v>
      </c>
      <c r="DO86" s="37">
        <f t="shared" si="274"/>
        <v>7535.55</v>
      </c>
      <c r="DP86" s="37" t="str">
        <f t="shared" si="274"/>
        <v>-</v>
      </c>
      <c r="DR86" s="115" t="str">
        <f>DJ86</f>
        <v>15Ü</v>
      </c>
      <c r="DS86" s="37">
        <f t="shared" ref="DS86:DX86" si="275">IF(DK86="-","-",IF(ROUND(DK86*$DS$72,2)-DK86&lt;$DS$70,DK86+$DS$70,ROUND(DK86*$DS$72,2)))</f>
        <v>5983.86</v>
      </c>
      <c r="DT86" s="37">
        <f t="shared" si="275"/>
        <v>6641.87</v>
      </c>
      <c r="DU86" s="37">
        <f t="shared" si="275"/>
        <v>7266.36</v>
      </c>
      <c r="DV86" s="37">
        <f t="shared" si="275"/>
        <v>7675.94</v>
      </c>
      <c r="DW86" s="37">
        <f t="shared" si="275"/>
        <v>7776.69</v>
      </c>
      <c r="DX86" s="37" t="str">
        <f t="shared" si="275"/>
        <v>-</v>
      </c>
      <c r="DZ86" s="115" t="str">
        <f>DR86</f>
        <v>15Ü</v>
      </c>
      <c r="EA86" s="37">
        <f t="shared" ref="EA86:EF86" si="276">IF(DS86="-","-",IF(ROUND(DS86*$EA$72,2)-DS86&lt;$EA$70,DS86+$EA$70,ROUND(DS86*$EA$72,2)))</f>
        <v>6067.63</v>
      </c>
      <c r="EB86" s="37">
        <f t="shared" si="276"/>
        <v>6734.86</v>
      </c>
      <c r="EC86" s="37">
        <f t="shared" si="276"/>
        <v>7368.09</v>
      </c>
      <c r="ED86" s="37">
        <f t="shared" si="276"/>
        <v>7783.4</v>
      </c>
      <c r="EE86" s="37">
        <f t="shared" si="276"/>
        <v>7885.56</v>
      </c>
      <c r="EF86" s="37" t="str">
        <f t="shared" si="276"/>
        <v>-</v>
      </c>
    </row>
    <row r="87" spans="2:136">
      <c r="B87" s="75">
        <f t="shared" si="261"/>
        <v>1</v>
      </c>
      <c r="C87" s="384" t="str">
        <f t="shared" si="263"/>
        <v>-</v>
      </c>
      <c r="D87" s="37">
        <f t="shared" si="264"/>
        <v>1325</v>
      </c>
      <c r="E87" s="37">
        <f t="shared" si="265"/>
        <v>1350</v>
      </c>
      <c r="F87" s="37">
        <f t="shared" si="266"/>
        <v>1380</v>
      </c>
      <c r="G87" s="37">
        <f t="shared" si="267"/>
        <v>1410</v>
      </c>
      <c r="H87" s="385">
        <f t="shared" si="268"/>
        <v>1485</v>
      </c>
      <c r="CC87" s="135"/>
      <c r="DB87" s="115">
        <f t="shared" ref="DB87:DB94" si="277">CT51</f>
        <v>15</v>
      </c>
      <c r="DC87" s="227">
        <f t="shared" ref="DC87:DC94" si="278">IF(CU3="-","-",ROUND(CU3*$DC$73,2))</f>
        <v>4464.7299999999996</v>
      </c>
      <c r="DD87" s="227">
        <f t="shared" ref="DD87:DD94" si="279">IF(CV3="-","-",ROUND(CV3*$DC$73,2))</f>
        <v>4950.21</v>
      </c>
      <c r="DE87" s="227">
        <f t="shared" ref="DE87:DE94" si="280">IF(CW3="-","-",ROUND(CW3*$DC$73,2))</f>
        <v>5133.05</v>
      </c>
      <c r="DF87" s="227">
        <f t="shared" ref="DF87:DF94" si="281">IF(CX3="-","-",ROUND(CX3*$DC$73,2))</f>
        <v>5782.44</v>
      </c>
      <c r="DG87" s="227">
        <f t="shared" ref="DG87:DG94" si="282">IF(CY3="-","-",ROUND(CY3*$DC$73,2))</f>
        <v>6274.21</v>
      </c>
      <c r="DH87" s="227">
        <f t="shared" ref="DH87:DH94" si="283">IF(CZ3="-","-",ROUND(CZ3*$DC$73,2))</f>
        <v>6462.43</v>
      </c>
      <c r="DJ87" s="115">
        <f t="shared" ref="DJ87:DJ102" si="284">DB87</f>
        <v>15</v>
      </c>
      <c r="DK87" s="37">
        <f t="shared" ref="DK87:DK102" si="285">IF(DC87="-","-",IF(ROUND(DC87*$DK$72,2)-DC87&lt;$DK$70,DC87+$DK$70,ROUND(DC87*$DK$72,2)))</f>
        <v>4607.6000000000004</v>
      </c>
      <c r="DL87" s="37">
        <f t="shared" si="274"/>
        <v>5108.62</v>
      </c>
      <c r="DM87" s="37">
        <f t="shared" si="274"/>
        <v>5297.31</v>
      </c>
      <c r="DN87" s="37">
        <f t="shared" si="274"/>
        <v>5967.48</v>
      </c>
      <c r="DO87" s="37">
        <f t="shared" si="274"/>
        <v>6474.98</v>
      </c>
      <c r="DP87" s="37">
        <f t="shared" si="274"/>
        <v>6669.23</v>
      </c>
      <c r="DR87" s="115">
        <f t="shared" ref="DR87:DR102" si="286">DJ87</f>
        <v>15</v>
      </c>
      <c r="DS87" s="37">
        <f t="shared" ref="DS87:DS102" si="287">IF(DK87="-","-",IF(ROUND(DK87*$DS$72,2)-DK87&lt;$DS$70,DK87+$DS$70,ROUND(DK87*$DS$72,2)))</f>
        <v>4755.04</v>
      </c>
      <c r="DT87" s="37">
        <f t="shared" ref="DT87:DT102" si="288">IF(DL87="-","-",IF(ROUND(DL87*$DS$72,2)-DL87&lt;$DS$70,DL87+$DS$70,ROUND(DL87*$DS$72,2)))</f>
        <v>5272.1</v>
      </c>
      <c r="DU87" s="37">
        <f t="shared" ref="DU87:DU102" si="289">IF(DM87="-","-",IF(ROUND(DM87*$DS$72,2)-DM87&lt;$DS$70,DM87+$DS$70,ROUND(DM87*$DS$72,2)))</f>
        <v>5466.82</v>
      </c>
      <c r="DV87" s="37">
        <f t="shared" ref="DV87:DV102" si="290">IF(DN87="-","-",IF(ROUND(DN87*$DS$72,2)-DN87&lt;$DS$70,DN87+$DS$70,ROUND(DN87*$DS$72,2)))</f>
        <v>6158.44</v>
      </c>
      <c r="DW87" s="37">
        <f t="shared" ref="DW87:DW102" si="291">IF(DO87="-","-",IF(ROUND(DO87*$DS$72,2)-DO87&lt;$DS$70,DO87+$DS$70,ROUND(DO87*$DS$72,2)))</f>
        <v>6682.18</v>
      </c>
      <c r="DX87" s="37">
        <f t="shared" ref="DX87:DX102" si="292">IF(DP87="-","-",IF(ROUND(DP87*$DS$72,2)-DP87&lt;$DS$70,DP87+$DS$70,ROUND(DP87*$DS$72,2)))</f>
        <v>6882.65</v>
      </c>
      <c r="DZ87" s="115">
        <f t="shared" ref="DZ87:DZ102" si="293">DR87</f>
        <v>15</v>
      </c>
      <c r="EA87" s="37">
        <f t="shared" ref="EA87:EA102" si="294">IF(DS87="-","-",IF(ROUND(DS87*$EA$72,2)-DS87&lt;$EA$70,DS87+$EA$70,ROUND(DS87*$EA$72,2)))</f>
        <v>4821.6099999999997</v>
      </c>
      <c r="EB87" s="37">
        <f t="shared" ref="EB87:EB102" si="295">IF(DT87="-","-",IF(ROUND(DT87*$EA$72,2)-DT87&lt;$EA$70,DT87+$EA$70,ROUND(DT87*$EA$72,2)))</f>
        <v>5345.91</v>
      </c>
      <c r="EC87" s="37">
        <f t="shared" ref="EC87:EC102" si="296">IF(DU87="-","-",IF(ROUND(DU87*$EA$72,2)-DU87&lt;$EA$70,DU87+$EA$70,ROUND(DU87*$EA$72,2)))</f>
        <v>5543.36</v>
      </c>
      <c r="ED87" s="37">
        <f t="shared" ref="ED87:ED102" si="297">IF(DV87="-","-",IF(ROUND(DV87*$EA$72,2)-DV87&lt;$EA$70,DV87+$EA$70,ROUND(DV87*$EA$72,2)))</f>
        <v>6244.66</v>
      </c>
      <c r="EE87" s="37">
        <f t="shared" ref="EE87:EE102" si="298">IF(DW87="-","-",IF(ROUND(DW87*$EA$72,2)-DW87&lt;$EA$70,DW87+$EA$70,ROUND(DW87*$EA$72,2)))</f>
        <v>6775.73</v>
      </c>
      <c r="EF87" s="37">
        <f t="shared" ref="EF87:EF102" si="299">IF(DX87="-","-",IF(ROUND(DX87*$EA$72,2)-DX87&lt;$EA$70,DX87+$EA$70,ROUND(DX87*$EA$72,2)))</f>
        <v>6979.01</v>
      </c>
    </row>
    <row r="88" spans="2:136" ht="12" thickBot="1">
      <c r="B88" s="135" t="str">
        <f>""</f>
        <v/>
      </c>
      <c r="C88" s="386" t="str">
        <f>""</f>
        <v/>
      </c>
      <c r="D88" s="387" t="str">
        <f>""</f>
        <v/>
      </c>
      <c r="E88" s="387" t="str">
        <f>""</f>
        <v/>
      </c>
      <c r="F88" s="387" t="str">
        <f>""</f>
        <v/>
      </c>
      <c r="G88" s="387" t="str">
        <f>""</f>
        <v/>
      </c>
      <c r="H88" s="388" t="str">
        <f>""</f>
        <v/>
      </c>
      <c r="CC88" s="135"/>
      <c r="DB88" s="115">
        <f t="shared" si="277"/>
        <v>14</v>
      </c>
      <c r="DC88" s="227">
        <f t="shared" si="278"/>
        <v>4042.34</v>
      </c>
      <c r="DD88" s="227">
        <f t="shared" si="279"/>
        <v>4483.6499999999996</v>
      </c>
      <c r="DE88" s="227">
        <f t="shared" si="280"/>
        <v>4742.1499999999996</v>
      </c>
      <c r="DF88" s="227">
        <f t="shared" si="281"/>
        <v>5133.05</v>
      </c>
      <c r="DG88" s="227">
        <f t="shared" si="282"/>
        <v>5731.99</v>
      </c>
      <c r="DH88" s="227">
        <f t="shared" si="283"/>
        <v>5903.95</v>
      </c>
      <c r="DJ88" s="115">
        <f t="shared" si="284"/>
        <v>14</v>
      </c>
      <c r="DK88" s="37">
        <f t="shared" si="285"/>
        <v>4171.6899999999996</v>
      </c>
      <c r="DL88" s="37">
        <f t="shared" si="274"/>
        <v>4627.13</v>
      </c>
      <c r="DM88" s="37">
        <f t="shared" si="274"/>
        <v>4893.8999999999996</v>
      </c>
      <c r="DN88" s="37">
        <f t="shared" si="274"/>
        <v>5297.31</v>
      </c>
      <c r="DO88" s="37">
        <f t="shared" si="274"/>
        <v>5915.41</v>
      </c>
      <c r="DP88" s="37">
        <f t="shared" si="274"/>
        <v>6092.88</v>
      </c>
      <c r="DR88" s="115">
        <f t="shared" si="286"/>
        <v>14</v>
      </c>
      <c r="DS88" s="37">
        <f t="shared" si="287"/>
        <v>4305.18</v>
      </c>
      <c r="DT88" s="37">
        <f t="shared" si="288"/>
        <v>4775.2</v>
      </c>
      <c r="DU88" s="37">
        <f t="shared" si="289"/>
        <v>5050.5</v>
      </c>
      <c r="DV88" s="37">
        <f t="shared" si="290"/>
        <v>5466.82</v>
      </c>
      <c r="DW88" s="37">
        <f t="shared" si="291"/>
        <v>6104.7</v>
      </c>
      <c r="DX88" s="37">
        <f t="shared" si="292"/>
        <v>6287.85</v>
      </c>
      <c r="DZ88" s="115">
        <f t="shared" si="293"/>
        <v>14</v>
      </c>
      <c r="EA88" s="37">
        <f t="shared" si="294"/>
        <v>4365.45</v>
      </c>
      <c r="EB88" s="37">
        <f t="shared" si="295"/>
        <v>4842.05</v>
      </c>
      <c r="EC88" s="37">
        <f t="shared" si="296"/>
        <v>5121.21</v>
      </c>
      <c r="ED88" s="37">
        <f t="shared" si="297"/>
        <v>5543.36</v>
      </c>
      <c r="EE88" s="37">
        <f t="shared" si="298"/>
        <v>6190.17</v>
      </c>
      <c r="EF88" s="37">
        <f t="shared" si="299"/>
        <v>6375.88</v>
      </c>
    </row>
    <row r="89" spans="2:136">
      <c r="CC89" s="135"/>
      <c r="DB89" s="115" t="str">
        <f t="shared" si="277"/>
        <v>13Ü</v>
      </c>
      <c r="DC89" s="227">
        <f t="shared" si="278"/>
        <v>4136.8999999999996</v>
      </c>
      <c r="DD89" s="227">
        <f t="shared" si="279"/>
        <v>4357.57</v>
      </c>
      <c r="DE89" s="227">
        <f t="shared" si="280"/>
        <v>4742.1499999999996</v>
      </c>
      <c r="DF89" s="227">
        <f t="shared" si="281"/>
        <v>5133.05</v>
      </c>
      <c r="DG89" s="227">
        <f t="shared" si="282"/>
        <v>5731.99</v>
      </c>
      <c r="DH89" s="227">
        <f t="shared" si="283"/>
        <v>5903.95</v>
      </c>
      <c r="DJ89" s="115" t="str">
        <f t="shared" si="284"/>
        <v>13Ü</v>
      </c>
      <c r="DK89" s="37">
        <f t="shared" si="285"/>
        <v>4269.28</v>
      </c>
      <c r="DL89" s="37">
        <f t="shared" si="274"/>
        <v>4497.01</v>
      </c>
      <c r="DM89" s="37">
        <f t="shared" si="274"/>
        <v>4893.8999999999996</v>
      </c>
      <c r="DN89" s="37">
        <f t="shared" si="274"/>
        <v>5297.31</v>
      </c>
      <c r="DO89" s="37">
        <f t="shared" si="274"/>
        <v>5915.41</v>
      </c>
      <c r="DP89" s="37">
        <f t="shared" si="274"/>
        <v>6092.88</v>
      </c>
      <c r="DR89" s="115" t="str">
        <f t="shared" si="286"/>
        <v>13Ü</v>
      </c>
      <c r="DS89" s="37">
        <f t="shared" si="287"/>
        <v>4405.8999999999996</v>
      </c>
      <c r="DT89" s="37">
        <f t="shared" si="288"/>
        <v>4640.91</v>
      </c>
      <c r="DU89" s="37">
        <f t="shared" si="289"/>
        <v>5050.5</v>
      </c>
      <c r="DV89" s="37">
        <f t="shared" si="290"/>
        <v>5466.82</v>
      </c>
      <c r="DW89" s="37">
        <f t="shared" si="291"/>
        <v>6104.7</v>
      </c>
      <c r="DX89" s="37">
        <f t="shared" si="292"/>
        <v>6287.85</v>
      </c>
      <c r="DZ89" s="115" t="str">
        <f t="shared" si="293"/>
        <v>13Ü</v>
      </c>
      <c r="EA89" s="37">
        <f t="shared" si="294"/>
        <v>4467.58</v>
      </c>
      <c r="EB89" s="37">
        <f t="shared" si="295"/>
        <v>4705.88</v>
      </c>
      <c r="EC89" s="37">
        <f t="shared" si="296"/>
        <v>5121.21</v>
      </c>
      <c r="ED89" s="37">
        <f t="shared" si="297"/>
        <v>5543.36</v>
      </c>
      <c r="EE89" s="37">
        <f t="shared" si="298"/>
        <v>6190.17</v>
      </c>
      <c r="EF89" s="37">
        <f t="shared" si="299"/>
        <v>6375.88</v>
      </c>
    </row>
    <row r="90" spans="2:136">
      <c r="CC90" s="135"/>
      <c r="DB90" s="115">
        <f t="shared" si="277"/>
        <v>13</v>
      </c>
      <c r="DC90" s="227">
        <f t="shared" si="278"/>
        <v>3727.1</v>
      </c>
      <c r="DD90" s="227">
        <f t="shared" si="279"/>
        <v>4136.8999999999996</v>
      </c>
      <c r="DE90" s="227">
        <f t="shared" si="280"/>
        <v>4357.57</v>
      </c>
      <c r="DF90" s="227">
        <f t="shared" si="281"/>
        <v>4786.28</v>
      </c>
      <c r="DG90" s="227">
        <f t="shared" si="282"/>
        <v>5378.92</v>
      </c>
      <c r="DH90" s="227">
        <f t="shared" si="283"/>
        <v>5540.29</v>
      </c>
      <c r="DJ90" s="115">
        <f t="shared" si="284"/>
        <v>13</v>
      </c>
      <c r="DK90" s="37">
        <f t="shared" si="285"/>
        <v>3846.37</v>
      </c>
      <c r="DL90" s="37">
        <f t="shared" si="274"/>
        <v>4269.28</v>
      </c>
      <c r="DM90" s="37">
        <f t="shared" si="274"/>
        <v>4497.01</v>
      </c>
      <c r="DN90" s="37">
        <f t="shared" si="274"/>
        <v>4939.4399999999996</v>
      </c>
      <c r="DO90" s="37">
        <f t="shared" si="274"/>
        <v>5551.05</v>
      </c>
      <c r="DP90" s="37">
        <f t="shared" si="274"/>
        <v>5717.58</v>
      </c>
      <c r="DR90" s="115">
        <f t="shared" si="286"/>
        <v>13</v>
      </c>
      <c r="DS90" s="37">
        <f t="shared" si="287"/>
        <v>3969.45</v>
      </c>
      <c r="DT90" s="37">
        <f t="shared" si="288"/>
        <v>4405.8999999999996</v>
      </c>
      <c r="DU90" s="37">
        <f t="shared" si="289"/>
        <v>4640.91</v>
      </c>
      <c r="DV90" s="37">
        <f t="shared" si="290"/>
        <v>5097.5</v>
      </c>
      <c r="DW90" s="37">
        <f t="shared" si="291"/>
        <v>5728.68</v>
      </c>
      <c r="DX90" s="37">
        <f t="shared" si="292"/>
        <v>5900.54</v>
      </c>
      <c r="DZ90" s="115">
        <f t="shared" si="293"/>
        <v>13</v>
      </c>
      <c r="EA90" s="37">
        <f t="shared" si="294"/>
        <v>4025.02</v>
      </c>
      <c r="EB90" s="37">
        <f t="shared" si="295"/>
        <v>4467.58</v>
      </c>
      <c r="EC90" s="37">
        <f t="shared" si="296"/>
        <v>4705.88</v>
      </c>
      <c r="ED90" s="37">
        <f t="shared" si="297"/>
        <v>5168.87</v>
      </c>
      <c r="EE90" s="37">
        <f t="shared" si="298"/>
        <v>5808.88</v>
      </c>
      <c r="EF90" s="37">
        <f t="shared" si="299"/>
        <v>5983.15</v>
      </c>
    </row>
    <row r="91" spans="2:136">
      <c r="CC91" s="135"/>
      <c r="DB91" s="115">
        <f t="shared" si="277"/>
        <v>12</v>
      </c>
      <c r="DC91" s="227">
        <f t="shared" si="278"/>
        <v>3359.11</v>
      </c>
      <c r="DD91" s="227">
        <f t="shared" si="279"/>
        <v>3708.17</v>
      </c>
      <c r="DE91" s="227">
        <f t="shared" si="280"/>
        <v>4225.16</v>
      </c>
      <c r="DF91" s="227">
        <f t="shared" si="281"/>
        <v>4679.1099999999997</v>
      </c>
      <c r="DG91" s="227">
        <f t="shared" si="282"/>
        <v>5265.43</v>
      </c>
      <c r="DH91" s="227">
        <f t="shared" si="283"/>
        <v>5423.4</v>
      </c>
      <c r="DJ91" s="115">
        <f t="shared" si="284"/>
        <v>12</v>
      </c>
      <c r="DK91" s="37">
        <f t="shared" si="285"/>
        <v>3466.6</v>
      </c>
      <c r="DL91" s="37">
        <f t="shared" si="274"/>
        <v>3826.83</v>
      </c>
      <c r="DM91" s="37">
        <f t="shared" si="274"/>
        <v>4360.37</v>
      </c>
      <c r="DN91" s="37">
        <f t="shared" si="274"/>
        <v>4828.84</v>
      </c>
      <c r="DO91" s="37">
        <f t="shared" si="274"/>
        <v>5433.92</v>
      </c>
      <c r="DP91" s="37">
        <f t="shared" si="274"/>
        <v>5596.95</v>
      </c>
      <c r="DR91" s="115">
        <f t="shared" si="286"/>
        <v>12</v>
      </c>
      <c r="DS91" s="37">
        <f t="shared" si="287"/>
        <v>3577.53</v>
      </c>
      <c r="DT91" s="37">
        <f t="shared" si="288"/>
        <v>3949.29</v>
      </c>
      <c r="DU91" s="37">
        <f t="shared" si="289"/>
        <v>4499.8999999999996</v>
      </c>
      <c r="DV91" s="37">
        <f t="shared" si="290"/>
        <v>4983.3599999999997</v>
      </c>
      <c r="DW91" s="37">
        <f t="shared" si="291"/>
        <v>5607.81</v>
      </c>
      <c r="DX91" s="37">
        <f t="shared" si="292"/>
        <v>5776.05</v>
      </c>
      <c r="DZ91" s="115">
        <f t="shared" si="293"/>
        <v>12</v>
      </c>
      <c r="EA91" s="37">
        <f t="shared" si="294"/>
        <v>3627.62</v>
      </c>
      <c r="EB91" s="37">
        <f t="shared" si="295"/>
        <v>4004.58</v>
      </c>
      <c r="EC91" s="37">
        <f t="shared" si="296"/>
        <v>4562.8999999999996</v>
      </c>
      <c r="ED91" s="37">
        <f t="shared" si="297"/>
        <v>5053.13</v>
      </c>
      <c r="EE91" s="37">
        <f t="shared" si="298"/>
        <v>5686.32</v>
      </c>
      <c r="EF91" s="37">
        <f t="shared" si="299"/>
        <v>5856.91</v>
      </c>
    </row>
    <row r="92" spans="2:136">
      <c r="CC92" s="135"/>
      <c r="DB92" s="115">
        <f t="shared" si="277"/>
        <v>11</v>
      </c>
      <c r="DC92" s="227">
        <f t="shared" si="278"/>
        <v>3250.35</v>
      </c>
      <c r="DD92" s="227">
        <f t="shared" si="279"/>
        <v>3575.78</v>
      </c>
      <c r="DE92" s="227">
        <f t="shared" si="280"/>
        <v>3834.26</v>
      </c>
      <c r="DF92" s="227">
        <f t="shared" si="281"/>
        <v>4225.16</v>
      </c>
      <c r="DG92" s="227">
        <f t="shared" si="282"/>
        <v>4792.6000000000004</v>
      </c>
      <c r="DH92" s="227">
        <f t="shared" si="283"/>
        <v>4936.37</v>
      </c>
      <c r="DJ92" s="115">
        <f t="shared" si="284"/>
        <v>11</v>
      </c>
      <c r="DK92" s="37">
        <f t="shared" si="285"/>
        <v>3354.36</v>
      </c>
      <c r="DL92" s="37">
        <f t="shared" si="274"/>
        <v>3690.2</v>
      </c>
      <c r="DM92" s="37">
        <f t="shared" si="274"/>
        <v>3956.96</v>
      </c>
      <c r="DN92" s="37">
        <f t="shared" si="274"/>
        <v>4360.37</v>
      </c>
      <c r="DO92" s="37">
        <f t="shared" si="274"/>
        <v>4945.96</v>
      </c>
      <c r="DP92" s="37">
        <f t="shared" si="274"/>
        <v>5094.33</v>
      </c>
      <c r="DR92" s="115">
        <f t="shared" si="286"/>
        <v>11</v>
      </c>
      <c r="DS92" s="37">
        <f t="shared" si="287"/>
        <v>3461.7</v>
      </c>
      <c r="DT92" s="37">
        <f t="shared" si="288"/>
        <v>3808.29</v>
      </c>
      <c r="DU92" s="37">
        <f t="shared" si="289"/>
        <v>4083.58</v>
      </c>
      <c r="DV92" s="37">
        <f t="shared" si="290"/>
        <v>4499.8999999999996</v>
      </c>
      <c r="DW92" s="37">
        <f t="shared" si="291"/>
        <v>5104.2299999999996</v>
      </c>
      <c r="DX92" s="37">
        <f t="shared" si="292"/>
        <v>5257.35</v>
      </c>
      <c r="DZ92" s="115">
        <f t="shared" si="293"/>
        <v>11</v>
      </c>
      <c r="EA92" s="37">
        <f t="shared" si="294"/>
        <v>3511.7</v>
      </c>
      <c r="EB92" s="37">
        <f t="shared" si="295"/>
        <v>3861.61</v>
      </c>
      <c r="EC92" s="37">
        <f t="shared" si="296"/>
        <v>4140.75</v>
      </c>
      <c r="ED92" s="37">
        <f t="shared" si="297"/>
        <v>4562.8999999999996</v>
      </c>
      <c r="EE92" s="37">
        <f t="shared" si="298"/>
        <v>5175.6899999999996</v>
      </c>
      <c r="EF92" s="37">
        <f t="shared" si="299"/>
        <v>5330.95</v>
      </c>
    </row>
    <row r="93" spans="2:136">
      <c r="CC93" s="135"/>
      <c r="DB93" s="115">
        <f t="shared" si="277"/>
        <v>10</v>
      </c>
      <c r="DC93" s="227">
        <f t="shared" si="278"/>
        <v>3135.56</v>
      </c>
      <c r="DD93" s="227">
        <f t="shared" si="279"/>
        <v>3451.59</v>
      </c>
      <c r="DE93" s="227">
        <f t="shared" si="280"/>
        <v>3708.17</v>
      </c>
      <c r="DF93" s="227">
        <f t="shared" si="281"/>
        <v>3966.66</v>
      </c>
      <c r="DG93" s="227">
        <f t="shared" si="282"/>
        <v>4458.46</v>
      </c>
      <c r="DH93" s="227">
        <f t="shared" si="283"/>
        <v>4592.22</v>
      </c>
      <c r="DJ93" s="115">
        <f t="shared" si="284"/>
        <v>10</v>
      </c>
      <c r="DK93" s="37">
        <f t="shared" si="285"/>
        <v>3235.9</v>
      </c>
      <c r="DL93" s="37">
        <f t="shared" si="274"/>
        <v>3562.04</v>
      </c>
      <c r="DM93" s="37">
        <f t="shared" si="274"/>
        <v>3826.83</v>
      </c>
      <c r="DN93" s="37">
        <f t="shared" si="274"/>
        <v>4093.59</v>
      </c>
      <c r="DO93" s="37">
        <f t="shared" si="274"/>
        <v>4601.13</v>
      </c>
      <c r="DP93" s="37">
        <f t="shared" si="274"/>
        <v>4739.17</v>
      </c>
      <c r="DR93" s="115">
        <f t="shared" si="286"/>
        <v>10</v>
      </c>
      <c r="DS93" s="37">
        <f t="shared" si="287"/>
        <v>3339.45</v>
      </c>
      <c r="DT93" s="37">
        <f t="shared" si="288"/>
        <v>3676.03</v>
      </c>
      <c r="DU93" s="37">
        <f t="shared" si="289"/>
        <v>3949.29</v>
      </c>
      <c r="DV93" s="37">
        <f t="shared" si="290"/>
        <v>4224.58</v>
      </c>
      <c r="DW93" s="37">
        <f t="shared" si="291"/>
        <v>4748.37</v>
      </c>
      <c r="DX93" s="37">
        <f t="shared" si="292"/>
        <v>4890.82</v>
      </c>
      <c r="DZ93" s="115">
        <f t="shared" si="293"/>
        <v>10</v>
      </c>
      <c r="EA93" s="37">
        <f t="shared" si="294"/>
        <v>3389.45</v>
      </c>
      <c r="EB93" s="37">
        <f t="shared" si="295"/>
        <v>3727.49</v>
      </c>
      <c r="EC93" s="37">
        <f t="shared" si="296"/>
        <v>4004.58</v>
      </c>
      <c r="ED93" s="37">
        <f t="shared" si="297"/>
        <v>4283.72</v>
      </c>
      <c r="EE93" s="37">
        <f t="shared" si="298"/>
        <v>4814.8500000000004</v>
      </c>
      <c r="EF93" s="37">
        <f t="shared" si="299"/>
        <v>4959.29</v>
      </c>
    </row>
    <row r="94" spans="2:136">
      <c r="CC94" s="135"/>
      <c r="DB94" s="115">
        <f t="shared" si="277"/>
        <v>9</v>
      </c>
      <c r="DC94" s="227">
        <f t="shared" si="278"/>
        <v>2791.14</v>
      </c>
      <c r="DD94" s="227">
        <f t="shared" si="279"/>
        <v>3075.12</v>
      </c>
      <c r="DE94" s="227">
        <f t="shared" si="280"/>
        <v>3220.14</v>
      </c>
      <c r="DF94" s="227">
        <f t="shared" si="281"/>
        <v>3613.6</v>
      </c>
      <c r="DG94" s="227">
        <f t="shared" si="282"/>
        <v>3941.46</v>
      </c>
      <c r="DH94" s="227">
        <f t="shared" si="283"/>
        <v>4059.71</v>
      </c>
      <c r="DJ94" s="115">
        <f t="shared" si="284"/>
        <v>9</v>
      </c>
      <c r="DK94" s="37">
        <f t="shared" si="285"/>
        <v>2891.14</v>
      </c>
      <c r="DL94" s="37">
        <f t="shared" si="274"/>
        <v>3175.12</v>
      </c>
      <c r="DM94" s="37">
        <f t="shared" si="274"/>
        <v>3323.18</v>
      </c>
      <c r="DN94" s="37">
        <f t="shared" si="274"/>
        <v>3729.24</v>
      </c>
      <c r="DO94" s="37">
        <f t="shared" si="274"/>
        <v>4067.59</v>
      </c>
      <c r="DP94" s="37">
        <f t="shared" si="274"/>
        <v>4189.62</v>
      </c>
      <c r="DR94" s="115">
        <f t="shared" si="286"/>
        <v>9</v>
      </c>
      <c r="DS94" s="37">
        <f t="shared" si="287"/>
        <v>2983.66</v>
      </c>
      <c r="DT94" s="37">
        <f t="shared" si="288"/>
        <v>3276.72</v>
      </c>
      <c r="DU94" s="37">
        <f t="shared" si="289"/>
        <v>3429.52</v>
      </c>
      <c r="DV94" s="37">
        <f t="shared" si="290"/>
        <v>3848.58</v>
      </c>
      <c r="DW94" s="37">
        <f t="shared" si="291"/>
        <v>4197.75</v>
      </c>
      <c r="DX94" s="37">
        <f t="shared" si="292"/>
        <v>4323.6899999999996</v>
      </c>
      <c r="DZ94" s="115">
        <f t="shared" si="293"/>
        <v>9</v>
      </c>
      <c r="EA94" s="37">
        <f t="shared" si="294"/>
        <v>3033.66</v>
      </c>
      <c r="EB94" s="37">
        <f t="shared" si="295"/>
        <v>3326.72</v>
      </c>
      <c r="EC94" s="37">
        <f t="shared" si="296"/>
        <v>3479.52</v>
      </c>
      <c r="ED94" s="37">
        <f t="shared" si="297"/>
        <v>3902.46</v>
      </c>
      <c r="EE94" s="37">
        <f t="shared" si="298"/>
        <v>4256.5200000000004</v>
      </c>
      <c r="EF94" s="37">
        <f t="shared" si="299"/>
        <v>4384.22</v>
      </c>
    </row>
    <row r="95" spans="2:136">
      <c r="CC95" s="135"/>
      <c r="DB95" s="115">
        <f t="shared" ref="DB95:DB100" si="300">CT60</f>
        <v>8</v>
      </c>
      <c r="DC95" s="227">
        <f t="shared" ref="DC95:DH100" si="301">IF(CU12="-","-",ROUND(CU12*$DC$73,2))</f>
        <v>2621.96</v>
      </c>
      <c r="DD95" s="227">
        <f t="shared" si="301"/>
        <v>2887.83</v>
      </c>
      <c r="DE95" s="227">
        <f t="shared" si="301"/>
        <v>3008.65</v>
      </c>
      <c r="DF95" s="227">
        <f t="shared" si="301"/>
        <v>3123.47</v>
      </c>
      <c r="DG95" s="227">
        <f t="shared" si="301"/>
        <v>3250.35</v>
      </c>
      <c r="DH95" s="227">
        <f t="shared" si="301"/>
        <v>3328.9</v>
      </c>
      <c r="DI95" s="161"/>
      <c r="DJ95" s="115">
        <f t="shared" si="284"/>
        <v>8</v>
      </c>
      <c r="DK95" s="37">
        <f t="shared" si="285"/>
        <v>2721.96</v>
      </c>
      <c r="DL95" s="37">
        <f t="shared" si="274"/>
        <v>2987.83</v>
      </c>
      <c r="DM95" s="37">
        <f t="shared" si="274"/>
        <v>3108.65</v>
      </c>
      <c r="DN95" s="37">
        <f t="shared" si="274"/>
        <v>3223.47</v>
      </c>
      <c r="DO95" s="37">
        <f t="shared" si="274"/>
        <v>3354.36</v>
      </c>
      <c r="DP95" s="37">
        <f t="shared" si="274"/>
        <v>3435.42</v>
      </c>
      <c r="DR95" s="115">
        <f t="shared" si="286"/>
        <v>8</v>
      </c>
      <c r="DS95" s="37">
        <f t="shared" si="287"/>
        <v>2811.96</v>
      </c>
      <c r="DT95" s="37">
        <f t="shared" si="288"/>
        <v>3083.44</v>
      </c>
      <c r="DU95" s="37">
        <f t="shared" si="289"/>
        <v>3208.13</v>
      </c>
      <c r="DV95" s="37">
        <f t="shared" si="290"/>
        <v>3326.62</v>
      </c>
      <c r="DW95" s="37">
        <f t="shared" si="291"/>
        <v>3461.7</v>
      </c>
      <c r="DX95" s="37">
        <f t="shared" si="292"/>
        <v>3545.35</v>
      </c>
      <c r="DZ95" s="115">
        <f t="shared" si="293"/>
        <v>8</v>
      </c>
      <c r="EA95" s="37">
        <f t="shared" si="294"/>
        <v>2861.96</v>
      </c>
      <c r="EB95" s="37">
        <f t="shared" si="295"/>
        <v>3133.44</v>
      </c>
      <c r="EC95" s="37">
        <f t="shared" si="296"/>
        <v>3258.13</v>
      </c>
      <c r="ED95" s="37">
        <f t="shared" si="297"/>
        <v>3376.62</v>
      </c>
      <c r="EE95" s="37">
        <f t="shared" si="298"/>
        <v>3511.7</v>
      </c>
      <c r="EF95" s="37">
        <f t="shared" si="299"/>
        <v>3595.35</v>
      </c>
    </row>
    <row r="96" spans="2:136">
      <c r="CC96" s="135"/>
      <c r="DB96" s="115">
        <f t="shared" si="300"/>
        <v>7</v>
      </c>
      <c r="DC96" s="227">
        <f t="shared" si="301"/>
        <v>2464.87</v>
      </c>
      <c r="DD96" s="227">
        <f t="shared" si="301"/>
        <v>2712.59</v>
      </c>
      <c r="DE96" s="227">
        <f t="shared" si="301"/>
        <v>2875.73</v>
      </c>
      <c r="DF96" s="227">
        <f t="shared" si="301"/>
        <v>2996.57</v>
      </c>
      <c r="DG96" s="227">
        <f t="shared" si="301"/>
        <v>3093.26</v>
      </c>
      <c r="DH96" s="227">
        <f t="shared" si="301"/>
        <v>3177.83</v>
      </c>
      <c r="DJ96" s="115">
        <f t="shared" si="284"/>
        <v>7</v>
      </c>
      <c r="DK96" s="37">
        <f t="shared" si="285"/>
        <v>2564.87</v>
      </c>
      <c r="DL96" s="37">
        <f t="shared" si="274"/>
        <v>2812.59</v>
      </c>
      <c r="DM96" s="37">
        <f t="shared" si="274"/>
        <v>2975.73</v>
      </c>
      <c r="DN96" s="37">
        <f t="shared" si="274"/>
        <v>3096.57</v>
      </c>
      <c r="DO96" s="37">
        <f t="shared" si="274"/>
        <v>3193.26</v>
      </c>
      <c r="DP96" s="37">
        <f t="shared" si="274"/>
        <v>3279.52</v>
      </c>
      <c r="DR96" s="115">
        <f t="shared" si="286"/>
        <v>7</v>
      </c>
      <c r="DS96" s="37">
        <f t="shared" si="287"/>
        <v>2654.87</v>
      </c>
      <c r="DT96" s="37">
        <f t="shared" si="288"/>
        <v>2902.59</v>
      </c>
      <c r="DU96" s="37">
        <f t="shared" si="289"/>
        <v>3070.95</v>
      </c>
      <c r="DV96" s="37">
        <f t="shared" si="290"/>
        <v>3195.66</v>
      </c>
      <c r="DW96" s="37">
        <f t="shared" si="291"/>
        <v>3295.44</v>
      </c>
      <c r="DX96" s="37">
        <f t="shared" si="292"/>
        <v>3384.46</v>
      </c>
      <c r="DZ96" s="115">
        <f t="shared" si="293"/>
        <v>7</v>
      </c>
      <c r="EA96" s="37">
        <f t="shared" si="294"/>
        <v>2704.87</v>
      </c>
      <c r="EB96" s="37">
        <f t="shared" si="295"/>
        <v>2952.59</v>
      </c>
      <c r="EC96" s="37">
        <f t="shared" si="296"/>
        <v>3120.95</v>
      </c>
      <c r="ED96" s="37">
        <f t="shared" si="297"/>
        <v>3245.66</v>
      </c>
      <c r="EE96" s="37">
        <f t="shared" si="298"/>
        <v>3345.44</v>
      </c>
      <c r="EF96" s="37">
        <f t="shared" si="299"/>
        <v>3434.46</v>
      </c>
    </row>
    <row r="97" spans="81:136">
      <c r="CC97" s="135"/>
      <c r="DB97" s="115">
        <f t="shared" si="300"/>
        <v>6</v>
      </c>
      <c r="DC97" s="227">
        <f t="shared" si="301"/>
        <v>2422.5700000000002</v>
      </c>
      <c r="DD97" s="227">
        <f t="shared" si="301"/>
        <v>2664.25</v>
      </c>
      <c r="DE97" s="227">
        <f t="shared" si="301"/>
        <v>2785.1</v>
      </c>
      <c r="DF97" s="227">
        <f t="shared" si="301"/>
        <v>2905.96</v>
      </c>
      <c r="DG97" s="227">
        <f t="shared" si="301"/>
        <v>2984.49</v>
      </c>
      <c r="DH97" s="227">
        <f t="shared" si="301"/>
        <v>3069.08</v>
      </c>
      <c r="DJ97" s="115">
        <f t="shared" si="284"/>
        <v>6</v>
      </c>
      <c r="DK97" s="37">
        <f t="shared" si="285"/>
        <v>2522.5700000000002</v>
      </c>
      <c r="DL97" s="37">
        <f t="shared" si="274"/>
        <v>2764.25</v>
      </c>
      <c r="DM97" s="37">
        <f t="shared" si="274"/>
        <v>2885.1</v>
      </c>
      <c r="DN97" s="37">
        <f t="shared" si="274"/>
        <v>3005.96</v>
      </c>
      <c r="DO97" s="37">
        <f t="shared" si="274"/>
        <v>3084.49</v>
      </c>
      <c r="DP97" s="37">
        <f t="shared" si="274"/>
        <v>3169.08</v>
      </c>
      <c r="DR97" s="115">
        <f t="shared" si="286"/>
        <v>6</v>
      </c>
      <c r="DS97" s="37">
        <f t="shared" si="287"/>
        <v>2612.5700000000002</v>
      </c>
      <c r="DT97" s="37">
        <f t="shared" si="288"/>
        <v>2854.25</v>
      </c>
      <c r="DU97" s="37">
        <f t="shared" si="289"/>
        <v>2977.42</v>
      </c>
      <c r="DV97" s="37">
        <f t="shared" si="290"/>
        <v>3102.15</v>
      </c>
      <c r="DW97" s="37">
        <f t="shared" si="291"/>
        <v>3183.19</v>
      </c>
      <c r="DX97" s="37">
        <f t="shared" si="292"/>
        <v>3270.49</v>
      </c>
      <c r="DZ97" s="115">
        <f t="shared" si="293"/>
        <v>6</v>
      </c>
      <c r="EA97" s="37">
        <f t="shared" si="294"/>
        <v>2662.57</v>
      </c>
      <c r="EB97" s="37">
        <f t="shared" si="295"/>
        <v>2904.25</v>
      </c>
      <c r="EC97" s="37">
        <f t="shared" si="296"/>
        <v>3027.42</v>
      </c>
      <c r="ED97" s="37">
        <f t="shared" si="297"/>
        <v>3152.15</v>
      </c>
      <c r="EE97" s="37">
        <f t="shared" si="298"/>
        <v>3233.19</v>
      </c>
      <c r="EF97" s="37">
        <f t="shared" si="299"/>
        <v>3320.49</v>
      </c>
    </row>
    <row r="98" spans="81:136">
      <c r="CC98" s="135"/>
      <c r="DB98" s="115">
        <f t="shared" si="300"/>
        <v>5</v>
      </c>
      <c r="DC98" s="227">
        <f t="shared" si="301"/>
        <v>2325.88</v>
      </c>
      <c r="DD98" s="227">
        <f t="shared" si="301"/>
        <v>2555.5</v>
      </c>
      <c r="DE98" s="227">
        <f t="shared" si="301"/>
        <v>2676.34</v>
      </c>
      <c r="DF98" s="227">
        <f t="shared" si="301"/>
        <v>2791.14</v>
      </c>
      <c r="DG98" s="227">
        <f t="shared" si="301"/>
        <v>2881.78</v>
      </c>
      <c r="DH98" s="227">
        <f t="shared" si="301"/>
        <v>2942.2</v>
      </c>
      <c r="DJ98" s="115">
        <f t="shared" si="284"/>
        <v>5</v>
      </c>
      <c r="DK98" s="37">
        <f t="shared" si="285"/>
        <v>2425.88</v>
      </c>
      <c r="DL98" s="37">
        <f t="shared" si="274"/>
        <v>2655.5</v>
      </c>
      <c r="DM98" s="37">
        <f t="shared" si="274"/>
        <v>2776.34</v>
      </c>
      <c r="DN98" s="37">
        <f t="shared" si="274"/>
        <v>2891.14</v>
      </c>
      <c r="DO98" s="37">
        <f t="shared" si="274"/>
        <v>2981.78</v>
      </c>
      <c r="DP98" s="37">
        <f t="shared" si="274"/>
        <v>3042.2</v>
      </c>
      <c r="DR98" s="115">
        <f t="shared" si="286"/>
        <v>5</v>
      </c>
      <c r="DS98" s="37">
        <f t="shared" si="287"/>
        <v>2515.88</v>
      </c>
      <c r="DT98" s="37">
        <f t="shared" si="288"/>
        <v>2745.5</v>
      </c>
      <c r="DU98" s="37">
        <f t="shared" si="289"/>
        <v>2866.34</v>
      </c>
      <c r="DV98" s="37">
        <f t="shared" si="290"/>
        <v>2983.66</v>
      </c>
      <c r="DW98" s="37">
        <f t="shared" si="291"/>
        <v>3077.2</v>
      </c>
      <c r="DX98" s="37">
        <f t="shared" si="292"/>
        <v>3139.55</v>
      </c>
      <c r="DZ98" s="115">
        <f t="shared" si="293"/>
        <v>5</v>
      </c>
      <c r="EA98" s="37">
        <f t="shared" si="294"/>
        <v>2565.88</v>
      </c>
      <c r="EB98" s="37">
        <f t="shared" si="295"/>
        <v>2795.5</v>
      </c>
      <c r="EC98" s="37">
        <f t="shared" si="296"/>
        <v>2916.34</v>
      </c>
      <c r="ED98" s="37">
        <f t="shared" si="297"/>
        <v>3033.66</v>
      </c>
      <c r="EE98" s="37">
        <f t="shared" si="298"/>
        <v>3127.2</v>
      </c>
      <c r="EF98" s="37">
        <f t="shared" si="299"/>
        <v>3189.55</v>
      </c>
    </row>
    <row r="99" spans="81:136">
      <c r="CC99" s="135"/>
      <c r="DB99" s="115">
        <f t="shared" si="300"/>
        <v>4</v>
      </c>
      <c r="DC99" s="227">
        <f t="shared" si="301"/>
        <v>2217.13</v>
      </c>
      <c r="DD99" s="227">
        <f t="shared" si="301"/>
        <v>2440.71</v>
      </c>
      <c r="DE99" s="227">
        <f t="shared" si="301"/>
        <v>2591.75</v>
      </c>
      <c r="DF99" s="227">
        <f t="shared" si="301"/>
        <v>2676.34</v>
      </c>
      <c r="DG99" s="227">
        <f t="shared" si="301"/>
        <v>2760.94</v>
      </c>
      <c r="DH99" s="227">
        <f t="shared" si="301"/>
        <v>2815.31</v>
      </c>
      <c r="DJ99" s="115">
        <f t="shared" si="284"/>
        <v>4</v>
      </c>
      <c r="DK99" s="37">
        <f t="shared" si="285"/>
        <v>2317.13</v>
      </c>
      <c r="DL99" s="37">
        <f t="shared" si="274"/>
        <v>2540.71</v>
      </c>
      <c r="DM99" s="37">
        <f t="shared" si="274"/>
        <v>2691.75</v>
      </c>
      <c r="DN99" s="37">
        <f t="shared" si="274"/>
        <v>2776.34</v>
      </c>
      <c r="DO99" s="37">
        <f t="shared" si="274"/>
        <v>2860.94</v>
      </c>
      <c r="DP99" s="37">
        <f t="shared" si="274"/>
        <v>2915.31</v>
      </c>
      <c r="DR99" s="115">
        <f t="shared" si="286"/>
        <v>4</v>
      </c>
      <c r="DS99" s="37">
        <f t="shared" si="287"/>
        <v>2407.13</v>
      </c>
      <c r="DT99" s="37">
        <f t="shared" si="288"/>
        <v>2630.71</v>
      </c>
      <c r="DU99" s="37">
        <f t="shared" si="289"/>
        <v>2781.75</v>
      </c>
      <c r="DV99" s="37">
        <f t="shared" si="290"/>
        <v>2866.34</v>
      </c>
      <c r="DW99" s="37">
        <f t="shared" si="291"/>
        <v>2952.49</v>
      </c>
      <c r="DX99" s="37">
        <f t="shared" si="292"/>
        <v>3008.6</v>
      </c>
      <c r="DZ99" s="115">
        <f t="shared" si="293"/>
        <v>4</v>
      </c>
      <c r="EA99" s="37">
        <f t="shared" si="294"/>
        <v>2457.13</v>
      </c>
      <c r="EB99" s="37">
        <f t="shared" si="295"/>
        <v>2680.71</v>
      </c>
      <c r="EC99" s="37">
        <f t="shared" si="296"/>
        <v>2831.75</v>
      </c>
      <c r="ED99" s="37">
        <f t="shared" si="297"/>
        <v>2916.34</v>
      </c>
      <c r="EE99" s="37">
        <f t="shared" si="298"/>
        <v>3002.49</v>
      </c>
      <c r="EF99" s="37">
        <f t="shared" si="299"/>
        <v>3058.6</v>
      </c>
    </row>
    <row r="100" spans="81:136">
      <c r="CC100" s="135"/>
      <c r="DB100" s="115">
        <f t="shared" si="300"/>
        <v>3</v>
      </c>
      <c r="DC100" s="227">
        <f t="shared" si="301"/>
        <v>2186.92</v>
      </c>
      <c r="DD100" s="227">
        <f t="shared" si="301"/>
        <v>2404.44</v>
      </c>
      <c r="DE100" s="227">
        <f t="shared" si="301"/>
        <v>2464.87</v>
      </c>
      <c r="DF100" s="227">
        <f t="shared" si="301"/>
        <v>2561.54</v>
      </c>
      <c r="DG100" s="227">
        <f t="shared" si="301"/>
        <v>2640.09</v>
      </c>
      <c r="DH100" s="227">
        <f t="shared" si="301"/>
        <v>2706.55</v>
      </c>
      <c r="DJ100" s="115">
        <f t="shared" si="284"/>
        <v>3</v>
      </c>
      <c r="DK100" s="37">
        <f t="shared" si="285"/>
        <v>2286.92</v>
      </c>
      <c r="DL100" s="37">
        <f t="shared" si="274"/>
        <v>2504.44</v>
      </c>
      <c r="DM100" s="37">
        <f t="shared" si="274"/>
        <v>2564.87</v>
      </c>
      <c r="DN100" s="37">
        <f t="shared" si="274"/>
        <v>2661.54</v>
      </c>
      <c r="DO100" s="37">
        <f t="shared" si="274"/>
        <v>2740.09</v>
      </c>
      <c r="DP100" s="37">
        <f t="shared" si="274"/>
        <v>2806.55</v>
      </c>
      <c r="DR100" s="115">
        <f t="shared" si="286"/>
        <v>3</v>
      </c>
      <c r="DS100" s="37">
        <f t="shared" si="287"/>
        <v>2376.92</v>
      </c>
      <c r="DT100" s="37">
        <f t="shared" si="288"/>
        <v>2594.44</v>
      </c>
      <c r="DU100" s="37">
        <f t="shared" si="289"/>
        <v>2654.87</v>
      </c>
      <c r="DV100" s="37">
        <f t="shared" si="290"/>
        <v>2751.54</v>
      </c>
      <c r="DW100" s="37">
        <f t="shared" si="291"/>
        <v>2830.09</v>
      </c>
      <c r="DX100" s="37">
        <f t="shared" si="292"/>
        <v>2896.55</v>
      </c>
      <c r="DZ100" s="115">
        <f t="shared" si="293"/>
        <v>3</v>
      </c>
      <c r="EA100" s="37">
        <f t="shared" si="294"/>
        <v>2426.92</v>
      </c>
      <c r="EB100" s="37">
        <f t="shared" si="295"/>
        <v>2644.44</v>
      </c>
      <c r="EC100" s="37">
        <f t="shared" si="296"/>
        <v>2704.87</v>
      </c>
      <c r="ED100" s="37">
        <f t="shared" si="297"/>
        <v>2801.54</v>
      </c>
      <c r="EE100" s="37">
        <f t="shared" si="298"/>
        <v>2880.09</v>
      </c>
      <c r="EF100" s="37">
        <f t="shared" si="299"/>
        <v>2946.55</v>
      </c>
    </row>
    <row r="101" spans="81:136">
      <c r="CC101" s="135"/>
      <c r="DB101" s="115">
        <f>CT67</f>
        <v>2</v>
      </c>
      <c r="DC101" s="227">
        <f t="shared" ref="DC101:DH102" si="302">IF(CU19="-","-",ROUND(CU19*$DC$73,2))</f>
        <v>2029.83</v>
      </c>
      <c r="DD101" s="227">
        <f t="shared" si="302"/>
        <v>2229.21</v>
      </c>
      <c r="DE101" s="227">
        <f t="shared" si="302"/>
        <v>2289.65</v>
      </c>
      <c r="DF101" s="227">
        <f t="shared" si="302"/>
        <v>2350.06</v>
      </c>
      <c r="DG101" s="227">
        <f t="shared" si="302"/>
        <v>2489.02</v>
      </c>
      <c r="DH101" s="227">
        <f t="shared" si="302"/>
        <v>2634.06</v>
      </c>
      <c r="DJ101" s="115">
        <f t="shared" si="284"/>
        <v>2</v>
      </c>
      <c r="DK101" s="37">
        <f t="shared" si="285"/>
        <v>2129.83</v>
      </c>
      <c r="DL101" s="37">
        <f t="shared" ref="DL101:DP102" si="303">IF(DD101="-","-",IF(ROUND(DD101*$DK$72,2)-DD101&lt;$DK$70,DD101+$DK$70,ROUND(DD101*$DK$72,2)))</f>
        <v>2329.21</v>
      </c>
      <c r="DM101" s="37">
        <f t="shared" si="303"/>
        <v>2389.65</v>
      </c>
      <c r="DN101" s="37">
        <f t="shared" si="303"/>
        <v>2450.06</v>
      </c>
      <c r="DO101" s="37">
        <f t="shared" si="303"/>
        <v>2589.02</v>
      </c>
      <c r="DP101" s="37">
        <f t="shared" si="303"/>
        <v>2734.06</v>
      </c>
      <c r="DR101" s="115">
        <f t="shared" si="286"/>
        <v>2</v>
      </c>
      <c r="DS101" s="37">
        <f t="shared" si="287"/>
        <v>2219.83</v>
      </c>
      <c r="DT101" s="37">
        <f t="shared" si="288"/>
        <v>2419.21</v>
      </c>
      <c r="DU101" s="37">
        <f t="shared" si="289"/>
        <v>2479.65</v>
      </c>
      <c r="DV101" s="37">
        <f t="shared" si="290"/>
        <v>2540.06</v>
      </c>
      <c r="DW101" s="37">
        <f t="shared" si="291"/>
        <v>2679.02</v>
      </c>
      <c r="DX101" s="37">
        <f t="shared" si="292"/>
        <v>2824.06</v>
      </c>
      <c r="DZ101" s="115">
        <f t="shared" si="293"/>
        <v>2</v>
      </c>
      <c r="EA101" s="37">
        <f t="shared" si="294"/>
        <v>2269.83</v>
      </c>
      <c r="EB101" s="37">
        <f t="shared" si="295"/>
        <v>2469.21</v>
      </c>
      <c r="EC101" s="37">
        <f t="shared" si="296"/>
        <v>2529.65</v>
      </c>
      <c r="ED101" s="37">
        <f t="shared" si="297"/>
        <v>2590.06</v>
      </c>
      <c r="EE101" s="37">
        <f t="shared" si="298"/>
        <v>2729.02</v>
      </c>
      <c r="EF101" s="37">
        <f t="shared" si="299"/>
        <v>2874.06</v>
      </c>
    </row>
    <row r="102" spans="81:136">
      <c r="CC102" s="135"/>
      <c r="DB102" s="115">
        <f>CT68</f>
        <v>1</v>
      </c>
      <c r="DC102" s="227" t="str">
        <f t="shared" si="302"/>
        <v>-</v>
      </c>
      <c r="DD102" s="227">
        <f t="shared" si="302"/>
        <v>1824.4</v>
      </c>
      <c r="DE102" s="227">
        <f t="shared" si="302"/>
        <v>1854.59</v>
      </c>
      <c r="DF102" s="227">
        <f t="shared" si="302"/>
        <v>1890.84</v>
      </c>
      <c r="DG102" s="227">
        <f t="shared" si="302"/>
        <v>1927.11</v>
      </c>
      <c r="DH102" s="227">
        <f t="shared" si="302"/>
        <v>2017.74</v>
      </c>
      <c r="DJ102" s="115">
        <f t="shared" si="284"/>
        <v>1</v>
      </c>
      <c r="DK102" s="37" t="str">
        <f t="shared" si="285"/>
        <v>-</v>
      </c>
      <c r="DL102" s="37">
        <f t="shared" si="303"/>
        <v>1924.4</v>
      </c>
      <c r="DM102" s="37">
        <f t="shared" si="303"/>
        <v>1954.59</v>
      </c>
      <c r="DN102" s="37">
        <f t="shared" si="303"/>
        <v>1990.84</v>
      </c>
      <c r="DO102" s="37">
        <f t="shared" si="303"/>
        <v>2027.11</v>
      </c>
      <c r="DP102" s="37">
        <f t="shared" si="303"/>
        <v>2117.7399999999998</v>
      </c>
      <c r="DR102" s="115">
        <f t="shared" si="286"/>
        <v>1</v>
      </c>
      <c r="DS102" s="37" t="str">
        <f t="shared" si="287"/>
        <v>-</v>
      </c>
      <c r="DT102" s="37">
        <f t="shared" si="288"/>
        <v>2014.4</v>
      </c>
      <c r="DU102" s="37">
        <f t="shared" si="289"/>
        <v>2044.59</v>
      </c>
      <c r="DV102" s="37">
        <f t="shared" si="290"/>
        <v>2080.84</v>
      </c>
      <c r="DW102" s="37">
        <f t="shared" si="291"/>
        <v>2117.1099999999997</v>
      </c>
      <c r="DX102" s="37">
        <f t="shared" si="292"/>
        <v>2207.7399999999998</v>
      </c>
      <c r="DZ102" s="115">
        <f t="shared" si="293"/>
        <v>1</v>
      </c>
      <c r="EA102" s="37" t="str">
        <f t="shared" si="294"/>
        <v>-</v>
      </c>
      <c r="EB102" s="37">
        <f t="shared" si="295"/>
        <v>2064.4</v>
      </c>
      <c r="EC102" s="37">
        <f t="shared" si="296"/>
        <v>2094.59</v>
      </c>
      <c r="ED102" s="37">
        <f t="shared" si="297"/>
        <v>2130.84</v>
      </c>
      <c r="EE102" s="37">
        <f t="shared" si="298"/>
        <v>2167.1099999999997</v>
      </c>
      <c r="EF102" s="37">
        <f t="shared" si="299"/>
        <v>2257.7399999999998</v>
      </c>
    </row>
    <row r="103" spans="81:136">
      <c r="CC103" s="135"/>
      <c r="DB103" s="135" t="str">
        <f>""</f>
        <v/>
      </c>
      <c r="DC103" s="227">
        <v>0</v>
      </c>
      <c r="DD103" s="227">
        <v>0</v>
      </c>
      <c r="DE103" s="227">
        <v>0</v>
      </c>
      <c r="DF103" s="227">
        <v>0</v>
      </c>
      <c r="DG103" s="227">
        <v>0</v>
      </c>
      <c r="DH103" s="227">
        <v>0</v>
      </c>
      <c r="DI103" s="135" t="str">
        <f>""</f>
        <v/>
      </c>
      <c r="DJ103" s="135" t="str">
        <f>""</f>
        <v/>
      </c>
      <c r="DK103" s="227">
        <v>0</v>
      </c>
      <c r="DL103" s="227">
        <v>0</v>
      </c>
      <c r="DM103" s="227">
        <v>0</v>
      </c>
      <c r="DN103" s="227">
        <v>0</v>
      </c>
      <c r="DO103" s="227">
        <v>0</v>
      </c>
      <c r="DP103" s="227">
        <v>0</v>
      </c>
      <c r="DQ103" s="135" t="str">
        <f>""</f>
        <v/>
      </c>
      <c r="DR103" s="135" t="str">
        <f>""</f>
        <v/>
      </c>
      <c r="DS103" s="227">
        <v>0</v>
      </c>
      <c r="DT103" s="227">
        <v>0</v>
      </c>
      <c r="DU103" s="227">
        <v>0</v>
      </c>
      <c r="DV103" s="227">
        <v>0</v>
      </c>
      <c r="DW103" s="227">
        <v>0</v>
      </c>
      <c r="DX103" s="227">
        <v>0</v>
      </c>
      <c r="DY103" s="135" t="str">
        <f>""</f>
        <v/>
      </c>
      <c r="DZ103" s="135" t="str">
        <f>""</f>
        <v/>
      </c>
      <c r="EA103" s="227">
        <v>0</v>
      </c>
      <c r="EB103" s="227">
        <v>0</v>
      </c>
      <c r="EC103" s="227">
        <v>0</v>
      </c>
      <c r="ED103" s="227">
        <v>0</v>
      </c>
      <c r="EE103" s="227">
        <v>0</v>
      </c>
      <c r="EF103" s="227">
        <v>0</v>
      </c>
    </row>
    <row r="104" spans="81:136">
      <c r="CC104" s="135"/>
      <c r="DB104" s="135" t="str">
        <f>""</f>
        <v/>
      </c>
      <c r="DC104" s="227">
        <v>0</v>
      </c>
      <c r="DD104" s="227">
        <v>0</v>
      </c>
      <c r="DE104" s="227">
        <v>0</v>
      </c>
      <c r="DF104" s="227">
        <v>0</v>
      </c>
      <c r="DG104" s="227">
        <v>0</v>
      </c>
      <c r="DH104" s="227">
        <v>0</v>
      </c>
      <c r="DI104" s="135" t="str">
        <f>""</f>
        <v/>
      </c>
      <c r="DJ104" s="135" t="str">
        <f>""</f>
        <v/>
      </c>
      <c r="DK104" s="227">
        <v>0</v>
      </c>
      <c r="DL104" s="227">
        <v>0</v>
      </c>
      <c r="DM104" s="227">
        <v>0</v>
      </c>
      <c r="DN104" s="227">
        <v>0</v>
      </c>
      <c r="DO104" s="227">
        <v>0</v>
      </c>
      <c r="DP104" s="227">
        <v>0</v>
      </c>
      <c r="DQ104" s="135" t="str">
        <f>""</f>
        <v/>
      </c>
      <c r="DR104" s="135" t="str">
        <f>""</f>
        <v/>
      </c>
      <c r="DS104" s="227">
        <v>0</v>
      </c>
      <c r="DT104" s="227">
        <v>0</v>
      </c>
      <c r="DU104" s="227">
        <v>0</v>
      </c>
      <c r="DV104" s="227">
        <v>0</v>
      </c>
      <c r="DW104" s="227">
        <v>0</v>
      </c>
      <c r="DX104" s="227">
        <v>0</v>
      </c>
      <c r="DY104" s="135" t="str">
        <f>""</f>
        <v/>
      </c>
      <c r="DZ104" s="135" t="str">
        <f>""</f>
        <v/>
      </c>
      <c r="EA104" s="227">
        <v>0</v>
      </c>
      <c r="EB104" s="227">
        <v>0</v>
      </c>
      <c r="EC104" s="227">
        <v>0</v>
      </c>
      <c r="ED104" s="227">
        <v>0</v>
      </c>
      <c r="EE104" s="227">
        <v>0</v>
      </c>
      <c r="EF104" s="227">
        <v>0</v>
      </c>
    </row>
    <row r="105" spans="81:136">
      <c r="CC105" s="135"/>
    </row>
    <row r="106" spans="81:136">
      <c r="CC106" s="135"/>
    </row>
    <row r="107" spans="81:136">
      <c r="CC107" s="135"/>
    </row>
    <row r="108" spans="81:136">
      <c r="CC108" s="135"/>
    </row>
    <row r="109" spans="81:136">
      <c r="CC109" s="135"/>
    </row>
    <row r="110" spans="81:136">
      <c r="CC110" s="135"/>
    </row>
    <row r="111" spans="81:136">
      <c r="CC111" s="135"/>
    </row>
    <row r="112" spans="81:136">
      <c r="CC112" s="135"/>
    </row>
    <row r="113" spans="81:128">
      <c r="CC113" s="135"/>
    </row>
    <row r="114" spans="81:128">
      <c r="CC114" s="135"/>
    </row>
    <row r="115" spans="81:128">
      <c r="CC115" s="135"/>
    </row>
    <row r="116" spans="81:128">
      <c r="CC116" s="135"/>
    </row>
    <row r="117" spans="81:128">
      <c r="CC117" s="135"/>
      <c r="DJ117" s="145" t="s">
        <v>615</v>
      </c>
      <c r="DR117" s="145" t="s">
        <v>616</v>
      </c>
    </row>
    <row r="118" spans="81:128">
      <c r="CC118" s="135"/>
    </row>
    <row r="119" spans="81:128">
      <c r="CC119" s="135"/>
    </row>
    <row r="120" spans="81:128">
      <c r="CC120" s="135"/>
    </row>
    <row r="121" spans="81:128">
      <c r="CC121" s="135"/>
      <c r="DB121" s="579">
        <v>2019</v>
      </c>
      <c r="DC121" s="580"/>
      <c r="DD121" s="580"/>
      <c r="DE121" s="580"/>
      <c r="DF121" s="580"/>
      <c r="DG121" s="580"/>
      <c r="DH121" s="580"/>
      <c r="DJ121" s="215">
        <v>2020</v>
      </c>
      <c r="DR121" s="215">
        <v>2021</v>
      </c>
    </row>
    <row r="122" spans="81:128">
      <c r="CC122" s="135"/>
      <c r="DB122" s="580" t="s">
        <v>338</v>
      </c>
      <c r="DC122" s="581">
        <v>3846.13</v>
      </c>
      <c r="DD122" s="581">
        <v>3963.06</v>
      </c>
      <c r="DE122" s="581">
        <v>4474.46</v>
      </c>
      <c r="DF122" s="581">
        <v>4857.96</v>
      </c>
      <c r="DG122" s="581">
        <v>5433.25</v>
      </c>
      <c r="DH122" s="581">
        <v>5784.8</v>
      </c>
      <c r="DJ122" s="135" t="str">
        <f>DB122</f>
        <v>S 18</v>
      </c>
      <c r="DK122" s="577">
        <f t="shared" ref="DK122:DP122" si="304">IF(DC122="-","-",ROUND(DC122*$DK$23,2))</f>
        <v>3966.13</v>
      </c>
      <c r="DL122" s="577">
        <f t="shared" si="304"/>
        <v>4086.71</v>
      </c>
      <c r="DM122" s="577">
        <f t="shared" si="304"/>
        <v>4614.0600000000004</v>
      </c>
      <c r="DN122" s="577">
        <f t="shared" si="304"/>
        <v>5009.53</v>
      </c>
      <c r="DO122" s="577">
        <f t="shared" si="304"/>
        <v>5602.77</v>
      </c>
      <c r="DP122" s="577">
        <f t="shared" si="304"/>
        <v>5965.29</v>
      </c>
      <c r="DR122" s="135" t="str">
        <f>DJ122</f>
        <v>S 18</v>
      </c>
      <c r="DS122" s="577">
        <f t="shared" ref="DS122:DX122" si="305">IF(DK122="-","-",ROUND(DK122*$DS$23,2))</f>
        <v>4017.29</v>
      </c>
      <c r="DT122" s="577">
        <f t="shared" si="305"/>
        <v>4139.43</v>
      </c>
      <c r="DU122" s="577">
        <f t="shared" si="305"/>
        <v>4673.58</v>
      </c>
      <c r="DV122" s="577">
        <f t="shared" si="305"/>
        <v>5074.1499999999996</v>
      </c>
      <c r="DW122" s="577">
        <f t="shared" si="305"/>
        <v>5675.05</v>
      </c>
      <c r="DX122" s="577">
        <f t="shared" si="305"/>
        <v>6042.24</v>
      </c>
    </row>
    <row r="123" spans="81:128">
      <c r="CC123" s="135"/>
      <c r="DB123" s="580" t="s">
        <v>339</v>
      </c>
      <c r="DC123" s="581">
        <v>3493.62</v>
      </c>
      <c r="DD123" s="581">
        <v>3803.27</v>
      </c>
      <c r="DE123" s="581">
        <v>4218.74</v>
      </c>
      <c r="DF123" s="581">
        <v>4474.46</v>
      </c>
      <c r="DG123" s="581">
        <v>4985.79</v>
      </c>
      <c r="DH123" s="581">
        <v>5286.23</v>
      </c>
      <c r="DJ123" s="135" t="str">
        <f t="shared" ref="DJ123:DJ136" si="306">DB123</f>
        <v>S 17</v>
      </c>
      <c r="DK123" s="577">
        <f t="shared" ref="DK123:DK136" si="307">IF(DC123="-","-",ROUND(DC123*$DK$23,2))</f>
        <v>3602.62</v>
      </c>
      <c r="DL123" s="577">
        <f t="shared" ref="DL123:DL136" si="308">IF(DD123="-","-",ROUND(DD123*$DK$23,2))</f>
        <v>3921.93</v>
      </c>
      <c r="DM123" s="577">
        <f t="shared" ref="DM123:DM136" si="309">IF(DE123="-","-",ROUND(DE123*$DK$23,2))</f>
        <v>4350.3599999999997</v>
      </c>
      <c r="DN123" s="577">
        <f t="shared" ref="DN123:DN136" si="310">IF(DF123="-","-",ROUND(DF123*$DK$23,2))</f>
        <v>4614.0600000000004</v>
      </c>
      <c r="DO123" s="577">
        <f t="shared" ref="DO123:DO136" si="311">IF(DG123="-","-",ROUND(DG123*$DK$23,2))</f>
        <v>5141.3500000000004</v>
      </c>
      <c r="DP123" s="577">
        <f t="shared" ref="DP123:DP136" si="312">IF(DH123="-","-",ROUND(DH123*$DK$23,2))</f>
        <v>5451.16</v>
      </c>
      <c r="DR123" s="135" t="str">
        <f t="shared" ref="DR123:DR137" si="313">DJ123</f>
        <v>S 17</v>
      </c>
      <c r="DS123" s="577">
        <f t="shared" ref="DS123:DS136" si="314">IF(DK123="-","-",ROUND(DK123*$DS$23,2))</f>
        <v>3649.09</v>
      </c>
      <c r="DT123" s="577">
        <f t="shared" ref="DT123:DT136" si="315">IF(DL123="-","-",ROUND(DL123*$DS$23,2))</f>
        <v>3972.52</v>
      </c>
      <c r="DU123" s="577">
        <f t="shared" ref="DU123:DU136" si="316">IF(DM123="-","-",ROUND(DM123*$DS$23,2))</f>
        <v>4406.4799999999996</v>
      </c>
      <c r="DV123" s="577">
        <f t="shared" ref="DV123:DV136" si="317">IF(DN123="-","-",ROUND(DN123*$DS$23,2))</f>
        <v>4673.58</v>
      </c>
      <c r="DW123" s="577">
        <f t="shared" ref="DW123:DW136" si="318">IF(DO123="-","-",ROUND(DO123*$DS$23,2))</f>
        <v>5207.67</v>
      </c>
      <c r="DX123" s="577">
        <f t="shared" ref="DX123:DX136" si="319">IF(DP123="-","-",ROUND(DP123*$DS$23,2))</f>
        <v>5521.48</v>
      </c>
    </row>
    <row r="124" spans="81:128">
      <c r="CC124" s="135"/>
      <c r="DB124" s="580" t="s">
        <v>341</v>
      </c>
      <c r="DC124" s="581">
        <v>3410.93</v>
      </c>
      <c r="DD124" s="581">
        <v>3720.19</v>
      </c>
      <c r="DE124" s="581">
        <v>4001.42</v>
      </c>
      <c r="DF124" s="581">
        <v>4346.59</v>
      </c>
      <c r="DG124" s="581">
        <v>4730.12</v>
      </c>
      <c r="DH124" s="581">
        <v>4960.2299999999996</v>
      </c>
      <c r="DJ124" s="135" t="str">
        <f t="shared" si="306"/>
        <v>S 16</v>
      </c>
      <c r="DK124" s="577">
        <f t="shared" si="307"/>
        <v>3517.35</v>
      </c>
      <c r="DL124" s="577">
        <f t="shared" si="308"/>
        <v>3836.26</v>
      </c>
      <c r="DM124" s="577">
        <f t="shared" si="309"/>
        <v>4126.26</v>
      </c>
      <c r="DN124" s="577">
        <f t="shared" si="310"/>
        <v>4482.2</v>
      </c>
      <c r="DO124" s="577">
        <f t="shared" si="311"/>
        <v>4877.7</v>
      </c>
      <c r="DP124" s="577">
        <f t="shared" si="312"/>
        <v>5114.99</v>
      </c>
      <c r="DR124" s="135" t="str">
        <f t="shared" si="313"/>
        <v>S 16</v>
      </c>
      <c r="DS124" s="577">
        <f t="shared" si="314"/>
        <v>3562.72</v>
      </c>
      <c r="DT124" s="577">
        <f t="shared" si="315"/>
        <v>3885.75</v>
      </c>
      <c r="DU124" s="577">
        <f t="shared" si="316"/>
        <v>4179.49</v>
      </c>
      <c r="DV124" s="577">
        <f t="shared" si="317"/>
        <v>4540.0200000000004</v>
      </c>
      <c r="DW124" s="577">
        <f t="shared" si="318"/>
        <v>4940.62</v>
      </c>
      <c r="DX124" s="577">
        <f t="shared" si="319"/>
        <v>5180.97</v>
      </c>
    </row>
    <row r="125" spans="81:128">
      <c r="CC125" s="135"/>
      <c r="DB125" s="580" t="s">
        <v>342</v>
      </c>
      <c r="DC125" s="581">
        <v>3283.72</v>
      </c>
      <c r="DD125" s="581">
        <v>3579.53</v>
      </c>
      <c r="DE125" s="581">
        <v>3835.25</v>
      </c>
      <c r="DF125" s="581">
        <v>4129.28</v>
      </c>
      <c r="DG125" s="581">
        <v>4602.28</v>
      </c>
      <c r="DH125" s="581">
        <v>4806.8100000000004</v>
      </c>
      <c r="DJ125" s="135" t="str">
        <f t="shared" si="306"/>
        <v>S 15</v>
      </c>
      <c r="DK125" s="577">
        <f t="shared" si="307"/>
        <v>3386.17</v>
      </c>
      <c r="DL125" s="577">
        <f t="shared" si="308"/>
        <v>3691.21</v>
      </c>
      <c r="DM125" s="577">
        <f t="shared" si="309"/>
        <v>3954.91</v>
      </c>
      <c r="DN125" s="577">
        <f t="shared" si="310"/>
        <v>4258.1099999999997</v>
      </c>
      <c r="DO125" s="577">
        <f t="shared" si="311"/>
        <v>4745.87</v>
      </c>
      <c r="DP125" s="577">
        <f t="shared" si="312"/>
        <v>4956.78</v>
      </c>
      <c r="DR125" s="135" t="str">
        <f t="shared" si="313"/>
        <v>S 15</v>
      </c>
      <c r="DS125" s="577">
        <f t="shared" si="314"/>
        <v>3429.85</v>
      </c>
      <c r="DT125" s="577">
        <f t="shared" si="315"/>
        <v>3738.83</v>
      </c>
      <c r="DU125" s="577">
        <f t="shared" si="316"/>
        <v>4005.93</v>
      </c>
      <c r="DV125" s="577">
        <f t="shared" si="317"/>
        <v>4313.04</v>
      </c>
      <c r="DW125" s="577">
        <f t="shared" si="318"/>
        <v>4807.09</v>
      </c>
      <c r="DX125" s="577">
        <f t="shared" si="319"/>
        <v>5020.72</v>
      </c>
    </row>
    <row r="126" spans="81:128">
      <c r="CC126" s="135"/>
      <c r="DB126" s="580" t="s">
        <v>343</v>
      </c>
      <c r="DC126" s="581">
        <v>3266.47</v>
      </c>
      <c r="DD126" s="581">
        <v>3542.82</v>
      </c>
      <c r="DE126" s="581">
        <v>3826.98</v>
      </c>
      <c r="DF126" s="581">
        <v>4116.03</v>
      </c>
      <c r="DG126" s="581">
        <v>4435.6499999999996</v>
      </c>
      <c r="DH126" s="581">
        <v>4659.3599999999997</v>
      </c>
      <c r="DJ126" s="135" t="str">
        <f t="shared" si="306"/>
        <v>S 14</v>
      </c>
      <c r="DK126" s="577">
        <f t="shared" si="307"/>
        <v>3368.38</v>
      </c>
      <c r="DL126" s="577">
        <f t="shared" si="308"/>
        <v>3653.36</v>
      </c>
      <c r="DM126" s="577">
        <f t="shared" si="309"/>
        <v>3946.38</v>
      </c>
      <c r="DN126" s="577">
        <f t="shared" si="310"/>
        <v>4244.45</v>
      </c>
      <c r="DO126" s="577">
        <f t="shared" si="311"/>
        <v>4574.04</v>
      </c>
      <c r="DP126" s="577">
        <f t="shared" si="312"/>
        <v>4804.7299999999996</v>
      </c>
      <c r="DR126" s="135" t="str">
        <f t="shared" si="313"/>
        <v>S 14</v>
      </c>
      <c r="DS126" s="577">
        <f t="shared" si="314"/>
        <v>3411.83</v>
      </c>
      <c r="DT126" s="577">
        <f t="shared" si="315"/>
        <v>3700.49</v>
      </c>
      <c r="DU126" s="577">
        <f t="shared" si="316"/>
        <v>3997.29</v>
      </c>
      <c r="DV126" s="577">
        <f t="shared" si="317"/>
        <v>4299.2</v>
      </c>
      <c r="DW126" s="577">
        <f t="shared" si="318"/>
        <v>4633.05</v>
      </c>
      <c r="DX126" s="577">
        <f t="shared" si="319"/>
        <v>4866.71</v>
      </c>
    </row>
    <row r="127" spans="81:128">
      <c r="CC127" s="135"/>
      <c r="DB127" s="580" t="s">
        <v>345</v>
      </c>
      <c r="DC127" s="581">
        <v>3211.13</v>
      </c>
      <c r="DD127" s="581">
        <v>3453.76</v>
      </c>
      <c r="DE127" s="581">
        <v>3771.31</v>
      </c>
      <c r="DF127" s="581">
        <v>4026.97</v>
      </c>
      <c r="DG127" s="581">
        <v>4346.59</v>
      </c>
      <c r="DH127" s="581">
        <v>4506.38</v>
      </c>
      <c r="DJ127" s="135" t="str">
        <f t="shared" si="306"/>
        <v>S 13</v>
      </c>
      <c r="DK127" s="577">
        <f t="shared" si="307"/>
        <v>3311.32</v>
      </c>
      <c r="DL127" s="577">
        <f t="shared" si="308"/>
        <v>3561.52</v>
      </c>
      <c r="DM127" s="577">
        <f t="shared" si="309"/>
        <v>3888.97</v>
      </c>
      <c r="DN127" s="577">
        <f t="shared" si="310"/>
        <v>4152.6099999999997</v>
      </c>
      <c r="DO127" s="577">
        <f t="shared" si="311"/>
        <v>4482.2</v>
      </c>
      <c r="DP127" s="577">
        <f t="shared" si="312"/>
        <v>4646.9799999999996</v>
      </c>
      <c r="DR127" s="135" t="str">
        <f t="shared" si="313"/>
        <v>S 13</v>
      </c>
      <c r="DS127" s="577">
        <f t="shared" si="314"/>
        <v>3354.04</v>
      </c>
      <c r="DT127" s="577">
        <f t="shared" si="315"/>
        <v>3607.46</v>
      </c>
      <c r="DU127" s="577">
        <f t="shared" si="316"/>
        <v>3939.14</v>
      </c>
      <c r="DV127" s="577">
        <f t="shared" si="317"/>
        <v>4206.18</v>
      </c>
      <c r="DW127" s="577">
        <f t="shared" si="318"/>
        <v>4540.0200000000004</v>
      </c>
      <c r="DX127" s="577">
        <f t="shared" si="319"/>
        <v>4706.93</v>
      </c>
    </row>
    <row r="128" spans="81:128">
      <c r="CC128" s="135"/>
      <c r="DB128" s="580" t="s">
        <v>347</v>
      </c>
      <c r="DC128" s="581">
        <v>3167.04</v>
      </c>
      <c r="DD128" s="581">
        <v>3443.98</v>
      </c>
      <c r="DE128" s="581">
        <v>3748.45</v>
      </c>
      <c r="DF128" s="581">
        <v>4016.91</v>
      </c>
      <c r="DG128" s="581">
        <v>4349.3100000000004</v>
      </c>
      <c r="DH128" s="581">
        <v>4489.9399999999996</v>
      </c>
      <c r="DJ128" s="135" t="str">
        <f t="shared" si="306"/>
        <v>S 12</v>
      </c>
      <c r="DK128" s="577">
        <f t="shared" si="307"/>
        <v>3265.85</v>
      </c>
      <c r="DL128" s="577">
        <f t="shared" si="308"/>
        <v>3551.43</v>
      </c>
      <c r="DM128" s="577">
        <f t="shared" si="309"/>
        <v>3865.4</v>
      </c>
      <c r="DN128" s="577">
        <f t="shared" si="310"/>
        <v>4142.24</v>
      </c>
      <c r="DO128" s="577">
        <f t="shared" si="311"/>
        <v>4485.01</v>
      </c>
      <c r="DP128" s="577">
        <f t="shared" si="312"/>
        <v>4630.03</v>
      </c>
      <c r="DR128" s="135" t="str">
        <f t="shared" si="313"/>
        <v>S 12</v>
      </c>
      <c r="DS128" s="577">
        <f t="shared" si="314"/>
        <v>3307.98</v>
      </c>
      <c r="DT128" s="577">
        <f t="shared" si="315"/>
        <v>3597.24</v>
      </c>
      <c r="DU128" s="577">
        <f t="shared" si="316"/>
        <v>3915.26</v>
      </c>
      <c r="DV128" s="577">
        <f t="shared" si="317"/>
        <v>4195.67</v>
      </c>
      <c r="DW128" s="577">
        <f t="shared" si="318"/>
        <v>4542.87</v>
      </c>
      <c r="DX128" s="577">
        <f t="shared" si="319"/>
        <v>4689.76</v>
      </c>
    </row>
    <row r="129" spans="73:128">
      <c r="CC129" s="135"/>
      <c r="DB129" s="580" t="s">
        <v>349</v>
      </c>
      <c r="DC129" s="581">
        <v>3084.93</v>
      </c>
      <c r="DD129" s="581">
        <v>3395</v>
      </c>
      <c r="DE129" s="581">
        <v>3557.38</v>
      </c>
      <c r="DF129" s="581">
        <v>3966.47</v>
      </c>
      <c r="DG129" s="581">
        <v>4286.08</v>
      </c>
      <c r="DH129" s="581">
        <v>4477.84</v>
      </c>
      <c r="DJ129" s="135" t="str">
        <f t="shared" si="306"/>
        <v>S 11b</v>
      </c>
      <c r="DK129" s="577">
        <f t="shared" si="307"/>
        <v>3181.18</v>
      </c>
      <c r="DL129" s="577">
        <f t="shared" si="308"/>
        <v>3500.92</v>
      </c>
      <c r="DM129" s="577">
        <f t="shared" si="309"/>
        <v>3668.37</v>
      </c>
      <c r="DN129" s="577">
        <f t="shared" si="310"/>
        <v>4090.22</v>
      </c>
      <c r="DO129" s="577">
        <f t="shared" si="311"/>
        <v>4419.8100000000004</v>
      </c>
      <c r="DP129" s="577">
        <f t="shared" si="312"/>
        <v>4617.55</v>
      </c>
      <c r="DR129" s="135" t="str">
        <f t="shared" si="313"/>
        <v>S 11b</v>
      </c>
      <c r="DS129" s="577">
        <f t="shared" si="314"/>
        <v>3222.22</v>
      </c>
      <c r="DT129" s="577">
        <f t="shared" si="315"/>
        <v>3546.08</v>
      </c>
      <c r="DU129" s="577">
        <f t="shared" si="316"/>
        <v>3715.69</v>
      </c>
      <c r="DV129" s="577">
        <f t="shared" si="317"/>
        <v>4142.9799999999996</v>
      </c>
      <c r="DW129" s="577">
        <f t="shared" si="318"/>
        <v>4476.83</v>
      </c>
      <c r="DX129" s="577">
        <f t="shared" si="319"/>
        <v>4677.12</v>
      </c>
    </row>
    <row r="130" spans="73:128">
      <c r="CC130" s="135"/>
      <c r="DB130" s="580" t="s">
        <v>350</v>
      </c>
      <c r="DC130" s="581">
        <v>3021.55</v>
      </c>
      <c r="DD130" s="581">
        <v>3329.65</v>
      </c>
      <c r="DE130" s="581">
        <v>3490.99</v>
      </c>
      <c r="DF130" s="581">
        <v>3899.16</v>
      </c>
      <c r="DG130" s="581">
        <v>4218.74</v>
      </c>
      <c r="DH130" s="581">
        <v>4410.51</v>
      </c>
      <c r="DJ130" s="135" t="str">
        <f t="shared" si="306"/>
        <v>S 11a</v>
      </c>
      <c r="DK130" s="577">
        <f t="shared" si="307"/>
        <v>3115.82</v>
      </c>
      <c r="DL130" s="577">
        <f t="shared" si="308"/>
        <v>3433.54</v>
      </c>
      <c r="DM130" s="577">
        <f t="shared" si="309"/>
        <v>3599.91</v>
      </c>
      <c r="DN130" s="577">
        <f t="shared" si="310"/>
        <v>4020.81</v>
      </c>
      <c r="DO130" s="577">
        <f t="shared" si="311"/>
        <v>4350.3599999999997</v>
      </c>
      <c r="DP130" s="577">
        <f t="shared" si="312"/>
        <v>4548.12</v>
      </c>
      <c r="DR130" s="135" t="str">
        <f t="shared" si="313"/>
        <v>S 11a</v>
      </c>
      <c r="DS130" s="577">
        <f t="shared" si="314"/>
        <v>3156.01</v>
      </c>
      <c r="DT130" s="577">
        <f t="shared" si="315"/>
        <v>3477.83</v>
      </c>
      <c r="DU130" s="577">
        <f t="shared" si="316"/>
        <v>3646.35</v>
      </c>
      <c r="DV130" s="577">
        <f t="shared" si="317"/>
        <v>4072.68</v>
      </c>
      <c r="DW130" s="577">
        <f t="shared" si="318"/>
        <v>4406.4799999999996</v>
      </c>
      <c r="DX130" s="577">
        <f t="shared" si="319"/>
        <v>4606.79</v>
      </c>
    </row>
    <row r="131" spans="73:128">
      <c r="CC131" s="135"/>
      <c r="DB131" s="580" t="s">
        <v>141</v>
      </c>
      <c r="DC131" s="581">
        <v>2805.91</v>
      </c>
      <c r="DD131" s="581">
        <v>3072.43</v>
      </c>
      <c r="DE131" s="581">
        <v>3317.32</v>
      </c>
      <c r="DF131" s="581">
        <v>3673.55</v>
      </c>
      <c r="DG131" s="581">
        <v>4007.51</v>
      </c>
      <c r="DH131" s="581">
        <v>4263.55</v>
      </c>
      <c r="DJ131" s="135" t="str">
        <f t="shared" si="306"/>
        <v>S 9</v>
      </c>
      <c r="DK131" s="577">
        <f t="shared" si="307"/>
        <v>2893.45</v>
      </c>
      <c r="DL131" s="577">
        <f t="shared" si="308"/>
        <v>3168.29</v>
      </c>
      <c r="DM131" s="577">
        <f t="shared" si="309"/>
        <v>3420.82</v>
      </c>
      <c r="DN131" s="577">
        <f t="shared" si="310"/>
        <v>3788.16</v>
      </c>
      <c r="DO131" s="577">
        <f t="shared" si="311"/>
        <v>4132.54</v>
      </c>
      <c r="DP131" s="577">
        <f t="shared" si="312"/>
        <v>4396.57</v>
      </c>
      <c r="DR131" s="135" t="str">
        <f t="shared" si="313"/>
        <v>S 9</v>
      </c>
      <c r="DS131" s="577">
        <f t="shared" si="314"/>
        <v>2930.78</v>
      </c>
      <c r="DT131" s="577">
        <f t="shared" si="315"/>
        <v>3209.16</v>
      </c>
      <c r="DU131" s="577">
        <f t="shared" si="316"/>
        <v>3464.95</v>
      </c>
      <c r="DV131" s="577">
        <f t="shared" si="317"/>
        <v>3837.03</v>
      </c>
      <c r="DW131" s="577">
        <f t="shared" si="318"/>
        <v>4185.8500000000004</v>
      </c>
      <c r="DX131" s="577">
        <f t="shared" si="319"/>
        <v>4453.29</v>
      </c>
    </row>
    <row r="132" spans="73:128">
      <c r="CC132" s="135"/>
      <c r="DB132" s="580" t="s">
        <v>352</v>
      </c>
      <c r="DC132" s="581">
        <v>2805.91</v>
      </c>
      <c r="DD132" s="581">
        <v>3072.43</v>
      </c>
      <c r="DE132" s="581">
        <v>3317.32</v>
      </c>
      <c r="DF132" s="581">
        <v>3673.55</v>
      </c>
      <c r="DG132" s="581">
        <v>4007.51</v>
      </c>
      <c r="DH132" s="581">
        <v>4263.55</v>
      </c>
      <c r="DJ132" s="135" t="str">
        <f t="shared" si="306"/>
        <v>S 8b</v>
      </c>
      <c r="DK132" s="577">
        <f t="shared" si="307"/>
        <v>2893.45</v>
      </c>
      <c r="DL132" s="577">
        <f t="shared" si="308"/>
        <v>3168.29</v>
      </c>
      <c r="DM132" s="577">
        <f t="shared" si="309"/>
        <v>3420.82</v>
      </c>
      <c r="DN132" s="577">
        <f t="shared" si="310"/>
        <v>3788.16</v>
      </c>
      <c r="DO132" s="577">
        <f t="shared" si="311"/>
        <v>4132.54</v>
      </c>
      <c r="DP132" s="577">
        <f t="shared" si="312"/>
        <v>4396.57</v>
      </c>
      <c r="DR132" s="135" t="str">
        <f t="shared" si="313"/>
        <v>S 8b</v>
      </c>
      <c r="DS132" s="577">
        <f t="shared" si="314"/>
        <v>2930.78</v>
      </c>
      <c r="DT132" s="577">
        <f t="shared" si="315"/>
        <v>3209.16</v>
      </c>
      <c r="DU132" s="577">
        <f t="shared" si="316"/>
        <v>3464.95</v>
      </c>
      <c r="DV132" s="577">
        <f t="shared" si="317"/>
        <v>3837.03</v>
      </c>
      <c r="DW132" s="577">
        <f t="shared" si="318"/>
        <v>4185.8500000000004</v>
      </c>
      <c r="DX132" s="577">
        <f t="shared" si="319"/>
        <v>4453.29</v>
      </c>
    </row>
    <row r="133" spans="73:128">
      <c r="CC133" s="135"/>
      <c r="DB133" s="580" t="s">
        <v>353</v>
      </c>
      <c r="DC133" s="581">
        <v>2765.96</v>
      </c>
      <c r="DD133" s="581">
        <v>3005.63</v>
      </c>
      <c r="DE133" s="581">
        <v>3217.14</v>
      </c>
      <c r="DF133" s="581">
        <v>3417.52</v>
      </c>
      <c r="DG133" s="581">
        <v>3612.32</v>
      </c>
      <c r="DH133" s="581">
        <v>3815.48</v>
      </c>
      <c r="DJ133" s="135" t="str">
        <f t="shared" si="306"/>
        <v>S 8a</v>
      </c>
      <c r="DK133" s="577">
        <f t="shared" si="307"/>
        <v>2852.26</v>
      </c>
      <c r="DL133" s="577">
        <f t="shared" si="308"/>
        <v>3099.41</v>
      </c>
      <c r="DM133" s="577">
        <f t="shared" si="309"/>
        <v>3317.51</v>
      </c>
      <c r="DN133" s="577">
        <f t="shared" si="310"/>
        <v>3524.15</v>
      </c>
      <c r="DO133" s="577">
        <f t="shared" si="311"/>
        <v>3725.02</v>
      </c>
      <c r="DP133" s="577">
        <f t="shared" si="312"/>
        <v>3934.52</v>
      </c>
      <c r="DR133" s="135" t="str">
        <f t="shared" si="313"/>
        <v>S 8a</v>
      </c>
      <c r="DS133" s="577">
        <f t="shared" si="314"/>
        <v>2889.05</v>
      </c>
      <c r="DT133" s="577">
        <f t="shared" si="315"/>
        <v>3139.39</v>
      </c>
      <c r="DU133" s="577">
        <f t="shared" si="316"/>
        <v>3360.31</v>
      </c>
      <c r="DV133" s="577">
        <f t="shared" si="317"/>
        <v>3569.61</v>
      </c>
      <c r="DW133" s="577">
        <f t="shared" si="318"/>
        <v>3773.07</v>
      </c>
      <c r="DX133" s="577">
        <f t="shared" si="319"/>
        <v>3985.28</v>
      </c>
    </row>
    <row r="134" spans="73:128">
      <c r="CC134" s="135"/>
      <c r="DB134" s="580" t="s">
        <v>143</v>
      </c>
      <c r="DC134" s="581">
        <v>2699.54</v>
      </c>
      <c r="DD134" s="581">
        <v>2926.27</v>
      </c>
      <c r="DE134" s="581">
        <v>3124.87</v>
      </c>
      <c r="DF134" s="581">
        <v>3323.43</v>
      </c>
      <c r="DG134" s="581">
        <v>3472.39</v>
      </c>
      <c r="DH134" s="581">
        <v>3694.61</v>
      </c>
      <c r="DJ134" s="135" t="str">
        <f t="shared" si="306"/>
        <v>S 7</v>
      </c>
      <c r="DK134" s="577">
        <f t="shared" si="307"/>
        <v>2783.77</v>
      </c>
      <c r="DL134" s="577">
        <f t="shared" si="308"/>
        <v>3017.57</v>
      </c>
      <c r="DM134" s="577">
        <f t="shared" si="309"/>
        <v>3222.37</v>
      </c>
      <c r="DN134" s="577">
        <f t="shared" si="310"/>
        <v>3427.12</v>
      </c>
      <c r="DO134" s="577">
        <f t="shared" si="311"/>
        <v>3580.73</v>
      </c>
      <c r="DP134" s="577">
        <f t="shared" si="312"/>
        <v>3809.88</v>
      </c>
      <c r="DR134" s="135" t="str">
        <f t="shared" si="313"/>
        <v>S 7</v>
      </c>
      <c r="DS134" s="577">
        <f t="shared" si="314"/>
        <v>2819.68</v>
      </c>
      <c r="DT134" s="577">
        <f t="shared" si="315"/>
        <v>3056.5</v>
      </c>
      <c r="DU134" s="577">
        <f t="shared" si="316"/>
        <v>3263.94</v>
      </c>
      <c r="DV134" s="577">
        <f t="shared" si="317"/>
        <v>3471.33</v>
      </c>
      <c r="DW134" s="577">
        <f t="shared" si="318"/>
        <v>3626.92</v>
      </c>
      <c r="DX134" s="577">
        <f t="shared" si="319"/>
        <v>3859.03</v>
      </c>
    </row>
    <row r="135" spans="73:128">
      <c r="CC135" s="135"/>
      <c r="DB135" s="580" t="s">
        <v>146</v>
      </c>
      <c r="DC135" s="581">
        <v>2555.85</v>
      </c>
      <c r="DD135" s="581">
        <v>2795.94</v>
      </c>
      <c r="DE135" s="581">
        <v>2969.72</v>
      </c>
      <c r="DF135" s="581">
        <v>3087.63</v>
      </c>
      <c r="DG135" s="581">
        <v>3199.34</v>
      </c>
      <c r="DH135" s="581">
        <v>3373.36</v>
      </c>
      <c r="DJ135" s="135" t="str">
        <f t="shared" si="306"/>
        <v>S 4</v>
      </c>
      <c r="DK135" s="577">
        <f t="shared" si="307"/>
        <v>2635.59</v>
      </c>
      <c r="DL135" s="577">
        <f t="shared" si="308"/>
        <v>2883.17</v>
      </c>
      <c r="DM135" s="577">
        <f t="shared" si="309"/>
        <v>3062.38</v>
      </c>
      <c r="DN135" s="577">
        <f t="shared" si="310"/>
        <v>3183.96</v>
      </c>
      <c r="DO135" s="577">
        <f t="shared" si="311"/>
        <v>3299.16</v>
      </c>
      <c r="DP135" s="577">
        <f t="shared" si="312"/>
        <v>3478.61</v>
      </c>
      <c r="DR135" s="135" t="str">
        <f t="shared" si="313"/>
        <v>S 4</v>
      </c>
      <c r="DS135" s="577">
        <f t="shared" si="314"/>
        <v>2669.59</v>
      </c>
      <c r="DT135" s="577">
        <f t="shared" si="315"/>
        <v>2920.36</v>
      </c>
      <c r="DU135" s="577">
        <f t="shared" si="316"/>
        <v>3101.88</v>
      </c>
      <c r="DV135" s="577">
        <f t="shared" si="317"/>
        <v>3225.03</v>
      </c>
      <c r="DW135" s="577">
        <f t="shared" si="318"/>
        <v>3341.72</v>
      </c>
      <c r="DX135" s="577">
        <f t="shared" si="319"/>
        <v>3523.48</v>
      </c>
    </row>
    <row r="136" spans="73:128">
      <c r="BU136" s="378">
        <v>43</v>
      </c>
      <c r="DB136" s="580" t="s">
        <v>147</v>
      </c>
      <c r="DC136" s="581">
        <v>2390.91</v>
      </c>
      <c r="DD136" s="581">
        <v>2630.87</v>
      </c>
      <c r="DE136" s="581">
        <v>2797.8</v>
      </c>
      <c r="DF136" s="581">
        <v>2951.09</v>
      </c>
      <c r="DG136" s="581">
        <v>3021.22</v>
      </c>
      <c r="DH136" s="581">
        <v>3105</v>
      </c>
      <c r="DJ136" s="135" t="str">
        <f t="shared" si="306"/>
        <v>S 3</v>
      </c>
      <c r="DK136" s="577">
        <f t="shared" si="307"/>
        <v>2465.5100000000002</v>
      </c>
      <c r="DL136" s="577">
        <f t="shared" si="308"/>
        <v>2712.95</v>
      </c>
      <c r="DM136" s="577">
        <f t="shared" si="309"/>
        <v>2885.09</v>
      </c>
      <c r="DN136" s="577">
        <f t="shared" si="310"/>
        <v>3043.16</v>
      </c>
      <c r="DO136" s="577">
        <f t="shared" si="311"/>
        <v>3115.48</v>
      </c>
      <c r="DP136" s="577">
        <f t="shared" si="312"/>
        <v>3201.88</v>
      </c>
      <c r="DR136" s="135" t="str">
        <f t="shared" si="313"/>
        <v>S 3</v>
      </c>
      <c r="DS136" s="577">
        <f t="shared" si="314"/>
        <v>2497.3200000000002</v>
      </c>
      <c r="DT136" s="577">
        <f t="shared" si="315"/>
        <v>2747.95</v>
      </c>
      <c r="DU136" s="577">
        <f t="shared" si="316"/>
        <v>2922.31</v>
      </c>
      <c r="DV136" s="577">
        <f t="shared" si="317"/>
        <v>3082.42</v>
      </c>
      <c r="DW136" s="577">
        <f t="shared" si="318"/>
        <v>3155.67</v>
      </c>
      <c r="DX136" s="577">
        <f t="shared" si="319"/>
        <v>3243.18</v>
      </c>
    </row>
    <row r="137" spans="73:128">
      <c r="BU137" s="378">
        <v>44</v>
      </c>
      <c r="DB137" s="580" t="s">
        <v>614</v>
      </c>
      <c r="DC137" s="581">
        <v>2254.6</v>
      </c>
      <c r="DD137" s="581">
        <v>2468.91</v>
      </c>
      <c r="DE137" s="581">
        <v>2528.44</v>
      </c>
      <c r="DF137" s="581">
        <v>2623.68</v>
      </c>
      <c r="DG137" s="581">
        <v>2701.07</v>
      </c>
      <c r="DH137" s="581">
        <v>2766.55</v>
      </c>
      <c r="DJ137" s="135" t="s">
        <v>148</v>
      </c>
      <c r="DK137" s="578">
        <f t="shared" ref="DK137:DP137" si="320">DK17</f>
        <v>2351.5500000000002</v>
      </c>
      <c r="DL137" s="578">
        <f t="shared" si="320"/>
        <v>2558.91</v>
      </c>
      <c r="DM137" s="578">
        <f t="shared" si="320"/>
        <v>2618.44</v>
      </c>
      <c r="DN137" s="578">
        <f t="shared" si="320"/>
        <v>2713.68</v>
      </c>
      <c r="DO137" s="578">
        <f t="shared" si="320"/>
        <v>2791.07</v>
      </c>
      <c r="DP137" s="578">
        <f t="shared" si="320"/>
        <v>2856.55</v>
      </c>
      <c r="DR137" s="135" t="str">
        <f t="shared" si="313"/>
        <v>S 2</v>
      </c>
      <c r="DS137" s="578">
        <f t="shared" ref="DS137:DX137" si="321">DS17</f>
        <v>2401.5500000000002</v>
      </c>
      <c r="DT137" s="578">
        <f t="shared" si="321"/>
        <v>2608.91</v>
      </c>
      <c r="DU137" s="578">
        <f t="shared" si="321"/>
        <v>2668.44</v>
      </c>
      <c r="DV137" s="578">
        <f t="shared" si="321"/>
        <v>2763.68</v>
      </c>
      <c r="DW137" s="578">
        <f t="shared" si="321"/>
        <v>2841.07</v>
      </c>
      <c r="DX137" s="578">
        <f t="shared" si="321"/>
        <v>2906.55</v>
      </c>
    </row>
    <row r="138" spans="73:128">
      <c r="BU138" s="378">
        <v>45</v>
      </c>
    </row>
    <row r="139" spans="73:128">
      <c r="BU139" s="378">
        <v>46</v>
      </c>
    </row>
    <row r="140" spans="73:128">
      <c r="BU140" s="378">
        <v>47</v>
      </c>
    </row>
    <row r="141" spans="73:128">
      <c r="BU141" s="378">
        <v>48</v>
      </c>
    </row>
    <row r="142" spans="73:128">
      <c r="BU142" s="378">
        <v>49</v>
      </c>
    </row>
    <row r="143" spans="73:128">
      <c r="BU143" s="378">
        <v>50</v>
      </c>
    </row>
    <row r="144" spans="73:128">
      <c r="BU144" s="378">
        <v>51</v>
      </c>
    </row>
    <row r="145" spans="73:73">
      <c r="BU145" s="378">
        <v>52</v>
      </c>
    </row>
    <row r="146" spans="73:73">
      <c r="BU146" s="378">
        <v>53</v>
      </c>
    </row>
    <row r="147" spans="73:73">
      <c r="BU147" s="378">
        <v>54</v>
      </c>
    </row>
    <row r="148" spans="73:73">
      <c r="BU148" s="378">
        <v>55</v>
      </c>
    </row>
    <row r="149" spans="73:73">
      <c r="BU149" s="378">
        <v>56</v>
      </c>
    </row>
    <row r="150" spans="73:73">
      <c r="BU150" s="378">
        <v>57</v>
      </c>
    </row>
    <row r="151" spans="73:73">
      <c r="BU151" s="378">
        <v>58</v>
      </c>
    </row>
    <row r="152" spans="73:73">
      <c r="BU152" s="378">
        <v>59</v>
      </c>
    </row>
    <row r="153" spans="73:73">
      <c r="BU153" s="378">
        <v>60</v>
      </c>
    </row>
    <row r="154" spans="73:73">
      <c r="BU154" s="378">
        <v>61</v>
      </c>
    </row>
    <row r="155" spans="73:73">
      <c r="BU155" s="378">
        <v>62</v>
      </c>
    </row>
    <row r="156" spans="73:73">
      <c r="BU156" s="378">
        <v>63</v>
      </c>
    </row>
    <row r="157" spans="73:73">
      <c r="BU157" s="378">
        <v>64</v>
      </c>
    </row>
    <row r="158" spans="73:73">
      <c r="BU158" s="378">
        <v>65</v>
      </c>
    </row>
    <row r="159" spans="73:73">
      <c r="BU159" s="378">
        <v>66</v>
      </c>
    </row>
    <row r="160" spans="73:73">
      <c r="BU160" s="378">
        <v>67</v>
      </c>
    </row>
    <row r="161" spans="73:73">
      <c r="BU161" s="378">
        <v>68</v>
      </c>
    </row>
    <row r="162" spans="73:73">
      <c r="BU162" s="378">
        <v>69</v>
      </c>
    </row>
    <row r="163" spans="73:73">
      <c r="BU163" s="378">
        <v>70</v>
      </c>
    </row>
    <row r="164" spans="73:73">
      <c r="BU164" s="378">
        <v>71</v>
      </c>
    </row>
    <row r="165" spans="73:73">
      <c r="BU165" s="378">
        <v>72</v>
      </c>
    </row>
    <row r="166" spans="73:73">
      <c r="BU166" s="378">
        <v>73</v>
      </c>
    </row>
    <row r="167" spans="73:73">
      <c r="BU167" s="378">
        <v>74</v>
      </c>
    </row>
    <row r="168" spans="73:73">
      <c r="BU168" s="378">
        <v>75</v>
      </c>
    </row>
    <row r="169" spans="73:73">
      <c r="BU169" s="378">
        <v>76</v>
      </c>
    </row>
    <row r="170" spans="73:73">
      <c r="BU170" s="378">
        <v>77</v>
      </c>
    </row>
    <row r="171" spans="73:73">
      <c r="BU171" s="378">
        <v>78</v>
      </c>
    </row>
    <row r="172" spans="73:73">
      <c r="BU172" s="378">
        <v>79</v>
      </c>
    </row>
    <row r="173" spans="73:73">
      <c r="BU173" s="378">
        <v>80</v>
      </c>
    </row>
    <row r="174" spans="73:73">
      <c r="BU174" s="378">
        <v>81</v>
      </c>
    </row>
    <row r="175" spans="73:73">
      <c r="BU175" s="378">
        <v>82</v>
      </c>
    </row>
    <row r="176" spans="73:73">
      <c r="BU176" s="378">
        <v>83</v>
      </c>
    </row>
    <row r="177" spans="73:73">
      <c r="BU177" s="378">
        <v>84</v>
      </c>
    </row>
    <row r="178" spans="73:73">
      <c r="BU178" s="378">
        <v>85</v>
      </c>
    </row>
    <row r="179" spans="73:73">
      <c r="BU179" s="378">
        <v>86</v>
      </c>
    </row>
    <row r="180" spans="73:73">
      <c r="BU180" s="378">
        <v>87</v>
      </c>
    </row>
    <row r="181" spans="73:73">
      <c r="BU181" s="378">
        <v>88</v>
      </c>
    </row>
    <row r="182" spans="73:73">
      <c r="BU182" s="378">
        <v>89</v>
      </c>
    </row>
    <row r="183" spans="73:73">
      <c r="BU183" s="378">
        <v>90</v>
      </c>
    </row>
    <row r="184" spans="73:73">
      <c r="BU184" s="378">
        <v>91</v>
      </c>
    </row>
    <row r="185" spans="73:73">
      <c r="BU185" s="378">
        <v>92</v>
      </c>
    </row>
    <row r="186" spans="73:73">
      <c r="BU186" s="378">
        <v>93</v>
      </c>
    </row>
    <row r="187" spans="73:73">
      <c r="BU187" s="378">
        <v>94</v>
      </c>
    </row>
    <row r="188" spans="73:73">
      <c r="BU188" s="378">
        <v>95</v>
      </c>
    </row>
    <row r="189" spans="73:73">
      <c r="BU189" s="378">
        <v>96</v>
      </c>
    </row>
    <row r="190" spans="73:73">
      <c r="BU190" s="378">
        <v>97</v>
      </c>
    </row>
    <row r="191" spans="73:73">
      <c r="BU191" s="378">
        <v>98</v>
      </c>
    </row>
    <row r="192" spans="73:73">
      <c r="BU192" s="378">
        <v>99</v>
      </c>
    </row>
    <row r="193" spans="73:73">
      <c r="BU193" s="378">
        <v>100</v>
      </c>
    </row>
    <row r="194" spans="73:73">
      <c r="BU194" s="378">
        <v>101</v>
      </c>
    </row>
    <row r="195" spans="73:73">
      <c r="BU195" s="378">
        <v>102</v>
      </c>
    </row>
    <row r="196" spans="73:73">
      <c r="BU196" s="378">
        <v>103</v>
      </c>
    </row>
    <row r="197" spans="73:73">
      <c r="BU197" s="378">
        <v>104</v>
      </c>
    </row>
    <row r="198" spans="73:73">
      <c r="BU198" s="378">
        <v>105</v>
      </c>
    </row>
    <row r="199" spans="73:73">
      <c r="BU199" s="378">
        <v>106</v>
      </c>
    </row>
    <row r="200" spans="73:73">
      <c r="BU200" s="378">
        <v>107</v>
      </c>
    </row>
    <row r="201" spans="73:73">
      <c r="BU201" s="378">
        <v>108</v>
      </c>
    </row>
    <row r="202" spans="73:73">
      <c r="BU202" s="378">
        <v>109</v>
      </c>
    </row>
    <row r="203" spans="73:73">
      <c r="BU203" s="378">
        <v>110</v>
      </c>
    </row>
    <row r="204" spans="73:73">
      <c r="BU204" s="378">
        <v>111</v>
      </c>
    </row>
    <row r="205" spans="73:73">
      <c r="BU205" s="378">
        <v>112</v>
      </c>
    </row>
    <row r="206" spans="73:73">
      <c r="BU206" s="378">
        <v>113</v>
      </c>
    </row>
    <row r="207" spans="73:73">
      <c r="BU207" s="378">
        <v>114</v>
      </c>
    </row>
    <row r="208" spans="73:73">
      <c r="BU208" s="378">
        <v>115</v>
      </c>
    </row>
    <row r="209" spans="73:73">
      <c r="BU209" s="378">
        <v>116</v>
      </c>
    </row>
    <row r="210" spans="73:73">
      <c r="BU210" s="378">
        <v>117</v>
      </c>
    </row>
    <row r="211" spans="73:73">
      <c r="BU211" s="378">
        <v>118</v>
      </c>
    </row>
    <row r="212" spans="73:73">
      <c r="BU212" s="378">
        <v>119</v>
      </c>
    </row>
    <row r="213" spans="73:73">
      <c r="BU213" s="378">
        <v>120</v>
      </c>
    </row>
    <row r="214" spans="73:73">
      <c r="BU214" s="378">
        <v>121</v>
      </c>
    </row>
    <row r="215" spans="73:73">
      <c r="BU215" s="378">
        <v>122</v>
      </c>
    </row>
    <row r="216" spans="73:73">
      <c r="BU216" s="378">
        <v>123</v>
      </c>
    </row>
    <row r="217" spans="73:73">
      <c r="BU217" s="378">
        <v>124</v>
      </c>
    </row>
    <row r="218" spans="73:73">
      <c r="BU218" s="378">
        <v>125</v>
      </c>
    </row>
    <row r="219" spans="73:73">
      <c r="BU219" s="378">
        <v>126</v>
      </c>
    </row>
    <row r="220" spans="73:73">
      <c r="BU220" s="378">
        <v>127</v>
      </c>
    </row>
    <row r="221" spans="73:73">
      <c r="BU221" s="378">
        <v>128</v>
      </c>
    </row>
    <row r="222" spans="73:73">
      <c r="BU222" s="378">
        <v>129</v>
      </c>
    </row>
    <row r="223" spans="73:73">
      <c r="BU223" s="378">
        <v>130</v>
      </c>
    </row>
    <row r="224" spans="73:73">
      <c r="BU224" s="378">
        <v>131</v>
      </c>
    </row>
    <row r="225" spans="73:73">
      <c r="BU225" s="378">
        <v>132</v>
      </c>
    </row>
    <row r="226" spans="73:73">
      <c r="BU226" s="378">
        <v>133</v>
      </c>
    </row>
    <row r="227" spans="73:73">
      <c r="BU227" s="378">
        <v>134</v>
      </c>
    </row>
    <row r="228" spans="73:73">
      <c r="BU228" s="378">
        <v>135</v>
      </c>
    </row>
    <row r="229" spans="73:73">
      <c r="BU229" s="378">
        <v>136</v>
      </c>
    </row>
    <row r="230" spans="73:73">
      <c r="BU230" s="378">
        <v>137</v>
      </c>
    </row>
    <row r="231" spans="73:73">
      <c r="BU231" s="378">
        <v>138</v>
      </c>
    </row>
    <row r="232" spans="73:73">
      <c r="BU232" s="378">
        <v>139</v>
      </c>
    </row>
    <row r="233" spans="73:73">
      <c r="BU233" s="378">
        <v>140</v>
      </c>
    </row>
    <row r="234" spans="73:73">
      <c r="BU234" s="378">
        <v>141</v>
      </c>
    </row>
    <row r="235" spans="73:73">
      <c r="BU235" s="378">
        <v>142</v>
      </c>
    </row>
    <row r="236" spans="73:73">
      <c r="BU236" s="378">
        <v>143</v>
      </c>
    </row>
    <row r="237" spans="73:73">
      <c r="BU237" s="378">
        <v>144</v>
      </c>
    </row>
    <row r="238" spans="73:73">
      <c r="BU238" s="378">
        <v>145</v>
      </c>
    </row>
    <row r="239" spans="73:73">
      <c r="BU239" s="378">
        <v>146</v>
      </c>
    </row>
    <row r="240" spans="73:73">
      <c r="BU240" s="378">
        <v>147</v>
      </c>
    </row>
    <row r="241" spans="73:73">
      <c r="BU241" s="378">
        <v>148</v>
      </c>
    </row>
    <row r="242" spans="73:73">
      <c r="BU242" s="378">
        <v>149</v>
      </c>
    </row>
    <row r="243" spans="73:73">
      <c r="BU243" s="378">
        <v>150</v>
      </c>
    </row>
    <row r="244" spans="73:73">
      <c r="BU244" s="378">
        <v>151</v>
      </c>
    </row>
    <row r="245" spans="73:73">
      <c r="BU245" s="378">
        <v>152</v>
      </c>
    </row>
    <row r="246" spans="73:73">
      <c r="BU246" s="378">
        <v>153</v>
      </c>
    </row>
    <row r="247" spans="73:73">
      <c r="BU247" s="378">
        <v>154</v>
      </c>
    </row>
    <row r="248" spans="73:73">
      <c r="BU248" s="378">
        <v>155</v>
      </c>
    </row>
    <row r="249" spans="73:73">
      <c r="BU249" s="378">
        <v>156</v>
      </c>
    </row>
    <row r="250" spans="73:73">
      <c r="BU250" s="378">
        <v>157</v>
      </c>
    </row>
    <row r="251" spans="73:73">
      <c r="BU251" s="378">
        <v>158</v>
      </c>
    </row>
    <row r="252" spans="73:73">
      <c r="BU252" s="378">
        <v>159</v>
      </c>
    </row>
    <row r="253" spans="73:73">
      <c r="BU253" s="378">
        <v>160</v>
      </c>
    </row>
    <row r="254" spans="73:73">
      <c r="BU254" s="378">
        <v>161</v>
      </c>
    </row>
    <row r="255" spans="73:73">
      <c r="BU255" s="378">
        <v>162</v>
      </c>
    </row>
    <row r="256" spans="73:73">
      <c r="BU256" s="378">
        <v>163</v>
      </c>
    </row>
    <row r="257" spans="73:73">
      <c r="BU257" s="378">
        <v>164</v>
      </c>
    </row>
    <row r="258" spans="73:73">
      <c r="BU258" s="378">
        <v>165</v>
      </c>
    </row>
    <row r="259" spans="73:73">
      <c r="BU259" s="378">
        <v>166</v>
      </c>
    </row>
    <row r="260" spans="73:73">
      <c r="BU260" s="378">
        <v>167</v>
      </c>
    </row>
    <row r="261" spans="73:73">
      <c r="BU261" s="378">
        <v>168</v>
      </c>
    </row>
    <row r="262" spans="73:73">
      <c r="BU262" s="378">
        <v>169</v>
      </c>
    </row>
    <row r="263" spans="73:73">
      <c r="BU263" s="378">
        <v>170</v>
      </c>
    </row>
    <row r="264" spans="73:73">
      <c r="BU264" s="378">
        <v>171</v>
      </c>
    </row>
    <row r="265" spans="73:73">
      <c r="BU265" s="378">
        <v>172</v>
      </c>
    </row>
    <row r="266" spans="73:73">
      <c r="BU266" s="378">
        <v>173</v>
      </c>
    </row>
    <row r="267" spans="73:73">
      <c r="BU267" s="378">
        <v>174</v>
      </c>
    </row>
    <row r="268" spans="73:73">
      <c r="BU268" s="378">
        <v>175</v>
      </c>
    </row>
  </sheetData>
  <phoneticPr fontId="0" type="noConversion"/>
  <dataValidations count="1">
    <dataValidation type="list" allowBlank="1" showInputMessage="1" showErrorMessage="1" sqref="BO21 BO34 BW21 DK34 DK70">
      <formula1>$BU$95:$BU$268</formula1>
    </dataValidation>
  </dataValidations>
  <pageMargins left="0.78740157499999996" right="0.78740157499999996" top="0.984251969" bottom="0.984251969" header="0.4921259845" footer="0.4921259845"/>
  <pageSetup paperSize="9" scale="1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2560" r:id="rId4" name="Drop Down 1024">
              <controlPr defaultSize="0" autoLine="0" autoPict="0">
                <anchor moveWithCells="1">
                  <from>
                    <xdr:col>49</xdr:col>
                    <xdr:colOff>419100</xdr:colOff>
                    <xdr:row>20</xdr:row>
                    <xdr:rowOff>133350</xdr:rowOff>
                  </from>
                  <to>
                    <xdr:col>50</xdr:col>
                    <xdr:colOff>295275</xdr:colOff>
                    <xdr:row>22</xdr:row>
                    <xdr:rowOff>47625</xdr:rowOff>
                  </to>
                </anchor>
              </controlPr>
            </control>
          </mc:Choice>
        </mc:AlternateContent>
        <mc:AlternateContent xmlns:mc="http://schemas.openxmlformats.org/markup-compatibility/2006">
          <mc:Choice Requires="x14">
            <control shapeId="322561" r:id="rId5" name="Drop Down 1025">
              <controlPr defaultSize="0" autoLine="0" autoPict="0">
                <anchor moveWithCells="1">
                  <from>
                    <xdr:col>49</xdr:col>
                    <xdr:colOff>438150</xdr:colOff>
                    <xdr:row>33</xdr:row>
                    <xdr:rowOff>123825</xdr:rowOff>
                  </from>
                  <to>
                    <xdr:col>50</xdr:col>
                    <xdr:colOff>314325</xdr:colOff>
                    <xdr:row>35</xdr:row>
                    <xdr:rowOff>38100</xdr:rowOff>
                  </to>
                </anchor>
              </controlPr>
            </control>
          </mc:Choice>
        </mc:AlternateContent>
        <mc:AlternateContent xmlns:mc="http://schemas.openxmlformats.org/markup-compatibility/2006">
          <mc:Choice Requires="x14">
            <control shapeId="322562" r:id="rId6" name="Drop Down 1026">
              <controlPr defaultSize="0" autoLine="0" autoPict="0">
                <anchor moveWithCells="1">
                  <from>
                    <xdr:col>57</xdr:col>
                    <xdr:colOff>409575</xdr:colOff>
                    <xdr:row>20</xdr:row>
                    <xdr:rowOff>123825</xdr:rowOff>
                  </from>
                  <to>
                    <xdr:col>58</xdr:col>
                    <xdr:colOff>285750</xdr:colOff>
                    <xdr:row>22</xdr:row>
                    <xdr:rowOff>38100</xdr:rowOff>
                  </to>
                </anchor>
              </controlPr>
            </control>
          </mc:Choice>
        </mc:AlternateContent>
        <mc:AlternateContent xmlns:mc="http://schemas.openxmlformats.org/markup-compatibility/2006">
          <mc:Choice Requires="x14">
            <control shapeId="322563" r:id="rId7" name="Drop Down 1027">
              <controlPr defaultSize="0" autoLine="0" autoPict="0">
                <anchor moveWithCells="1">
                  <from>
                    <xdr:col>57</xdr:col>
                    <xdr:colOff>428625</xdr:colOff>
                    <xdr:row>33</xdr:row>
                    <xdr:rowOff>114300</xdr:rowOff>
                  </from>
                  <to>
                    <xdr:col>58</xdr:col>
                    <xdr:colOff>304800</xdr:colOff>
                    <xdr:row>35</xdr:row>
                    <xdr:rowOff>28575</xdr:rowOff>
                  </to>
                </anchor>
              </controlPr>
            </control>
          </mc:Choice>
        </mc:AlternateContent>
        <mc:AlternateContent xmlns:mc="http://schemas.openxmlformats.org/markup-compatibility/2006">
          <mc:Choice Requires="x14">
            <control shapeId="322564" r:id="rId8" name="Drop Down 1028">
              <controlPr defaultSize="0" autoLine="0" autoPict="0">
                <anchor moveWithCells="1">
                  <from>
                    <xdr:col>65</xdr:col>
                    <xdr:colOff>400050</xdr:colOff>
                    <xdr:row>20</xdr:row>
                    <xdr:rowOff>123825</xdr:rowOff>
                  </from>
                  <to>
                    <xdr:col>66</xdr:col>
                    <xdr:colOff>238125</xdr:colOff>
                    <xdr:row>22</xdr:row>
                    <xdr:rowOff>38100</xdr:rowOff>
                  </to>
                </anchor>
              </controlPr>
            </control>
          </mc:Choice>
        </mc:AlternateContent>
        <mc:AlternateContent xmlns:mc="http://schemas.openxmlformats.org/markup-compatibility/2006">
          <mc:Choice Requires="x14">
            <control shapeId="322565" r:id="rId9" name="Drop Down 1029">
              <controlPr defaultSize="0" autoLine="0" autoPict="0">
                <anchor moveWithCells="1">
                  <from>
                    <xdr:col>65</xdr:col>
                    <xdr:colOff>419100</xdr:colOff>
                    <xdr:row>33</xdr:row>
                    <xdr:rowOff>114300</xdr:rowOff>
                  </from>
                  <to>
                    <xdr:col>66</xdr:col>
                    <xdr:colOff>257175</xdr:colOff>
                    <xdr:row>35</xdr:row>
                    <xdr:rowOff>28575</xdr:rowOff>
                  </to>
                </anchor>
              </controlPr>
            </control>
          </mc:Choice>
        </mc:AlternateContent>
        <mc:AlternateContent xmlns:mc="http://schemas.openxmlformats.org/markup-compatibility/2006">
          <mc:Choice Requires="x14">
            <control shapeId="322566" r:id="rId10" name="Drop Down 1030">
              <controlPr defaultSize="0" autoLine="0" autoPict="0">
                <anchor moveWithCells="1">
                  <from>
                    <xdr:col>73</xdr:col>
                    <xdr:colOff>419100</xdr:colOff>
                    <xdr:row>20</xdr:row>
                    <xdr:rowOff>123825</xdr:rowOff>
                  </from>
                  <to>
                    <xdr:col>74</xdr:col>
                    <xdr:colOff>257175</xdr:colOff>
                    <xdr:row>22</xdr:row>
                    <xdr:rowOff>38100</xdr:rowOff>
                  </to>
                </anchor>
              </controlPr>
            </control>
          </mc:Choice>
        </mc:AlternateContent>
        <mc:AlternateContent xmlns:mc="http://schemas.openxmlformats.org/markup-compatibility/2006">
          <mc:Choice Requires="x14">
            <control shapeId="322567" r:id="rId11" name="Drop Down 1031">
              <controlPr defaultSize="0" autoLine="0" autoPict="0">
                <anchor moveWithCells="1">
                  <from>
                    <xdr:col>73</xdr:col>
                    <xdr:colOff>438150</xdr:colOff>
                    <xdr:row>33</xdr:row>
                    <xdr:rowOff>114300</xdr:rowOff>
                  </from>
                  <to>
                    <xdr:col>74</xdr:col>
                    <xdr:colOff>276225</xdr:colOff>
                    <xdr:row>35</xdr:row>
                    <xdr:rowOff>28575</xdr:rowOff>
                  </to>
                </anchor>
              </controlPr>
            </control>
          </mc:Choice>
        </mc:AlternateContent>
        <mc:AlternateContent xmlns:mc="http://schemas.openxmlformats.org/markup-compatibility/2006">
          <mc:Choice Requires="x14">
            <control shapeId="322585" r:id="rId12" name="Drop Down 1049">
              <controlPr defaultSize="0" autoLine="0" autoPict="0">
                <anchor moveWithCells="1">
                  <from>
                    <xdr:col>81</xdr:col>
                    <xdr:colOff>419100</xdr:colOff>
                    <xdr:row>20</xdr:row>
                    <xdr:rowOff>123825</xdr:rowOff>
                  </from>
                  <to>
                    <xdr:col>82</xdr:col>
                    <xdr:colOff>295275</xdr:colOff>
                    <xdr:row>22</xdr:row>
                    <xdr:rowOff>38100</xdr:rowOff>
                  </to>
                </anchor>
              </controlPr>
            </control>
          </mc:Choice>
        </mc:AlternateContent>
        <mc:AlternateContent xmlns:mc="http://schemas.openxmlformats.org/markup-compatibility/2006">
          <mc:Choice Requires="x14">
            <control shapeId="322587" r:id="rId13" name="Drop Down 1051">
              <controlPr defaultSize="0" autoLine="0" autoPict="0">
                <anchor moveWithCells="1">
                  <from>
                    <xdr:col>89</xdr:col>
                    <xdr:colOff>419100</xdr:colOff>
                    <xdr:row>20</xdr:row>
                    <xdr:rowOff>123825</xdr:rowOff>
                  </from>
                  <to>
                    <xdr:col>90</xdr:col>
                    <xdr:colOff>295275</xdr:colOff>
                    <xdr:row>22</xdr:row>
                    <xdr:rowOff>38100</xdr:rowOff>
                  </to>
                </anchor>
              </controlPr>
            </control>
          </mc:Choice>
        </mc:AlternateContent>
        <mc:AlternateContent xmlns:mc="http://schemas.openxmlformats.org/markup-compatibility/2006">
          <mc:Choice Requires="x14">
            <control shapeId="322588" r:id="rId14" name="Drop Down 1052">
              <controlPr defaultSize="0" autoLine="0" autoPict="0">
                <anchor moveWithCells="1">
                  <from>
                    <xdr:col>97</xdr:col>
                    <xdr:colOff>419100</xdr:colOff>
                    <xdr:row>20</xdr:row>
                    <xdr:rowOff>123825</xdr:rowOff>
                  </from>
                  <to>
                    <xdr:col>98</xdr:col>
                    <xdr:colOff>295275</xdr:colOff>
                    <xdr:row>22</xdr:row>
                    <xdr:rowOff>38100</xdr:rowOff>
                  </to>
                </anchor>
              </controlPr>
            </control>
          </mc:Choice>
        </mc:AlternateContent>
        <mc:AlternateContent xmlns:mc="http://schemas.openxmlformats.org/markup-compatibility/2006">
          <mc:Choice Requires="x14">
            <control shapeId="322589" r:id="rId15" name="Drop Down 1053">
              <controlPr defaultSize="0" autoLine="0" autoPict="0">
                <anchor moveWithCells="1">
                  <from>
                    <xdr:col>81</xdr:col>
                    <xdr:colOff>438150</xdr:colOff>
                    <xdr:row>33</xdr:row>
                    <xdr:rowOff>114300</xdr:rowOff>
                  </from>
                  <to>
                    <xdr:col>82</xdr:col>
                    <xdr:colOff>314325</xdr:colOff>
                    <xdr:row>35</xdr:row>
                    <xdr:rowOff>28575</xdr:rowOff>
                  </to>
                </anchor>
              </controlPr>
            </control>
          </mc:Choice>
        </mc:AlternateContent>
        <mc:AlternateContent xmlns:mc="http://schemas.openxmlformats.org/markup-compatibility/2006">
          <mc:Choice Requires="x14">
            <control shapeId="322591" r:id="rId16" name="Drop Down 1055">
              <controlPr defaultSize="0" autoLine="0" autoPict="0">
                <anchor moveWithCells="1">
                  <from>
                    <xdr:col>89</xdr:col>
                    <xdr:colOff>438150</xdr:colOff>
                    <xdr:row>33</xdr:row>
                    <xdr:rowOff>114300</xdr:rowOff>
                  </from>
                  <to>
                    <xdr:col>90</xdr:col>
                    <xdr:colOff>314325</xdr:colOff>
                    <xdr:row>35</xdr:row>
                    <xdr:rowOff>28575</xdr:rowOff>
                  </to>
                </anchor>
              </controlPr>
            </control>
          </mc:Choice>
        </mc:AlternateContent>
        <mc:AlternateContent xmlns:mc="http://schemas.openxmlformats.org/markup-compatibility/2006">
          <mc:Choice Requires="x14">
            <control shapeId="322593" r:id="rId17" name="Drop Down 1057">
              <controlPr defaultSize="0" autoLine="0" autoPict="0">
                <anchor moveWithCells="1">
                  <from>
                    <xdr:col>97</xdr:col>
                    <xdr:colOff>438150</xdr:colOff>
                    <xdr:row>33</xdr:row>
                    <xdr:rowOff>114300</xdr:rowOff>
                  </from>
                  <to>
                    <xdr:col>98</xdr:col>
                    <xdr:colOff>314325</xdr:colOff>
                    <xdr:row>35</xdr:row>
                    <xdr:rowOff>28575</xdr:rowOff>
                  </to>
                </anchor>
              </controlPr>
            </control>
          </mc:Choice>
        </mc:AlternateContent>
        <mc:AlternateContent xmlns:mc="http://schemas.openxmlformats.org/markup-compatibility/2006">
          <mc:Choice Requires="x14">
            <control shapeId="322594" r:id="rId18" name="Drop Down 1058">
              <controlPr defaultSize="0" autoLine="0" autoPict="0">
                <anchor moveWithCells="1">
                  <from>
                    <xdr:col>105</xdr:col>
                    <xdr:colOff>419100</xdr:colOff>
                    <xdr:row>20</xdr:row>
                    <xdr:rowOff>123825</xdr:rowOff>
                  </from>
                  <to>
                    <xdr:col>106</xdr:col>
                    <xdr:colOff>285750</xdr:colOff>
                    <xdr:row>22</xdr:row>
                    <xdr:rowOff>38100</xdr:rowOff>
                  </to>
                </anchor>
              </controlPr>
            </control>
          </mc:Choice>
        </mc:AlternateContent>
        <mc:AlternateContent xmlns:mc="http://schemas.openxmlformats.org/markup-compatibility/2006">
          <mc:Choice Requires="x14">
            <control shapeId="322595" r:id="rId19" name="Drop Down 1059">
              <controlPr defaultSize="0" autoLine="0" autoPict="0">
                <anchor moveWithCells="1">
                  <from>
                    <xdr:col>113</xdr:col>
                    <xdr:colOff>419100</xdr:colOff>
                    <xdr:row>20</xdr:row>
                    <xdr:rowOff>123825</xdr:rowOff>
                  </from>
                  <to>
                    <xdr:col>114</xdr:col>
                    <xdr:colOff>295275</xdr:colOff>
                    <xdr:row>22</xdr:row>
                    <xdr:rowOff>38100</xdr:rowOff>
                  </to>
                </anchor>
              </controlPr>
            </control>
          </mc:Choice>
        </mc:AlternateContent>
        <mc:AlternateContent xmlns:mc="http://schemas.openxmlformats.org/markup-compatibility/2006">
          <mc:Choice Requires="x14">
            <control shapeId="322596" r:id="rId20" name="Drop Down 1060">
              <controlPr defaultSize="0" autoLine="0" autoPict="0">
                <anchor moveWithCells="1">
                  <from>
                    <xdr:col>121</xdr:col>
                    <xdr:colOff>419100</xdr:colOff>
                    <xdr:row>20</xdr:row>
                    <xdr:rowOff>123825</xdr:rowOff>
                  </from>
                  <to>
                    <xdr:col>122</xdr:col>
                    <xdr:colOff>295275</xdr:colOff>
                    <xdr:row>22</xdr:row>
                    <xdr:rowOff>38100</xdr:rowOff>
                  </to>
                </anchor>
              </controlPr>
            </control>
          </mc:Choice>
        </mc:AlternateContent>
        <mc:AlternateContent xmlns:mc="http://schemas.openxmlformats.org/markup-compatibility/2006">
          <mc:Choice Requires="x14">
            <control shapeId="322597" r:id="rId21" name="Drop Down 1061">
              <controlPr defaultSize="0" autoLine="0" autoPict="0">
                <anchor moveWithCells="1">
                  <from>
                    <xdr:col>113</xdr:col>
                    <xdr:colOff>419100</xdr:colOff>
                    <xdr:row>33</xdr:row>
                    <xdr:rowOff>114300</xdr:rowOff>
                  </from>
                  <to>
                    <xdr:col>114</xdr:col>
                    <xdr:colOff>295275</xdr:colOff>
                    <xdr:row>35</xdr:row>
                    <xdr:rowOff>28575</xdr:rowOff>
                  </to>
                </anchor>
              </controlPr>
            </control>
          </mc:Choice>
        </mc:AlternateContent>
        <mc:AlternateContent xmlns:mc="http://schemas.openxmlformats.org/markup-compatibility/2006">
          <mc:Choice Requires="x14">
            <control shapeId="322599" r:id="rId22" name="Drop Down 1063">
              <controlPr defaultSize="0" autoLine="0" autoPict="0">
                <anchor moveWithCells="1">
                  <from>
                    <xdr:col>129</xdr:col>
                    <xdr:colOff>419100</xdr:colOff>
                    <xdr:row>33</xdr:row>
                    <xdr:rowOff>123825</xdr:rowOff>
                  </from>
                  <to>
                    <xdr:col>130</xdr:col>
                    <xdr:colOff>295275</xdr:colOff>
                    <xdr:row>35</xdr:row>
                    <xdr:rowOff>38100</xdr:rowOff>
                  </to>
                </anchor>
              </controlPr>
            </control>
          </mc:Choice>
        </mc:AlternateContent>
        <mc:AlternateContent xmlns:mc="http://schemas.openxmlformats.org/markup-compatibility/2006">
          <mc:Choice Requires="x14">
            <control shapeId="322600" r:id="rId23" name="Drop Down 1064">
              <controlPr defaultSize="0" autoLine="0" autoPict="0">
                <anchor moveWithCells="1">
                  <from>
                    <xdr:col>137</xdr:col>
                    <xdr:colOff>419100</xdr:colOff>
                    <xdr:row>33</xdr:row>
                    <xdr:rowOff>123825</xdr:rowOff>
                  </from>
                  <to>
                    <xdr:col>138</xdr:col>
                    <xdr:colOff>295275</xdr:colOff>
                    <xdr:row>35</xdr:row>
                    <xdr:rowOff>38100</xdr:rowOff>
                  </to>
                </anchor>
              </controlPr>
            </control>
          </mc:Choice>
        </mc:AlternateContent>
        <mc:AlternateContent xmlns:mc="http://schemas.openxmlformats.org/markup-compatibility/2006">
          <mc:Choice Requires="x14">
            <control shapeId="322601" r:id="rId24" name="Drop Down 1065">
              <controlPr defaultSize="0" autoLine="0" autoPict="0">
                <anchor moveWithCells="1">
                  <from>
                    <xdr:col>113</xdr:col>
                    <xdr:colOff>419100</xdr:colOff>
                    <xdr:row>69</xdr:row>
                    <xdr:rowOff>114300</xdr:rowOff>
                  </from>
                  <to>
                    <xdr:col>114</xdr:col>
                    <xdr:colOff>295275</xdr:colOff>
                    <xdr:row>71</xdr:row>
                    <xdr:rowOff>28575</xdr:rowOff>
                  </to>
                </anchor>
              </controlPr>
            </control>
          </mc:Choice>
        </mc:AlternateContent>
        <mc:AlternateContent xmlns:mc="http://schemas.openxmlformats.org/markup-compatibility/2006">
          <mc:Choice Requires="x14">
            <control shapeId="322602" r:id="rId25" name="Drop Down 1066">
              <controlPr defaultSize="0" autoLine="0" autoPict="0">
                <anchor moveWithCells="1">
                  <from>
                    <xdr:col>121</xdr:col>
                    <xdr:colOff>419100</xdr:colOff>
                    <xdr:row>69</xdr:row>
                    <xdr:rowOff>123825</xdr:rowOff>
                  </from>
                  <to>
                    <xdr:col>122</xdr:col>
                    <xdr:colOff>295275</xdr:colOff>
                    <xdr:row>71</xdr:row>
                    <xdr:rowOff>38100</xdr:rowOff>
                  </to>
                </anchor>
              </controlPr>
            </control>
          </mc:Choice>
        </mc:AlternateContent>
        <mc:AlternateContent xmlns:mc="http://schemas.openxmlformats.org/markup-compatibility/2006">
          <mc:Choice Requires="x14">
            <control shapeId="322603" r:id="rId26" name="Drop Down 1067">
              <controlPr defaultSize="0" autoLine="0" autoPict="0">
                <anchor moveWithCells="1">
                  <from>
                    <xdr:col>129</xdr:col>
                    <xdr:colOff>419100</xdr:colOff>
                    <xdr:row>69</xdr:row>
                    <xdr:rowOff>123825</xdr:rowOff>
                  </from>
                  <to>
                    <xdr:col>130</xdr:col>
                    <xdr:colOff>295275</xdr:colOff>
                    <xdr:row>71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9" tint="-0.249977111117893"/>
    <pageSetUpPr autoPageBreaks="0"/>
  </sheetPr>
  <dimension ref="A1:AC93"/>
  <sheetViews>
    <sheetView showZeros="0" showOutlineSymbols="0" zoomScaleNormal="50" zoomScaleSheetLayoutView="50" workbookViewId="0">
      <selection activeCell="Q1" sqref="Q1"/>
    </sheetView>
  </sheetViews>
  <sheetFormatPr baseColWidth="10" defaultColWidth="10.7109375" defaultRowHeight="11.25" customHeight="1"/>
  <cols>
    <col min="1" max="1" width="10.7109375" style="287" customWidth="1"/>
    <col min="2" max="3" width="6.42578125" style="287" customWidth="1"/>
    <col min="4" max="9" width="10.7109375" style="287" customWidth="1"/>
    <col min="10" max="10" width="17.85546875" style="287" customWidth="1"/>
    <col min="11" max="12" width="6.42578125" style="287" customWidth="1"/>
    <col min="13" max="16384" width="10.7109375" style="287"/>
  </cols>
  <sheetData>
    <row r="1" spans="1:26" ht="11.25" customHeight="1">
      <c r="A1" s="287" t="str">
        <f>Umse!B11</f>
        <v>1.2.</v>
      </c>
    </row>
    <row r="2" spans="1:26" ht="15" customHeight="1">
      <c r="B2" s="663"/>
      <c r="C2" s="664"/>
      <c r="D2" s="664"/>
      <c r="E2" s="664"/>
      <c r="F2" s="664"/>
      <c r="G2" s="664"/>
      <c r="H2" s="664"/>
      <c r="I2" s="664"/>
      <c r="J2" s="664"/>
      <c r="K2" s="664"/>
      <c r="L2" s="664"/>
      <c r="M2" s="664"/>
      <c r="N2" s="664"/>
      <c r="O2" s="665"/>
      <c r="P2" s="665"/>
      <c r="Q2" s="288"/>
      <c r="R2" s="289"/>
    </row>
    <row r="3" spans="1:26" ht="3.75" customHeight="1"/>
    <row r="4" spans="1:26" ht="13.5" customHeight="1">
      <c r="D4" s="290"/>
      <c r="E4" s="291"/>
      <c r="H4" s="291"/>
      <c r="K4" s="666"/>
      <c r="L4" s="666"/>
      <c r="M4" s="666"/>
      <c r="N4" s="666"/>
      <c r="O4" s="666"/>
      <c r="P4" s="666"/>
    </row>
    <row r="5" spans="1:26" ht="13.5" customHeight="1">
      <c r="B5" s="292"/>
      <c r="C5" s="292"/>
      <c r="D5" s="293"/>
      <c r="E5" s="292"/>
      <c r="F5" s="667"/>
      <c r="G5" s="667"/>
      <c r="H5" s="293"/>
      <c r="I5" s="295"/>
      <c r="J5" s="296"/>
      <c r="K5" s="666"/>
      <c r="L5" s="666"/>
      <c r="M5" s="666"/>
      <c r="N5" s="666"/>
      <c r="O5" s="666"/>
      <c r="P5" s="666"/>
    </row>
    <row r="6" spans="1:26" ht="13.5" customHeight="1">
      <c r="I6" s="297"/>
      <c r="J6" s="298"/>
      <c r="K6" s="666"/>
      <c r="L6" s="666"/>
      <c r="M6" s="666"/>
      <c r="N6" s="666"/>
      <c r="O6" s="666"/>
      <c r="P6" s="666"/>
    </row>
    <row r="7" spans="1:26" s="299" customFormat="1" ht="3.75" customHeight="1">
      <c r="B7" s="300"/>
      <c r="C7" s="300"/>
      <c r="D7" s="301"/>
      <c r="E7" s="301"/>
      <c r="F7" s="301"/>
      <c r="G7" s="301"/>
      <c r="H7" s="301"/>
      <c r="I7" s="301"/>
      <c r="K7" s="302"/>
      <c r="L7" s="302"/>
      <c r="M7" s="303"/>
      <c r="N7" s="303"/>
      <c r="O7" s="303"/>
      <c r="P7" s="303"/>
      <c r="Q7" s="303"/>
      <c r="R7" s="303"/>
      <c r="U7" s="304"/>
      <c r="V7" s="304"/>
      <c r="W7" s="304"/>
      <c r="X7" s="304"/>
      <c r="Y7" s="304"/>
      <c r="Z7" s="304"/>
    </row>
    <row r="8" spans="1:26" s="299" customFormat="1" ht="3.75" customHeight="1">
      <c r="B8" s="301"/>
      <c r="C8" s="301"/>
      <c r="D8" s="301"/>
      <c r="E8" s="301"/>
      <c r="F8" s="301"/>
      <c r="G8" s="301"/>
      <c r="H8" s="301"/>
      <c r="I8" s="301"/>
      <c r="J8" s="305"/>
      <c r="K8" s="303"/>
      <c r="L8" s="303"/>
      <c r="M8" s="303"/>
      <c r="N8" s="303"/>
      <c r="O8" s="303"/>
      <c r="P8" s="303"/>
      <c r="Q8" s="303"/>
      <c r="R8" s="303"/>
      <c r="U8" s="304"/>
      <c r="V8" s="304"/>
      <c r="W8" s="304"/>
      <c r="X8" s="304"/>
      <c r="Y8" s="304"/>
      <c r="Z8" s="304"/>
    </row>
    <row r="9" spans="1:26" s="299" customFormat="1" ht="3.75" customHeight="1">
      <c r="B9" s="301"/>
      <c r="C9" s="301"/>
      <c r="D9" s="301"/>
      <c r="E9" s="301"/>
      <c r="F9" s="301"/>
      <c r="G9" s="301"/>
      <c r="H9" s="301"/>
      <c r="I9" s="301"/>
      <c r="J9" s="305"/>
      <c r="K9" s="303"/>
      <c r="L9" s="303"/>
      <c r="M9" s="303"/>
      <c r="N9" s="303"/>
      <c r="O9" s="303"/>
      <c r="P9" s="303"/>
      <c r="Q9" s="303"/>
      <c r="R9" s="303"/>
      <c r="U9" s="304"/>
      <c r="V9" s="304"/>
      <c r="W9" s="304"/>
      <c r="X9" s="304"/>
      <c r="Y9" s="304"/>
      <c r="Z9" s="304"/>
    </row>
    <row r="10" spans="1:26" ht="12.75" customHeight="1">
      <c r="B10" s="669" t="str">
        <f>K10</f>
        <v/>
      </c>
      <c r="C10" s="670"/>
      <c r="D10" s="670"/>
      <c r="E10" s="673" t="str">
        <f>IF(OR(Umse!$B$11="8.1.",Umse!$B$11="8.2.",Umse!$B$11="8.3.",Umse!$B$11="8.4."),"Stundenentgelt  ( Vollzeit )","")</f>
        <v/>
      </c>
      <c r="F10" s="673"/>
      <c r="G10" s="673"/>
      <c r="H10" s="661" t="str">
        <f>Q10</f>
        <v/>
      </c>
      <c r="I10" s="662"/>
      <c r="J10" s="294"/>
      <c r="K10" s="669" t="str">
        <f>IF(Kalk!$B$5=8,'AVH Ist'!A2,"")</f>
        <v/>
      </c>
      <c r="L10" s="670"/>
      <c r="M10" s="670"/>
      <c r="N10" s="673" t="str">
        <f>IF(OR(Umse!$B$11="8.1.",Umse!$B$11="8.2.",Umse!$B$11="8.3.",Umse!$B$11="8.4."),'AVH Ist'!M1&amp;" "&amp;'AVH Ist'!Q1,"")</f>
        <v/>
      </c>
      <c r="O10" s="673"/>
      <c r="P10" s="673"/>
      <c r="Q10" s="661" t="str">
        <f>IF(OR(Umse!$C$24=0,Umse!$B$11=0),"",IF(Kalk!$B$5=8,Umse!B36,""))</f>
        <v/>
      </c>
      <c r="R10" s="662"/>
    </row>
    <row r="11" spans="1:26" ht="22.5" customHeight="1">
      <c r="B11" s="302" t="str">
        <f>K11</f>
        <v/>
      </c>
      <c r="C11" s="306"/>
      <c r="D11" s="306" t="str">
        <f>M11</f>
        <v/>
      </c>
      <c r="E11" s="306" t="str">
        <f>N11</f>
        <v/>
      </c>
      <c r="F11" s="306" t="str">
        <f>O11</f>
        <v/>
      </c>
      <c r="G11" s="306" t="str">
        <f>P11</f>
        <v/>
      </c>
      <c r="H11" s="306" t="str">
        <f>Q11</f>
        <v/>
      </c>
      <c r="I11" s="306" t="str">
        <f>R11</f>
        <v/>
      </c>
      <c r="J11" s="307" t="str">
        <f>IF(Kalk!$B$5=8,'AVH Ist'!J2,"")</f>
        <v/>
      </c>
      <c r="K11" s="302" t="str">
        <f>IF(OR(Umse!$C$24=0,Umse!$B$11=0),"",IF(Kalk!$B$5=8,'AVH Ist'!K2,""))</f>
        <v/>
      </c>
      <c r="L11" s="306"/>
      <c r="M11" s="306" t="str">
        <f>IF(OR(Umse!$C$24=0,Umse!$B$11=0),"",IF(Kalk!$B$5=8,'AVH Ist'!M2,""))</f>
        <v/>
      </c>
      <c r="N11" s="306" t="str">
        <f>IF(OR(Umse!$C$24=0,Umse!$B$11=0),"",IF(Kalk!$B$5=8,'AVH Ist'!N2,""))</f>
        <v/>
      </c>
      <c r="O11" s="306" t="str">
        <f>IF(OR(Umse!$C$24=0,Umse!$B$11=0),"",IF(Kalk!$B$5=8,'AVH Ist'!O2,""))</f>
        <v/>
      </c>
      <c r="P11" s="306" t="str">
        <f>IF(OR(Umse!$C$24=0,Umse!$B$11=0),"",IF(Kalk!$B$5=8,'AVH Ist'!P2,""))</f>
        <v/>
      </c>
      <c r="Q11" s="306" t="str">
        <f>IF(OR(Umse!$C$24=0,Umse!$B$11=0),"",IF(Kalk!$B$5=8,'AVH Ist'!Q2,""))</f>
        <v/>
      </c>
      <c r="R11" s="306" t="str">
        <f>IF(OR(Umse!$C$24=0,Umse!$B$11=0),"",IF(Kalk!$B$5=8,'AVH Ist'!R2,""))</f>
        <v/>
      </c>
    </row>
    <row r="12" spans="1:26" ht="11.25" customHeight="1">
      <c r="B12" s="306" t="str">
        <f t="shared" ref="B12:C30" si="0">K12</f>
        <v/>
      </c>
      <c r="C12" s="306" t="str">
        <f t="shared" si="0"/>
        <v/>
      </c>
      <c r="D12" s="308">
        <f>IF(Kalk!$B$5=8,'AVH Ist'!D3,0)</f>
        <v>0</v>
      </c>
      <c r="E12" s="308">
        <f>IF(Kalk!$B$5=8,'AVH Ist'!E3,0)</f>
        <v>0</v>
      </c>
      <c r="F12" s="308">
        <f>IF(Kalk!$B$5=8,'AVH Ist'!F3,0)</f>
        <v>0</v>
      </c>
      <c r="G12" s="308">
        <f>IF(Kalk!$B$5=8,'AVH Ist'!G3,0)</f>
        <v>0</v>
      </c>
      <c r="H12" s="308">
        <f>IF(Kalk!$B$5=8,'AVH Ist'!H3,0)</f>
        <v>0</v>
      </c>
      <c r="I12" s="308">
        <f>IF(Kalk!$B$5=8,'AVH Ist'!I3,0)</f>
        <v>0</v>
      </c>
      <c r="J12" s="307" t="str">
        <f>IF(Kalk!$B$5=8,'AVH Ist'!J3,"")</f>
        <v/>
      </c>
      <c r="K12" s="306" t="str">
        <f>IF(OR(Umse!$C$24=0,Umse!$B$11=0),"",IF(Kalk!$B$5=8,'AVH Ist'!K3,""))</f>
        <v/>
      </c>
      <c r="L12" s="306" t="str">
        <f>IF(OR(Umse!$C$24=0,Umse!$B$11=0),"",IF(Kalk!$B$5=8,'AVH Ist'!L3,""))</f>
        <v/>
      </c>
      <c r="M12" s="308">
        <f>IF(OR(Umse!$C$24=0,Umse!$B$11=0),"",IF(Kalk!$B$5=8,'AVH Ist'!M3,0))</f>
        <v>0</v>
      </c>
      <c r="N12" s="308">
        <f>IF(OR(Umse!$C$24=0,Umse!$B$11=0),"",IF(Kalk!$B$5=8,'AVH Ist'!N3,0))</f>
        <v>0</v>
      </c>
      <c r="O12" s="308">
        <f>IF(OR(Umse!$C$24=0,Umse!$B$11=0),"",IF(Kalk!$B$5=8,'AVH Ist'!O3,0))</f>
        <v>0</v>
      </c>
      <c r="P12" s="308">
        <f>IF(OR(Umse!$C$24=0,Umse!$B$11=0),"",IF(Kalk!$B$5=8,'AVH Ist'!P3,0))</f>
        <v>0</v>
      </c>
      <c r="Q12" s="308">
        <f>IF(OR(Umse!$C$24=0,Umse!$B$11=0),"",IF(Kalk!$B$5=8,'AVH Ist'!Q3,0))</f>
        <v>0</v>
      </c>
      <c r="R12" s="308">
        <f>IF(OR(Umse!$C$24=0,Umse!$B$11=0),"",IF(Kalk!$B$5=8,'AVH Ist'!R3,0))</f>
        <v>0</v>
      </c>
    </row>
    <row r="13" spans="1:26" ht="11.25" customHeight="1">
      <c r="B13" s="306" t="str">
        <f t="shared" si="0"/>
        <v/>
      </c>
      <c r="C13" s="306" t="str">
        <f t="shared" si="0"/>
        <v/>
      </c>
      <c r="D13" s="308">
        <f>IF(Kalk!$B$5=8,'AVH Ist'!D4,0)</f>
        <v>0</v>
      </c>
      <c r="E13" s="308">
        <f>IF(Kalk!$B$5=8,'AVH Ist'!E4,0)</f>
        <v>0</v>
      </c>
      <c r="F13" s="308">
        <f>IF(Kalk!$B$5=8,'AVH Ist'!F4,0)</f>
        <v>0</v>
      </c>
      <c r="G13" s="308">
        <f>IF(Kalk!$B$5=8,'AVH Ist'!G4,0)</f>
        <v>0</v>
      </c>
      <c r="H13" s="308">
        <f>IF(Kalk!$B$5=8,'AVH Ist'!H4,0)</f>
        <v>0</v>
      </c>
      <c r="I13" s="308">
        <f>IF(Kalk!$B$5=8,'AVH Ist'!I4,0)</f>
        <v>0</v>
      </c>
      <c r="J13" s="307" t="str">
        <f>IF(Kalk!$B$5=8,'AVH Ist'!J4,"")</f>
        <v/>
      </c>
      <c r="K13" s="306" t="str">
        <f>IF(OR(Umse!$C$24=0,Umse!$B$11=0),"",IF(Kalk!$B$5=8,'AVH Ist'!K4,""))</f>
        <v/>
      </c>
      <c r="L13" s="306" t="str">
        <f>IF(OR(Umse!$C$24=0,Umse!$B$11=0),"",IF(Kalk!$B$5=8,'AVH Ist'!L4,""))</f>
        <v/>
      </c>
      <c r="M13" s="308">
        <f>IF(OR(Umse!$C$24=0,Umse!$B$11=0),"",IF(Kalk!$B$5=8,'AVH Ist'!M4,0))</f>
        <v>0</v>
      </c>
      <c r="N13" s="308">
        <f>IF(OR(Umse!$C$24=0,Umse!$B$11=0),"",IF(Kalk!$B$5=8,'AVH Ist'!N4,0))</f>
        <v>0</v>
      </c>
      <c r="O13" s="308">
        <f>IF(OR(Umse!$C$24=0,Umse!$B$11=0),"",IF(Kalk!$B$5=8,'AVH Ist'!O4,0))</f>
        <v>0</v>
      </c>
      <c r="P13" s="308">
        <f>IF(OR(Umse!$C$24=0,Umse!$B$11=0),"",IF(Kalk!$B$5=8,'AVH Ist'!P4,0))</f>
        <v>0</v>
      </c>
      <c r="Q13" s="308">
        <f>IF(OR(Umse!$C$24=0,Umse!$B$11=0),"",IF(Kalk!$B$5=8,'AVH Ist'!Q4,0))</f>
        <v>0</v>
      </c>
      <c r="R13" s="308">
        <f>IF(OR(Umse!$C$24=0,Umse!$B$11=0),"",IF(Kalk!$B$5=8,'AVH Ist'!R4,0))</f>
        <v>0</v>
      </c>
    </row>
    <row r="14" spans="1:26" ht="11.25" customHeight="1">
      <c r="B14" s="306" t="str">
        <f t="shared" si="0"/>
        <v/>
      </c>
      <c r="C14" s="306" t="str">
        <f t="shared" si="0"/>
        <v/>
      </c>
      <c r="D14" s="308">
        <f>IF(Kalk!$B$5=8,'AVH Ist'!D5,0)</f>
        <v>0</v>
      </c>
      <c r="E14" s="308">
        <f>IF(Kalk!$B$5=8,'AVH Ist'!E5,0)</f>
        <v>0</v>
      </c>
      <c r="F14" s="308">
        <f>IF(Kalk!$B$5=8,'AVH Ist'!F5,0)</f>
        <v>0</v>
      </c>
      <c r="G14" s="308">
        <f>IF(Kalk!$B$5=8,'AVH Ist'!G5,0)</f>
        <v>0</v>
      </c>
      <c r="H14" s="308">
        <f>IF(Kalk!$B$5=8,'AVH Ist'!H5,0)</f>
        <v>0</v>
      </c>
      <c r="I14" s="308">
        <f>IF(Kalk!$B$5=8,'AVH Ist'!I5,0)</f>
        <v>0</v>
      </c>
      <c r="J14" s="307" t="str">
        <f>IF(Kalk!$B$5=8,'AVH Ist'!J5,"")</f>
        <v/>
      </c>
      <c r="K14" s="306" t="str">
        <f>IF(OR(Umse!$C$24=0,Umse!$B$11=0),"",IF(Kalk!$B$5=8,'AVH Ist'!K5,""))</f>
        <v/>
      </c>
      <c r="L14" s="306" t="str">
        <f>IF(OR(Umse!$C$24=0,Umse!$B$11=0),"",IF(Kalk!$B$5=8,'AVH Ist'!L5,""))</f>
        <v/>
      </c>
      <c r="M14" s="308">
        <f>IF(OR(Umse!$C$24=0,Umse!$B$11=0),"",IF(Kalk!$B$5=8,'AVH Ist'!M5,0))</f>
        <v>0</v>
      </c>
      <c r="N14" s="308">
        <f>IF(OR(Umse!$C$24=0,Umse!$B$11=0),"",IF(Kalk!$B$5=8,'AVH Ist'!N5,0))</f>
        <v>0</v>
      </c>
      <c r="O14" s="308">
        <f>IF(OR(Umse!$C$24=0,Umse!$B$11=0),"",IF(Kalk!$B$5=8,'AVH Ist'!O5,0))</f>
        <v>0</v>
      </c>
      <c r="P14" s="308">
        <f>IF(OR(Umse!$C$24=0,Umse!$B$11=0),"",IF(Kalk!$B$5=8,'AVH Ist'!P5,0))</f>
        <v>0</v>
      </c>
      <c r="Q14" s="308">
        <f>IF(OR(Umse!$C$24=0,Umse!$B$11=0),"",IF(Kalk!$B$5=8,'AVH Ist'!Q5,0))</f>
        <v>0</v>
      </c>
      <c r="R14" s="308">
        <f>IF(OR(Umse!$C$24=0,Umse!$B$11=0),"",IF(Kalk!$B$5=8,'AVH Ist'!R5,0))</f>
        <v>0</v>
      </c>
    </row>
    <row r="15" spans="1:26" ht="11.25" customHeight="1">
      <c r="B15" s="306" t="str">
        <f t="shared" si="0"/>
        <v/>
      </c>
      <c r="C15" s="306" t="str">
        <f t="shared" si="0"/>
        <v/>
      </c>
      <c r="D15" s="308">
        <f>IF(Kalk!$B$5=8,'AVH Ist'!D6,0)</f>
        <v>0</v>
      </c>
      <c r="E15" s="308">
        <f>IF(Kalk!$B$5=8,'AVH Ist'!E6,0)</f>
        <v>0</v>
      </c>
      <c r="F15" s="308">
        <f>IF(Kalk!$B$5=8,'AVH Ist'!F6,0)</f>
        <v>0</v>
      </c>
      <c r="G15" s="308">
        <f>IF(Kalk!$B$5=8,'AVH Ist'!G6,0)</f>
        <v>0</v>
      </c>
      <c r="H15" s="308">
        <f>IF(Kalk!$B$5=8,'AVH Ist'!H6,0)</f>
        <v>0</v>
      </c>
      <c r="I15" s="308">
        <f>IF(Kalk!$B$5=8,'AVH Ist'!I6,0)</f>
        <v>0</v>
      </c>
      <c r="J15" s="307" t="str">
        <f>IF(Kalk!$B$5=8,'AVH Ist'!J6,"")</f>
        <v/>
      </c>
      <c r="K15" s="306" t="str">
        <f>IF(OR(Umse!$C$24=0,Umse!$B$11=0),"",IF(Kalk!$B$5=8,'AVH Ist'!K6,""))</f>
        <v/>
      </c>
      <c r="L15" s="306" t="str">
        <f>IF(OR(Umse!$C$24=0,Umse!$B$11=0),"",IF(Kalk!$B$5=8,'AVH Ist'!L6,""))</f>
        <v/>
      </c>
      <c r="M15" s="308">
        <f>IF(OR(Umse!$C$24=0,Umse!$B$11=0),"",IF(Kalk!$B$5=8,'AVH Ist'!M6,0))</f>
        <v>0</v>
      </c>
      <c r="N15" s="308">
        <f>IF(OR(Umse!$C$24=0,Umse!$B$11=0),"",IF(Kalk!$B$5=8,'AVH Ist'!N6,0))</f>
        <v>0</v>
      </c>
      <c r="O15" s="308">
        <f>IF(OR(Umse!$C$24=0,Umse!$B$11=0),"",IF(Kalk!$B$5=8,'AVH Ist'!O6,0))</f>
        <v>0</v>
      </c>
      <c r="P15" s="308">
        <f>IF(OR(Umse!$C$24=0,Umse!$B$11=0),"",IF(Kalk!$B$5=8,'AVH Ist'!P6,0))</f>
        <v>0</v>
      </c>
      <c r="Q15" s="308">
        <f>IF(OR(Umse!$C$24=0,Umse!$B$11=0),"",IF(Kalk!$B$5=8,'AVH Ist'!Q6,0))</f>
        <v>0</v>
      </c>
      <c r="R15" s="308">
        <f>IF(OR(Umse!$C$24=0,Umse!$B$11=0),"",IF(Kalk!$B$5=8,'AVH Ist'!R6,0))</f>
        <v>0</v>
      </c>
    </row>
    <row r="16" spans="1:26" ht="11.25" customHeight="1">
      <c r="B16" s="306" t="str">
        <f t="shared" si="0"/>
        <v/>
      </c>
      <c r="C16" s="306" t="str">
        <f t="shared" si="0"/>
        <v/>
      </c>
      <c r="D16" s="308">
        <f>IF(Kalk!$B$5=8,'AVH Ist'!D7,0)</f>
        <v>0</v>
      </c>
      <c r="E16" s="308">
        <f>IF(Kalk!$B$5=8,'AVH Ist'!E7,0)</f>
        <v>0</v>
      </c>
      <c r="F16" s="308">
        <f>IF(Kalk!$B$5=8,'AVH Ist'!F7,0)</f>
        <v>0</v>
      </c>
      <c r="G16" s="308">
        <f>IF(Kalk!$B$5=8,'AVH Ist'!G7,0)</f>
        <v>0</v>
      </c>
      <c r="H16" s="308">
        <f>IF(Kalk!$B$5=8,'AVH Ist'!H7,0)</f>
        <v>0</v>
      </c>
      <c r="I16" s="308">
        <f>IF(Kalk!$B$5=8,'AVH Ist'!I7,0)</f>
        <v>0</v>
      </c>
      <c r="J16" s="307" t="str">
        <f>IF(Kalk!$B$5=8,'AVH Ist'!J7,"")</f>
        <v/>
      </c>
      <c r="K16" s="306" t="str">
        <f>IF(OR(Umse!$C$24=0,Umse!$B$11=0),"",IF(Kalk!$B$5=8,'AVH Ist'!K7,""))</f>
        <v/>
      </c>
      <c r="L16" s="306" t="str">
        <f>IF(OR(Umse!$C$24=0,Umse!$B$11=0),"",IF(Kalk!$B$5=8,'AVH Ist'!L7,""))</f>
        <v/>
      </c>
      <c r="M16" s="308">
        <f>IF(OR(Umse!$C$24=0,Umse!$B$11=0),"",IF(Kalk!$B$5=8,'AVH Ist'!M7,0))</f>
        <v>0</v>
      </c>
      <c r="N16" s="308">
        <f>IF(OR(Umse!$C$24=0,Umse!$B$11=0),"",IF(Kalk!$B$5=8,'AVH Ist'!N7,0))</f>
        <v>0</v>
      </c>
      <c r="O16" s="308">
        <f>IF(OR(Umse!$C$24=0,Umse!$B$11=0),"",IF(Kalk!$B$5=8,'AVH Ist'!O7,0))</f>
        <v>0</v>
      </c>
      <c r="P16" s="308">
        <f>IF(OR(Umse!$C$24=0,Umse!$B$11=0),"",IF(Kalk!$B$5=8,'AVH Ist'!P7,0))</f>
        <v>0</v>
      </c>
      <c r="Q16" s="308">
        <f>IF(OR(Umse!$C$24=0,Umse!$B$11=0),"",IF(Kalk!$B$5=8,'AVH Ist'!Q7,0))</f>
        <v>0</v>
      </c>
      <c r="R16" s="308">
        <f>IF(OR(Umse!$C$24=0,Umse!$B$11=0),"",IF(Kalk!$B$5=8,'AVH Ist'!R7,0))</f>
        <v>0</v>
      </c>
    </row>
    <row r="17" spans="2:29" ht="11.25" customHeight="1">
      <c r="B17" s="306" t="str">
        <f t="shared" si="0"/>
        <v/>
      </c>
      <c r="C17" s="306" t="str">
        <f t="shared" si="0"/>
        <v/>
      </c>
      <c r="D17" s="308">
        <f>IF(Kalk!$B$5=8,'AVH Ist'!D8,0)</f>
        <v>0</v>
      </c>
      <c r="E17" s="308">
        <f>IF(Kalk!$B$5=8,'AVH Ist'!E8,0)</f>
        <v>0</v>
      </c>
      <c r="F17" s="308">
        <f>IF(Kalk!$B$5=8,'AVH Ist'!F8,0)</f>
        <v>0</v>
      </c>
      <c r="G17" s="308">
        <f>IF(Kalk!$B$5=8,'AVH Ist'!G8,0)</f>
        <v>0</v>
      </c>
      <c r="H17" s="308">
        <f>IF(Kalk!$B$5=8,'AVH Ist'!H8,0)</f>
        <v>0</v>
      </c>
      <c r="I17" s="308">
        <f>IF(Kalk!$B$5=8,'AVH Ist'!I8,0)</f>
        <v>0</v>
      </c>
      <c r="J17" s="307" t="str">
        <f>IF(Kalk!$B$5=8,'AVH Ist'!J8,"")</f>
        <v/>
      </c>
      <c r="K17" s="306" t="str">
        <f>IF(OR(Umse!$C$24=0,Umse!$B$11=0),"",IF(Kalk!$B$5=8,'AVH Ist'!K8,""))</f>
        <v/>
      </c>
      <c r="L17" s="306" t="str">
        <f>IF(OR(Umse!$C$24=0,Umse!$B$11=0),"",IF(Kalk!$B$5=8,'AVH Ist'!L8,""))</f>
        <v/>
      </c>
      <c r="M17" s="308">
        <f>IF(OR(Umse!$C$24=0,Umse!$B$11=0),"",IF(Kalk!$B$5=8,'AVH Ist'!M8,0))</f>
        <v>0</v>
      </c>
      <c r="N17" s="308">
        <f>IF(OR(Umse!$C$24=0,Umse!$B$11=0),"",IF(Kalk!$B$5=8,'AVH Ist'!N8,0))</f>
        <v>0</v>
      </c>
      <c r="O17" s="308">
        <f>IF(OR(Umse!$C$24=0,Umse!$B$11=0),"",IF(Kalk!$B$5=8,'AVH Ist'!O8,0))</f>
        <v>0</v>
      </c>
      <c r="P17" s="308">
        <f>IF(OR(Umse!$C$24=0,Umse!$B$11=0),"",IF(Kalk!$B$5=8,'AVH Ist'!P8,0))</f>
        <v>0</v>
      </c>
      <c r="Q17" s="308">
        <f>IF(OR(Umse!$C$24=0,Umse!$B$11=0),"",IF(Kalk!$B$5=8,'AVH Ist'!Q8,0))</f>
        <v>0</v>
      </c>
      <c r="R17" s="308">
        <f>IF(OR(Umse!$C$24=0,Umse!$B$11=0),"",IF(Kalk!$B$5=8,'AVH Ist'!R8,0))</f>
        <v>0</v>
      </c>
    </row>
    <row r="18" spans="2:29" ht="11.25" customHeight="1">
      <c r="B18" s="306" t="str">
        <f t="shared" si="0"/>
        <v/>
      </c>
      <c r="C18" s="306" t="str">
        <f t="shared" si="0"/>
        <v/>
      </c>
      <c r="D18" s="308">
        <f>IF(Kalk!$B$5=8,'AVH Ist'!D9,0)</f>
        <v>0</v>
      </c>
      <c r="E18" s="308">
        <f>IF(Kalk!$B$5=8,'AVH Ist'!E9,0)</f>
        <v>0</v>
      </c>
      <c r="F18" s="308">
        <f>IF(Kalk!$B$5=8,'AVH Ist'!F9,0)</f>
        <v>0</v>
      </c>
      <c r="G18" s="308">
        <f>IF(Kalk!$B$5=8,'AVH Ist'!G9,0)</f>
        <v>0</v>
      </c>
      <c r="H18" s="308">
        <f>IF(Kalk!$B$5=8,'AVH Ist'!H9,0)</f>
        <v>0</v>
      </c>
      <c r="I18" s="308">
        <f>IF(Kalk!$B$5=8,'AVH Ist'!I9,0)</f>
        <v>0</v>
      </c>
      <c r="J18" s="307" t="str">
        <f>IF(Kalk!$B$5=8,'AVH Ist'!J9,"")</f>
        <v/>
      </c>
      <c r="K18" s="306" t="str">
        <f>IF(OR(Umse!$C$24=0,Umse!$B$11=0),"",IF(Kalk!$B$5=8,'AVH Ist'!K9,""))</f>
        <v/>
      </c>
      <c r="L18" s="306" t="str">
        <f>IF(OR(Umse!$C$24=0,Umse!$B$11=0),"",IF(Kalk!$B$5=8,'AVH Ist'!L9,""))</f>
        <v/>
      </c>
      <c r="M18" s="308">
        <f>IF(OR(Umse!$C$24=0,Umse!$B$11=0),"",IF(Kalk!$B$5=8,'AVH Ist'!M9,0))</f>
        <v>0</v>
      </c>
      <c r="N18" s="308">
        <f>IF(OR(Umse!$C$24=0,Umse!$B$11=0),"",IF(Kalk!$B$5=8,'AVH Ist'!N9,0))</f>
        <v>0</v>
      </c>
      <c r="O18" s="308">
        <f>IF(OR(Umse!$C$24=0,Umse!$B$11=0),"",IF(Kalk!$B$5=8,'AVH Ist'!O9,0))</f>
        <v>0</v>
      </c>
      <c r="P18" s="308">
        <f>IF(OR(Umse!$C$24=0,Umse!$B$11=0),"",IF(Kalk!$B$5=8,'AVH Ist'!P9,0))</f>
        <v>0</v>
      </c>
      <c r="Q18" s="308">
        <f>IF(OR(Umse!$C$24=0,Umse!$B$11=0),"",IF(Kalk!$B$5=8,'AVH Ist'!Q9,0))</f>
        <v>0</v>
      </c>
      <c r="R18" s="308">
        <f>IF(OR(Umse!$C$24=0,Umse!$B$11=0),"",IF(Kalk!$B$5=8,'AVH Ist'!R9,0))</f>
        <v>0</v>
      </c>
    </row>
    <row r="19" spans="2:29" ht="11.25" customHeight="1">
      <c r="B19" s="306" t="str">
        <f t="shared" si="0"/>
        <v/>
      </c>
      <c r="C19" s="306" t="str">
        <f t="shared" si="0"/>
        <v/>
      </c>
      <c r="D19" s="308">
        <f>IF(Kalk!$B$5=8,'AVH Ist'!D10,0)</f>
        <v>0</v>
      </c>
      <c r="E19" s="308">
        <f>IF(Kalk!$B$5=8,'AVH Ist'!E10,0)</f>
        <v>0</v>
      </c>
      <c r="F19" s="308">
        <f>IF(Kalk!$B$5=8,'AVH Ist'!F10,0)</f>
        <v>0</v>
      </c>
      <c r="G19" s="308">
        <f>IF(Kalk!$B$5=8,'AVH Ist'!G10,0)</f>
        <v>0</v>
      </c>
      <c r="H19" s="308">
        <f>IF(Kalk!$B$5=8,'AVH Ist'!H10,0)</f>
        <v>0</v>
      </c>
      <c r="I19" s="308">
        <f>IF(Kalk!$B$5=8,'AVH Ist'!I10,0)</f>
        <v>0</v>
      </c>
      <c r="J19" s="307" t="str">
        <f>IF(Kalk!$B$5=8,'AVH Ist'!J10,"")</f>
        <v/>
      </c>
      <c r="K19" s="306" t="str">
        <f>IF(OR(Umse!$C$24=0,Umse!$B$11=0),"",IF(Kalk!$B$5=8,'AVH Ist'!K10,""))</f>
        <v/>
      </c>
      <c r="L19" s="306" t="str">
        <f>IF(OR(Umse!$C$24=0,Umse!$B$11=0),"",IF(Kalk!$B$5=8,'AVH Ist'!L10,""))</f>
        <v/>
      </c>
      <c r="M19" s="308">
        <f>IF(OR(Umse!$C$24=0,Umse!$B$11=0),"",IF(Kalk!$B$5=8,'AVH Ist'!M10,0))</f>
        <v>0</v>
      </c>
      <c r="N19" s="308">
        <f>IF(OR(Umse!$C$24=0,Umse!$B$11=0),"",IF(Kalk!$B$5=8,'AVH Ist'!N10,0))</f>
        <v>0</v>
      </c>
      <c r="O19" s="308">
        <f>IF(OR(Umse!$C$24=0,Umse!$B$11=0),"",IF(Kalk!$B$5=8,'AVH Ist'!O10,0))</f>
        <v>0</v>
      </c>
      <c r="P19" s="308">
        <f>IF(OR(Umse!$C$24=0,Umse!$B$11=0),"",IF(Kalk!$B$5=8,'AVH Ist'!P10,0))</f>
        <v>0</v>
      </c>
      <c r="Q19" s="308">
        <f>IF(OR(Umse!$C$24=0,Umse!$B$11=0),"",IF(Kalk!$B$5=8,'AVH Ist'!Q10,0))</f>
        <v>0</v>
      </c>
      <c r="R19" s="308">
        <f>IF(OR(Umse!$C$24=0,Umse!$B$11=0),"",IF(Kalk!$B$5=8,'AVH Ist'!R10,0))</f>
        <v>0</v>
      </c>
    </row>
    <row r="20" spans="2:29" ht="11.25" customHeight="1">
      <c r="B20" s="306" t="str">
        <f t="shared" si="0"/>
        <v/>
      </c>
      <c r="C20" s="306" t="str">
        <f t="shared" si="0"/>
        <v/>
      </c>
      <c r="D20" s="308">
        <f>IF(Kalk!$B$5=8,'AVH Ist'!D11,0)</f>
        <v>0</v>
      </c>
      <c r="E20" s="308">
        <f>IF(Kalk!$B$5=8,'AVH Ist'!E11,0)</f>
        <v>0</v>
      </c>
      <c r="F20" s="308">
        <f>IF(Kalk!$B$5=8,'AVH Ist'!F11,0)</f>
        <v>0</v>
      </c>
      <c r="G20" s="308">
        <f>IF(Kalk!$B$5=8,'AVH Ist'!G11,0)</f>
        <v>0</v>
      </c>
      <c r="H20" s="308">
        <f>IF(Kalk!$B$5=8,'AVH Ist'!H11,0)</f>
        <v>0</v>
      </c>
      <c r="I20" s="308">
        <f>IF(Kalk!$B$5=8,'AVH Ist'!I11,0)</f>
        <v>0</v>
      </c>
      <c r="J20" s="307" t="str">
        <f>IF(Kalk!$B$5=8,'AVH Ist'!J11,"")</f>
        <v/>
      </c>
      <c r="K20" s="306" t="str">
        <f>IF(OR(Umse!$C$24=0,Umse!$B$11=0),"",IF(Kalk!$B$5=8,'AVH Ist'!K11,""))</f>
        <v/>
      </c>
      <c r="L20" s="306" t="str">
        <f>IF(OR(Umse!$C$24=0,Umse!$B$11=0),"",IF(Kalk!$B$5=8,'AVH Ist'!L11,""))</f>
        <v/>
      </c>
      <c r="M20" s="308">
        <f>IF(OR(Umse!$C$24=0,Umse!$B$11=0),"",IF(Kalk!$B$5=8,'AVH Ist'!M11,0))</f>
        <v>0</v>
      </c>
      <c r="N20" s="308">
        <f>IF(OR(Umse!$C$24=0,Umse!$B$11=0),"",IF(Kalk!$B$5=8,'AVH Ist'!N11,0))</f>
        <v>0</v>
      </c>
      <c r="O20" s="308">
        <f>IF(OR(Umse!$C$24=0,Umse!$B$11=0),"",IF(Kalk!$B$5=8,'AVH Ist'!O11,0))</f>
        <v>0</v>
      </c>
      <c r="P20" s="308">
        <f>IF(OR(Umse!$C$24=0,Umse!$B$11=0),"",IF(Kalk!$B$5=8,'AVH Ist'!P11,0))</f>
        <v>0</v>
      </c>
      <c r="Q20" s="308">
        <f>IF(OR(Umse!$C$24=0,Umse!$B$11=0),"",IF(Kalk!$B$5=8,'AVH Ist'!Q11,0))</f>
        <v>0</v>
      </c>
      <c r="R20" s="308">
        <f>IF(OR(Umse!$C$24=0,Umse!$B$11=0),"",IF(Kalk!$B$5=8,'AVH Ist'!R11,0))</f>
        <v>0</v>
      </c>
    </row>
    <row r="21" spans="2:29" ht="11.25" customHeight="1">
      <c r="B21" s="306" t="str">
        <f t="shared" si="0"/>
        <v/>
      </c>
      <c r="C21" s="306" t="str">
        <f t="shared" si="0"/>
        <v/>
      </c>
      <c r="D21" s="308">
        <f>IF(Kalk!$B$5=8,'AVH Ist'!D12,0)</f>
        <v>0</v>
      </c>
      <c r="E21" s="308">
        <f>IF(Kalk!$B$5=8,'AVH Ist'!E12,0)</f>
        <v>0</v>
      </c>
      <c r="F21" s="308">
        <f>IF(Kalk!$B$5=8,'AVH Ist'!F12,0)</f>
        <v>0</v>
      </c>
      <c r="G21" s="308">
        <f>IF(Kalk!$B$5=8,'AVH Ist'!G12,0)</f>
        <v>0</v>
      </c>
      <c r="H21" s="308">
        <f>IF(Kalk!$B$5=8,'AVH Ist'!H12,0)</f>
        <v>0</v>
      </c>
      <c r="I21" s="308">
        <f>IF(Kalk!$B$5=8,'AVH Ist'!I12,0)</f>
        <v>0</v>
      </c>
      <c r="J21" s="307" t="str">
        <f>IF(Kalk!$B$5=8,'AVH Ist'!J12,"")</f>
        <v/>
      </c>
      <c r="K21" s="306" t="str">
        <f>IF(OR(Umse!$C$24=0,Umse!$B$11=0),"",IF(Kalk!$B$5=8,'AVH Ist'!K12,""))</f>
        <v/>
      </c>
      <c r="L21" s="306" t="str">
        <f>IF(OR(Umse!$C$24=0,Umse!$B$11=0),"",IF(Kalk!$B$5=8,'AVH Ist'!L12,""))</f>
        <v/>
      </c>
      <c r="M21" s="308">
        <f>IF(OR(Umse!$C$24=0,Umse!$B$11=0),"",IF(Kalk!$B$5=8,'AVH Ist'!M12,0))</f>
        <v>0</v>
      </c>
      <c r="N21" s="308">
        <f>IF(OR(Umse!$C$24=0,Umse!$B$11=0),"",IF(Kalk!$B$5=8,'AVH Ist'!N12,0))</f>
        <v>0</v>
      </c>
      <c r="O21" s="308">
        <f>IF(OR(Umse!$C$24=0,Umse!$B$11=0),"",IF(Kalk!$B$5=8,'AVH Ist'!O12,0))</f>
        <v>0</v>
      </c>
      <c r="P21" s="308">
        <f>IF(OR(Umse!$C$24=0,Umse!$B$11=0),"",IF(Kalk!$B$5=8,'AVH Ist'!P12,0))</f>
        <v>0</v>
      </c>
      <c r="Q21" s="308">
        <f>IF(OR(Umse!$C$24=0,Umse!$B$11=0),"",IF(Kalk!$B$5=8,'AVH Ist'!Q12,0))</f>
        <v>0</v>
      </c>
      <c r="R21" s="308">
        <f>IF(OR(Umse!$C$24=0,Umse!$B$11=0),"",IF(Kalk!$B$5=8,'AVH Ist'!R12,0))</f>
        <v>0</v>
      </c>
    </row>
    <row r="22" spans="2:29" ht="11.25" customHeight="1">
      <c r="B22" s="306" t="str">
        <f t="shared" si="0"/>
        <v/>
      </c>
      <c r="C22" s="306" t="str">
        <f t="shared" si="0"/>
        <v/>
      </c>
      <c r="D22" s="308">
        <f>IF(Kalk!$B$5=8,'AVH Ist'!D13,0)</f>
        <v>0</v>
      </c>
      <c r="E22" s="308">
        <f>IF(Kalk!$B$5=8,'AVH Ist'!E13,0)</f>
        <v>0</v>
      </c>
      <c r="F22" s="308">
        <f>IF(Kalk!$B$5=8,'AVH Ist'!F13,0)</f>
        <v>0</v>
      </c>
      <c r="G22" s="308">
        <f>IF(Kalk!$B$5=8,'AVH Ist'!G13,0)</f>
        <v>0</v>
      </c>
      <c r="H22" s="308">
        <f>IF(Kalk!$B$5=8,'AVH Ist'!H13,0)</f>
        <v>0</v>
      </c>
      <c r="I22" s="308">
        <f>IF(Kalk!$B$5=8,'AVH Ist'!I13,0)</f>
        <v>0</v>
      </c>
      <c r="J22" s="307" t="str">
        <f>IF(Kalk!$B$5=8,'AVH Ist'!J13,"")</f>
        <v/>
      </c>
      <c r="K22" s="306" t="str">
        <f>IF(OR(Umse!$C$24=0,Umse!$B$11=0),"",IF(Kalk!$B$5=8,'AVH Ist'!K13,""))</f>
        <v/>
      </c>
      <c r="L22" s="306" t="str">
        <f>IF(OR(Umse!$C$24=0,Umse!$B$11=0),"",IF(Kalk!$B$5=8,'AVH Ist'!L13,""))</f>
        <v/>
      </c>
      <c r="M22" s="308">
        <f>IF(OR(Umse!$C$24=0,Umse!$B$11=0),"",IF(Kalk!$B$5=8,'AVH Ist'!M13,0))</f>
        <v>0</v>
      </c>
      <c r="N22" s="308">
        <f>IF(OR(Umse!$C$24=0,Umse!$B$11=0),"",IF(Kalk!$B$5=8,'AVH Ist'!N13,0))</f>
        <v>0</v>
      </c>
      <c r="O22" s="308">
        <f>IF(OR(Umse!$C$24=0,Umse!$B$11=0),"",IF(Kalk!$B$5=8,'AVH Ist'!O13,0))</f>
        <v>0</v>
      </c>
      <c r="P22" s="308">
        <f>IF(OR(Umse!$C$24=0,Umse!$B$11=0),"",IF(Kalk!$B$5=8,'AVH Ist'!P13,0))</f>
        <v>0</v>
      </c>
      <c r="Q22" s="308">
        <f>IF(OR(Umse!$C$24=0,Umse!$B$11=0),"",IF(Kalk!$B$5=8,'AVH Ist'!Q13,0))</f>
        <v>0</v>
      </c>
      <c r="R22" s="308">
        <f>IF(OR(Umse!$C$24=0,Umse!$B$11=0),"",IF(Kalk!$B$5=8,'AVH Ist'!R13,0))</f>
        <v>0</v>
      </c>
    </row>
    <row r="23" spans="2:29" ht="11.25" customHeight="1">
      <c r="B23" s="306" t="str">
        <f t="shared" si="0"/>
        <v/>
      </c>
      <c r="C23" s="306" t="str">
        <f t="shared" si="0"/>
        <v/>
      </c>
      <c r="D23" s="308">
        <f>IF(Kalk!$B$5=8,'AVH Ist'!D14,0)</f>
        <v>0</v>
      </c>
      <c r="E23" s="308">
        <f>IF(Kalk!$B$5=8,'AVH Ist'!E14,0)</f>
        <v>0</v>
      </c>
      <c r="F23" s="308">
        <f>IF(Kalk!$B$5=8,'AVH Ist'!F14,0)</f>
        <v>0</v>
      </c>
      <c r="G23" s="308">
        <f>IF(Kalk!$B$5=8,'AVH Ist'!G14,0)</f>
        <v>0</v>
      </c>
      <c r="H23" s="308">
        <f>IF(Kalk!$B$5=8,'AVH Ist'!H14,0)</f>
        <v>0</v>
      </c>
      <c r="I23" s="308">
        <f>IF(Kalk!$B$5=8,'AVH Ist'!I14,0)</f>
        <v>0</v>
      </c>
      <c r="J23" s="307" t="str">
        <f>IF(Kalk!$B$5=8,'AVH Ist'!J14,"")</f>
        <v/>
      </c>
      <c r="K23" s="306" t="str">
        <f>IF(OR(Umse!$C$24=0,Umse!$B$11=0),"",IF(Kalk!$B$5=8,'AVH Ist'!K14,""))</f>
        <v/>
      </c>
      <c r="L23" s="306" t="str">
        <f>IF(OR(Umse!$C$24=0,Umse!$B$11=0),"",IF(Kalk!$B$5=8,'AVH Ist'!L14,""))</f>
        <v/>
      </c>
      <c r="M23" s="308">
        <f>IF(OR(Umse!$C$24=0,Umse!$B$11=0),"",IF(Kalk!$B$5=8,'AVH Ist'!M14,0))</f>
        <v>0</v>
      </c>
      <c r="N23" s="308">
        <f>IF(OR(Umse!$C$24=0,Umse!$B$11=0),"",IF(Kalk!$B$5=8,'AVH Ist'!N14,0))</f>
        <v>0</v>
      </c>
      <c r="O23" s="308">
        <f>IF(OR(Umse!$C$24=0,Umse!$B$11=0),"",IF(Kalk!$B$5=8,'AVH Ist'!O14,0))</f>
        <v>0</v>
      </c>
      <c r="P23" s="308">
        <f>IF(OR(Umse!$C$24=0,Umse!$B$11=0),"",IF(Kalk!$B$5=8,'AVH Ist'!P14,0))</f>
        <v>0</v>
      </c>
      <c r="Q23" s="308">
        <f>IF(OR(Umse!$C$24=0,Umse!$B$11=0),"",IF(Kalk!$B$5=8,'AVH Ist'!Q14,0))</f>
        <v>0</v>
      </c>
      <c r="R23" s="308">
        <f>IF(OR(Umse!$C$24=0,Umse!$B$11=0),"",IF(Kalk!$B$5=8,'AVH Ist'!R14,0))</f>
        <v>0</v>
      </c>
    </row>
    <row r="24" spans="2:29" ht="11.25" customHeight="1">
      <c r="B24" s="306" t="str">
        <f t="shared" si="0"/>
        <v/>
      </c>
      <c r="C24" s="306" t="str">
        <f t="shared" si="0"/>
        <v/>
      </c>
      <c r="D24" s="308">
        <f>IF(Kalk!$B$5=8,'AVH Ist'!D15,0)</f>
        <v>0</v>
      </c>
      <c r="E24" s="308">
        <f>IF(Kalk!$B$5=8,'AVH Ist'!E15,0)</f>
        <v>0</v>
      </c>
      <c r="F24" s="308">
        <f>IF(Kalk!$B$5=8,'AVH Ist'!F15,0)</f>
        <v>0</v>
      </c>
      <c r="G24" s="308">
        <f>IF(Kalk!$B$5=8,'AVH Ist'!G15,0)</f>
        <v>0</v>
      </c>
      <c r="H24" s="308">
        <f>IF(Kalk!$B$5=8,'AVH Ist'!H15,0)</f>
        <v>0</v>
      </c>
      <c r="I24" s="308">
        <f>IF(Kalk!$B$5=8,'AVH Ist'!I15,0)</f>
        <v>0</v>
      </c>
      <c r="J24" s="307" t="str">
        <f>IF(Kalk!$B$5=8,'AVH Ist'!J15,"")</f>
        <v/>
      </c>
      <c r="K24" s="306" t="str">
        <f>IF(OR(Umse!$C$24=0,Umse!$B$11=0),"",IF(Kalk!$B$5=8,'AVH Ist'!K15,""))</f>
        <v/>
      </c>
      <c r="L24" s="306" t="str">
        <f>IF(OR(Umse!$C$24=0,Umse!$B$11=0),"",IF(Kalk!$B$5=8,'AVH Ist'!L15,""))</f>
        <v/>
      </c>
      <c r="M24" s="308">
        <f>IF(OR(Umse!$C$24=0,Umse!$B$11=0),"",IF(Kalk!$B$5=8,'AVH Ist'!M15,0))</f>
        <v>0</v>
      </c>
      <c r="N24" s="308">
        <f>IF(OR(Umse!$C$24=0,Umse!$B$11=0),"",IF(Kalk!$B$5=8,'AVH Ist'!N15,0))</f>
        <v>0</v>
      </c>
      <c r="O24" s="308">
        <f>IF(OR(Umse!$C$24=0,Umse!$B$11=0),"",IF(Kalk!$B$5=8,'AVH Ist'!O15,0))</f>
        <v>0</v>
      </c>
      <c r="P24" s="308">
        <f>IF(OR(Umse!$C$24=0,Umse!$B$11=0),"",IF(Kalk!$B$5=8,'AVH Ist'!P15,0))</f>
        <v>0</v>
      </c>
      <c r="Q24" s="308">
        <f>IF(OR(Umse!$C$24=0,Umse!$B$11=0),"",IF(Kalk!$B$5=8,'AVH Ist'!Q15,0))</f>
        <v>0</v>
      </c>
      <c r="R24" s="308">
        <f>IF(OR(Umse!$C$24=0,Umse!$B$11=0),"",IF(Kalk!$B$5=8,'AVH Ist'!R15,0))</f>
        <v>0</v>
      </c>
    </row>
    <row r="25" spans="2:29" ht="11.25" customHeight="1">
      <c r="B25" s="306" t="str">
        <f t="shared" si="0"/>
        <v/>
      </c>
      <c r="C25" s="306" t="str">
        <f t="shared" si="0"/>
        <v/>
      </c>
      <c r="D25" s="308">
        <f>IF(Kalk!$B$5=8,'AVH Ist'!D16,0)</f>
        <v>0</v>
      </c>
      <c r="E25" s="308">
        <f>IF(Kalk!$B$5=8,'AVH Ist'!E16,0)</f>
        <v>0</v>
      </c>
      <c r="F25" s="308">
        <f>IF(Kalk!$B$5=8,'AVH Ist'!F16,0)</f>
        <v>0</v>
      </c>
      <c r="G25" s="308">
        <f>IF(Kalk!$B$5=8,'AVH Ist'!G16,0)</f>
        <v>0</v>
      </c>
      <c r="H25" s="308">
        <f>IF(Kalk!$B$5=8,'AVH Ist'!H16,0)</f>
        <v>0</v>
      </c>
      <c r="I25" s="308">
        <f>IF(Kalk!$B$5=8,'AVH Ist'!I16,0)</f>
        <v>0</v>
      </c>
      <c r="J25" s="307" t="str">
        <f>IF(Kalk!$B$5=8,'AVH Ist'!J16,"")</f>
        <v/>
      </c>
      <c r="K25" s="306" t="str">
        <f>IF(OR(Umse!$C$24=0,Umse!$B$11=0),"",IF(Kalk!$B$5=8,'AVH Ist'!K16,""))</f>
        <v/>
      </c>
      <c r="L25" s="306" t="str">
        <f>IF(OR(Umse!$C$24=0,Umse!$B$11=0),"",IF(Kalk!$B$5=8,'AVH Ist'!L16,""))</f>
        <v/>
      </c>
      <c r="M25" s="308">
        <f>IF(OR(Umse!$C$24=0,Umse!$B$11=0),"",IF(Kalk!$B$5=8,'AVH Ist'!M16,0))</f>
        <v>0</v>
      </c>
      <c r="N25" s="308">
        <f>IF(OR(Umse!$C$24=0,Umse!$B$11=0),"",IF(Kalk!$B$5=8,'AVH Ist'!N16,0))</f>
        <v>0</v>
      </c>
      <c r="O25" s="308">
        <f>IF(OR(Umse!$C$24=0,Umse!$B$11=0),"",IF(Kalk!$B$5=8,'AVH Ist'!O16,0))</f>
        <v>0</v>
      </c>
      <c r="P25" s="308">
        <f>IF(OR(Umse!$C$24=0,Umse!$B$11=0),"",IF(Kalk!$B$5=8,'AVH Ist'!P16,0))</f>
        <v>0</v>
      </c>
      <c r="Q25" s="308">
        <f>IF(OR(Umse!$C$24=0,Umse!$B$11=0),"",IF(Kalk!$B$5=8,'AVH Ist'!Q16,0))</f>
        <v>0</v>
      </c>
      <c r="R25" s="308">
        <f>IF(OR(Umse!$C$24=0,Umse!$B$11=0),"",IF(Kalk!$B$5=8,'AVH Ist'!R16,0))</f>
        <v>0</v>
      </c>
    </row>
    <row r="26" spans="2:29" ht="11.25" customHeight="1">
      <c r="B26" s="306" t="str">
        <f t="shared" si="0"/>
        <v/>
      </c>
      <c r="C26" s="306" t="str">
        <f t="shared" si="0"/>
        <v/>
      </c>
      <c r="D26" s="308">
        <f>IF(Kalk!$B$5=8,'AVH Ist'!D17,0)</f>
        <v>0</v>
      </c>
      <c r="E26" s="308">
        <f>IF(Kalk!$B$5=8,'AVH Ist'!E17,0)</f>
        <v>0</v>
      </c>
      <c r="F26" s="308">
        <f>IF(Kalk!$B$5=8,'AVH Ist'!F17,0)</f>
        <v>0</v>
      </c>
      <c r="G26" s="308">
        <f>IF(Kalk!$B$5=8,'AVH Ist'!G17,0)</f>
        <v>0</v>
      </c>
      <c r="H26" s="308">
        <f>IF(Kalk!$B$5=8,'AVH Ist'!H17,0)</f>
        <v>0</v>
      </c>
      <c r="I26" s="308">
        <f>IF(Kalk!$B$5=8,'AVH Ist'!I17,0)</f>
        <v>0</v>
      </c>
      <c r="J26" s="307" t="str">
        <f>IF(Kalk!$B$5=8,'AVH Ist'!J17,"")</f>
        <v/>
      </c>
      <c r="K26" s="306" t="str">
        <f>IF(OR(Umse!$C$24=0,Umse!$B$11=0),"",IF(Kalk!$B$5=8,'AVH Ist'!K17,""))</f>
        <v/>
      </c>
      <c r="L26" s="306" t="str">
        <f>IF(OR(Umse!$C$24=0,Umse!$B$11=0),"",IF(Kalk!$B$5=8,'AVH Ist'!L17,""))</f>
        <v/>
      </c>
      <c r="M26" s="308">
        <f>IF(OR(Umse!$C$24=0,Umse!$B$11=0),"",IF(Kalk!$B$5=8,'AVH Ist'!M17,0))</f>
        <v>0</v>
      </c>
      <c r="N26" s="308">
        <f>IF(OR(Umse!$C$24=0,Umse!$B$11=0),"",IF(Kalk!$B$5=8,'AVH Ist'!N17,0))</f>
        <v>0</v>
      </c>
      <c r="O26" s="308">
        <f>IF(OR(Umse!$C$24=0,Umse!$B$11=0),"",IF(Kalk!$B$5=8,'AVH Ist'!O17,0))</f>
        <v>0</v>
      </c>
      <c r="P26" s="308">
        <f>IF(OR(Umse!$C$24=0,Umse!$B$11=0),"",IF(Kalk!$B$5=8,'AVH Ist'!P17,0))</f>
        <v>0</v>
      </c>
      <c r="Q26" s="308">
        <f>IF(OR(Umse!$C$24=0,Umse!$B$11=0),"",IF(Kalk!$B$5=8,'AVH Ist'!Q17,0))</f>
        <v>0</v>
      </c>
      <c r="R26" s="308">
        <f>IF(OR(Umse!$C$24=0,Umse!$B$11=0),"",IF(Kalk!$B$5=8,'AVH Ist'!R17,0))</f>
        <v>0</v>
      </c>
      <c r="T26" s="299"/>
      <c r="U26" s="299"/>
      <c r="V26" s="299"/>
    </row>
    <row r="27" spans="2:29" ht="11.25" customHeight="1">
      <c r="B27" s="306" t="str">
        <f t="shared" si="0"/>
        <v/>
      </c>
      <c r="C27" s="306" t="str">
        <f t="shared" si="0"/>
        <v/>
      </c>
      <c r="D27" s="308">
        <f>IF(Kalk!$B$5=8,'AVH Ist'!D18,0)</f>
        <v>0</v>
      </c>
      <c r="E27" s="308">
        <f>IF(Kalk!$B$5=8,'AVH Ist'!E18,0)</f>
        <v>0</v>
      </c>
      <c r="F27" s="308">
        <f>IF(Kalk!$B$5=8,'AVH Ist'!F18,0)</f>
        <v>0</v>
      </c>
      <c r="G27" s="308">
        <f>IF(Kalk!$B$5=8,'AVH Ist'!G18,0)</f>
        <v>0</v>
      </c>
      <c r="H27" s="308">
        <f>IF(Kalk!$B$5=8,'AVH Ist'!H18,0)</f>
        <v>0</v>
      </c>
      <c r="I27" s="308">
        <f>IF(Kalk!$B$5=8,'AVH Ist'!I18,0)</f>
        <v>0</v>
      </c>
      <c r="J27" s="307" t="str">
        <f>IF(Kalk!$B$5=8,'AVH Ist'!J18,"")</f>
        <v/>
      </c>
      <c r="K27" s="306" t="str">
        <f>IF(OR(Umse!$C$24=0,Umse!$B$11=0),"",IF(Kalk!$B$5=8,'AVH Ist'!K18,""))</f>
        <v/>
      </c>
      <c r="L27" s="306" t="str">
        <f>IF(OR(Umse!$C$24=0,Umse!$B$11=0),"",IF(Kalk!$B$5=8,'AVH Ist'!L18,""))</f>
        <v/>
      </c>
      <c r="M27" s="308">
        <f>IF(OR(Umse!$C$24=0,Umse!$B$11=0),"",IF(Kalk!$B$5=8,'AVH Ist'!M18,0))</f>
        <v>0</v>
      </c>
      <c r="N27" s="308">
        <f>IF(OR(Umse!$C$24=0,Umse!$B$11=0),"",IF(Kalk!$B$5=8,'AVH Ist'!N18,0))</f>
        <v>0</v>
      </c>
      <c r="O27" s="308">
        <f>IF(OR(Umse!$C$24=0,Umse!$B$11=0),"",IF(Kalk!$B$5=8,'AVH Ist'!O18,0))</f>
        <v>0</v>
      </c>
      <c r="P27" s="308">
        <f>IF(OR(Umse!$C$24=0,Umse!$B$11=0),"",IF(Kalk!$B$5=8,'AVH Ist'!P18,0))</f>
        <v>0</v>
      </c>
      <c r="Q27" s="308">
        <f>IF(OR(Umse!$C$24=0,Umse!$B$11=0),"",IF(Kalk!$B$5=8,'AVH Ist'!Q18,0))</f>
        <v>0</v>
      </c>
      <c r="R27" s="308">
        <f>IF(OR(Umse!$C$24=0,Umse!$B$11=0),"",IF(Kalk!$B$5=8,'AVH Ist'!R18,0))</f>
        <v>0</v>
      </c>
      <c r="T27" s="299"/>
      <c r="U27" s="299"/>
      <c r="V27" s="299"/>
    </row>
    <row r="28" spans="2:29" ht="11.25" customHeight="1">
      <c r="B28" s="306" t="str">
        <f t="shared" si="0"/>
        <v/>
      </c>
      <c r="C28" s="306" t="str">
        <f t="shared" si="0"/>
        <v/>
      </c>
      <c r="D28" s="308">
        <f>IF(Kalk!$B$5=8,'AVH Ist'!D19,0)</f>
        <v>0</v>
      </c>
      <c r="E28" s="308">
        <f>IF(Kalk!$B$5=8,'AVH Ist'!E19,0)</f>
        <v>0</v>
      </c>
      <c r="F28" s="308">
        <f>IF(Kalk!$B$5=8,'AVH Ist'!F19,0)</f>
        <v>0</v>
      </c>
      <c r="G28" s="308">
        <f>IF(Kalk!$B$5=8,'AVH Ist'!G19,0)</f>
        <v>0</v>
      </c>
      <c r="H28" s="308">
        <f>IF(Kalk!$B$5=8,'AVH Ist'!H19,0)</f>
        <v>0</v>
      </c>
      <c r="I28" s="308">
        <f>IF(Kalk!$B$5=8,'AVH Ist'!I19,0)</f>
        <v>0</v>
      </c>
      <c r="J28" s="307" t="str">
        <f>IF(Kalk!$B$5=8,'AVH Ist'!J19,"")</f>
        <v/>
      </c>
      <c r="K28" s="306" t="str">
        <f>IF(OR(Umse!$C$24=0,Umse!$B$11=0),"",IF(Kalk!$B$5=8,'AVH Ist'!K19,""))</f>
        <v/>
      </c>
      <c r="L28" s="306" t="str">
        <f>IF(OR(Umse!$C$24=0,Umse!$B$11=0),"",IF(Kalk!$B$5=8,'AVH Ist'!L19,""))</f>
        <v/>
      </c>
      <c r="M28" s="308">
        <f>IF(OR(Umse!$C$24=0,Umse!$B$11=0),"",IF(Kalk!$B$5=8,'AVH Ist'!M19,0))</f>
        <v>0</v>
      </c>
      <c r="N28" s="308">
        <f>IF(OR(Umse!$C$24=0,Umse!$B$11=0),"",IF(Kalk!$B$5=8,'AVH Ist'!N19,0))</f>
        <v>0</v>
      </c>
      <c r="O28" s="308">
        <f>IF(OR(Umse!$C$24=0,Umse!$B$11=0),"",IF(Kalk!$B$5=8,'AVH Ist'!O19,0))</f>
        <v>0</v>
      </c>
      <c r="P28" s="308">
        <f>IF(OR(Umse!$C$24=0,Umse!$B$11=0),"",IF(Kalk!$B$5=8,'AVH Ist'!P19,0))</f>
        <v>0</v>
      </c>
      <c r="Q28" s="308">
        <f>IF(OR(Umse!$C$24=0,Umse!$B$11=0),"",IF(Kalk!$B$5=8,'AVH Ist'!Q19,0))</f>
        <v>0</v>
      </c>
      <c r="R28" s="308">
        <f>IF(OR(Umse!$C$24=0,Umse!$B$11=0),"",IF(Kalk!$B$5=8,'AVH Ist'!R19,0))</f>
        <v>0</v>
      </c>
      <c r="T28" s="299"/>
      <c r="U28" s="299"/>
      <c r="V28" s="299"/>
    </row>
    <row r="29" spans="2:29" ht="11.25" customHeight="1">
      <c r="B29" s="306" t="str">
        <f t="shared" si="0"/>
        <v/>
      </c>
      <c r="C29" s="306" t="str">
        <f t="shared" si="0"/>
        <v/>
      </c>
      <c r="D29" s="308">
        <f>IF(Kalk!$B$5=8,'AVH Ist'!D20,0)</f>
        <v>0</v>
      </c>
      <c r="E29" s="308">
        <f>IF(Kalk!$B$5=8,'AVH Ist'!E20,0)</f>
        <v>0</v>
      </c>
      <c r="F29" s="308">
        <f>IF(Kalk!$B$5=8,'AVH Ist'!F20,0)</f>
        <v>0</v>
      </c>
      <c r="G29" s="308">
        <f>IF(Kalk!$B$5=8,'AVH Ist'!G20,0)</f>
        <v>0</v>
      </c>
      <c r="H29" s="308">
        <f>IF(Kalk!$B$5=8,'AVH Ist'!H20,0)</f>
        <v>0</v>
      </c>
      <c r="I29" s="308">
        <f>IF(Kalk!$B$5=8,'AVH Ist'!I20,0)</f>
        <v>0</v>
      </c>
      <c r="J29" s="307" t="str">
        <f>IF(Kalk!$B$5=8,'AVH Ist'!J20,"")</f>
        <v/>
      </c>
      <c r="K29" s="306" t="str">
        <f>IF(OR(Umse!$C$24=0,Umse!$B$11=0),"",IF(Kalk!$B$5=8,'AVH Ist'!K20,""))</f>
        <v/>
      </c>
      <c r="L29" s="306" t="str">
        <f>IF(OR(Umse!$C$24=0,Umse!$B$11=0),"",IF(Kalk!$B$5=8,'AVH Ist'!L20,""))</f>
        <v/>
      </c>
      <c r="M29" s="308">
        <f>IF(OR(Umse!$C$24=0,Umse!$B$11=0),"",IF(Kalk!$B$5=8,'AVH Ist'!M20,0))</f>
        <v>0</v>
      </c>
      <c r="N29" s="308">
        <f>IF(OR(Umse!$C$24=0,Umse!$B$11=0),"",IF(Kalk!$B$5=8,'AVH Ist'!N20,0))</f>
        <v>0</v>
      </c>
      <c r="O29" s="308">
        <f>IF(OR(Umse!$C$24=0,Umse!$B$11=0),"",IF(Kalk!$B$5=8,'AVH Ist'!O20,0))</f>
        <v>0</v>
      </c>
      <c r="P29" s="308">
        <f>IF(OR(Umse!$C$24=0,Umse!$B$11=0),"",IF(Kalk!$B$5=8,'AVH Ist'!P20,0))</f>
        <v>0</v>
      </c>
      <c r="Q29" s="308">
        <f>IF(OR(Umse!$C$24=0,Umse!$B$11=0),"",IF(Kalk!$B$5=8,'AVH Ist'!Q20,0))</f>
        <v>0</v>
      </c>
      <c r="R29" s="308">
        <f>IF(OR(Umse!$C$24=0,Umse!$B$11=0),"",IF(Kalk!$B$5=8,'AVH Ist'!R20,0))</f>
        <v>0</v>
      </c>
      <c r="S29" s="299"/>
      <c r="T29" s="299"/>
      <c r="U29" s="299"/>
      <c r="V29" s="299"/>
      <c r="W29" s="309"/>
      <c r="X29" s="299"/>
      <c r="Y29" s="299"/>
      <c r="Z29" s="299"/>
      <c r="AA29" s="299"/>
      <c r="AB29" s="299"/>
      <c r="AC29" s="299"/>
    </row>
    <row r="30" spans="2:29" ht="11.25" customHeight="1">
      <c r="B30" s="306" t="str">
        <f t="shared" si="0"/>
        <v/>
      </c>
      <c r="C30" s="306" t="str">
        <f t="shared" si="0"/>
        <v/>
      </c>
      <c r="D30" s="308">
        <f>IF(Kalk!$B$5=8,'AVH Ist'!D21,0)</f>
        <v>0</v>
      </c>
      <c r="E30" s="308">
        <f>IF(Kalk!$B$5=8,'AVH Ist'!E21,0)</f>
        <v>0</v>
      </c>
      <c r="F30" s="308">
        <f>IF(Kalk!$B$5=8,'AVH Ist'!F21,0)</f>
        <v>0</v>
      </c>
      <c r="G30" s="308">
        <f>IF(Kalk!$B$5=8,'AVH Ist'!G21,0)</f>
        <v>0</v>
      </c>
      <c r="H30" s="308">
        <f>IF(Kalk!$B$5=8,'AVH Ist'!H21,0)</f>
        <v>0</v>
      </c>
      <c r="I30" s="308">
        <f>IF(Kalk!$B$5=8,'AVH Ist'!I21,0)</f>
        <v>0</v>
      </c>
      <c r="J30" s="307" t="str">
        <f>IF(Kalk!$B$5=8,'AVH Ist'!J21,"")</f>
        <v/>
      </c>
      <c r="K30" s="306" t="str">
        <f>IF(OR(Umse!$C$24=0,Umse!$B$11=0),"",IF(Kalk!$B$5=8,'AVH Ist'!K21,""))</f>
        <v/>
      </c>
      <c r="L30" s="306" t="str">
        <f>IF(OR(Umse!$C$24=0,Umse!$B$11=0),"",IF(Kalk!$B$5=8,'AVH Ist'!L21,""))</f>
        <v/>
      </c>
      <c r="M30" s="308">
        <f>IF(OR(Umse!$C$24=0,Umse!$B$11=0),"",IF(Kalk!$B$5=8,'AVH Ist'!M21,0))</f>
        <v>0</v>
      </c>
      <c r="N30" s="308">
        <f>IF(OR(Umse!$C$24=0,Umse!$B$11=0),"",IF(Kalk!$B$5=8,'AVH Ist'!N21,0))</f>
        <v>0</v>
      </c>
      <c r="O30" s="308">
        <f>IF(OR(Umse!$C$24=0,Umse!$B$11=0),"",IF(Kalk!$B$5=8,'AVH Ist'!O21,0))</f>
        <v>0</v>
      </c>
      <c r="P30" s="308">
        <f>IF(OR(Umse!$C$24=0,Umse!$B$11=0),"",IF(Kalk!$B$5=8,'AVH Ist'!P21,0))</f>
        <v>0</v>
      </c>
      <c r="Q30" s="308">
        <f>IF(OR(Umse!$C$24=0,Umse!$B$11=0),"",IF(Kalk!$B$5=8,'AVH Ist'!Q21,0))</f>
        <v>0</v>
      </c>
      <c r="R30" s="308">
        <f>IF(OR(Umse!$C$24=0,Umse!$B$11=0),"",IF(Kalk!$B$5=8,'AVH Ist'!R21,0))</f>
        <v>0</v>
      </c>
      <c r="S30" s="299"/>
      <c r="T30" s="299"/>
      <c r="U30" s="299"/>
      <c r="V30" s="299"/>
      <c r="W30" s="309"/>
      <c r="X30" s="299"/>
      <c r="Y30" s="299"/>
      <c r="Z30" s="299"/>
      <c r="AA30" s="299"/>
      <c r="AB30" s="299"/>
      <c r="AC30" s="299"/>
    </row>
    <row r="31" spans="2:29" ht="11.25" customHeight="1">
      <c r="S31" s="299"/>
      <c r="T31" s="299"/>
      <c r="U31" s="299"/>
      <c r="V31" s="299"/>
      <c r="W31" s="309"/>
      <c r="X31" s="299"/>
      <c r="Y31" s="299"/>
      <c r="Z31" s="299"/>
      <c r="AA31" s="299"/>
      <c r="AB31" s="299"/>
      <c r="AC31" s="299"/>
    </row>
    <row r="32" spans="2:29" ht="11.25" customHeight="1">
      <c r="B32" s="306"/>
      <c r="C32" s="306"/>
      <c r="D32" s="308"/>
      <c r="E32" s="308"/>
      <c r="F32" s="308"/>
      <c r="G32" s="308"/>
      <c r="H32" s="308"/>
      <c r="I32" s="308"/>
      <c r="J32" s="307"/>
      <c r="K32" s="306"/>
      <c r="L32" s="306"/>
      <c r="M32" s="308"/>
      <c r="N32" s="308"/>
      <c r="O32" s="308"/>
      <c r="P32" s="308"/>
      <c r="Q32" s="308"/>
      <c r="R32" s="308"/>
      <c r="S32" s="299"/>
      <c r="T32" s="299"/>
      <c r="U32" s="299"/>
      <c r="V32" s="299"/>
      <c r="W32" s="309"/>
      <c r="X32" s="299"/>
      <c r="Y32" s="299"/>
      <c r="Z32" s="299"/>
      <c r="AA32" s="299"/>
      <c r="AB32" s="299"/>
      <c r="AC32" s="299"/>
    </row>
    <row r="33" spans="2:29" ht="11.25" customHeight="1">
      <c r="B33" s="306"/>
      <c r="C33" s="306"/>
      <c r="D33" s="308"/>
      <c r="E33" s="308"/>
      <c r="F33" s="308"/>
      <c r="G33" s="308"/>
      <c r="H33" s="308"/>
      <c r="I33" s="308"/>
      <c r="J33" s="307"/>
      <c r="K33" s="306"/>
      <c r="L33" s="306"/>
      <c r="M33" s="308"/>
      <c r="N33" s="308"/>
      <c r="O33" s="308"/>
      <c r="P33" s="308"/>
      <c r="Q33" s="308"/>
      <c r="R33" s="308"/>
      <c r="S33" s="299"/>
      <c r="T33" s="299"/>
      <c r="U33" s="299"/>
      <c r="V33" s="299"/>
      <c r="W33" s="309"/>
      <c r="X33" s="299"/>
      <c r="Y33" s="299"/>
      <c r="Z33" s="299"/>
      <c r="AA33" s="299"/>
      <c r="AB33" s="299"/>
      <c r="AC33" s="299"/>
    </row>
    <row r="34" spans="2:29" ht="3.75" customHeight="1">
      <c r="S34" s="299"/>
      <c r="T34" s="299"/>
      <c r="U34" s="299"/>
      <c r="V34" s="299"/>
      <c r="W34" s="309"/>
      <c r="X34" s="299"/>
      <c r="Y34" s="299"/>
      <c r="Z34" s="299"/>
      <c r="AA34" s="299"/>
      <c r="AB34" s="299"/>
      <c r="AC34" s="299"/>
    </row>
    <row r="35" spans="2:29" ht="12.75" customHeight="1">
      <c r="B35" s="669" t="str">
        <f>K10</f>
        <v/>
      </c>
      <c r="C35" s="670"/>
      <c r="D35" s="670"/>
      <c r="E35" s="673" t="str">
        <f>IF(OR(Umse!$B$11="8.1.",Umse!$B$11="8.2.",Umse!$B$11="8.3.",Umse!$B$11="8.4."),"Zeitzuschläge","")</f>
        <v/>
      </c>
      <c r="F35" s="673"/>
      <c r="G35" s="673"/>
      <c r="H35" s="661" t="str">
        <f>H10</f>
        <v/>
      </c>
      <c r="I35" s="662"/>
      <c r="J35" s="307"/>
      <c r="K35" s="310"/>
      <c r="L35" s="311"/>
      <c r="M35" s="312"/>
      <c r="N35" s="312"/>
      <c r="O35" s="312"/>
      <c r="P35" s="312"/>
      <c r="Q35" s="312"/>
      <c r="R35" s="313"/>
      <c r="S35" s="299"/>
      <c r="T35" s="299"/>
      <c r="U35" s="299"/>
      <c r="V35" s="299"/>
      <c r="W35" s="309"/>
      <c r="X35" s="299"/>
      <c r="Y35" s="299"/>
      <c r="Z35" s="299"/>
      <c r="AA35" s="299"/>
      <c r="AB35" s="299"/>
      <c r="AC35" s="299"/>
    </row>
    <row r="36" spans="2:29" ht="12.75" customHeight="1">
      <c r="B36" s="674" t="str">
        <f>IF(OR(Umse!$C$24=0,Umse!$B$11=0),"",IF(Kalk!$B$5=8,'AVH Ist'!B26,""))</f>
        <v/>
      </c>
      <c r="C36" s="675"/>
      <c r="D36" s="671" t="str">
        <f>IF(OR(Umse!$C$24=0,Umse!$B$11=0),"",IF(Kalk!$B$5=8,'AVH Ist'!D26,""))</f>
        <v/>
      </c>
      <c r="E36" s="671" t="str">
        <f>IF(OR(Umse!$C$24=0,Umse!$B$11=0),"",IF(Kalk!$B$5=8,'AVH Ist'!E26,""))</f>
        <v/>
      </c>
      <c r="F36" s="671" t="str">
        <f>IF(OR(Umse!$C$24=0,Umse!$B$11=0),"",IF(Kalk!$B$5=8,'AVH Ist'!F26,""))</f>
        <v/>
      </c>
      <c r="G36" s="671" t="str">
        <f>IF(OR(Umse!$C$24=0,Umse!$B$11=0),"",IF(Kalk!$B$5=8,'AVH Ist'!G26,""))</f>
        <v/>
      </c>
      <c r="H36" s="671" t="str">
        <f>IF(OR(Umse!$C$24=0,Umse!$B$11=0),"",IF(Kalk!$B$5=8,'AVH Ist'!H26,""))</f>
        <v/>
      </c>
      <c r="I36" s="671" t="str">
        <f>IF(OR(Umse!$C$24=0,Umse!$B$11=0),"",IF(Kalk!$B$5=8,'AVH Ist'!I26,""))</f>
        <v/>
      </c>
      <c r="J36" s="307"/>
      <c r="K36" s="668"/>
      <c r="L36" s="668"/>
      <c r="M36" s="668"/>
      <c r="N36" s="668"/>
      <c r="O36" s="668"/>
      <c r="P36" s="668"/>
      <c r="Q36" s="668"/>
      <c r="R36" s="668"/>
      <c r="S36" s="299"/>
      <c r="T36" s="299"/>
      <c r="U36" s="299"/>
      <c r="V36" s="299"/>
      <c r="W36" s="309"/>
      <c r="X36" s="299"/>
      <c r="Y36" s="299"/>
      <c r="Z36" s="299"/>
      <c r="AA36" s="299"/>
      <c r="AB36" s="299"/>
      <c r="AC36" s="299"/>
    </row>
    <row r="37" spans="2:29" ht="12.75" customHeight="1">
      <c r="B37" s="672"/>
      <c r="C37" s="676"/>
      <c r="D37" s="672"/>
      <c r="E37" s="672"/>
      <c r="F37" s="672"/>
      <c r="G37" s="672"/>
      <c r="H37" s="672"/>
      <c r="I37" s="672"/>
      <c r="J37" s="307"/>
      <c r="K37" s="668"/>
      <c r="L37" s="668"/>
      <c r="M37" s="668"/>
      <c r="N37" s="668"/>
      <c r="O37" s="668"/>
      <c r="P37" s="668"/>
      <c r="Q37" s="668"/>
      <c r="R37" s="668"/>
      <c r="S37" s="299"/>
      <c r="T37" s="299"/>
      <c r="U37" s="299"/>
      <c r="V37" s="299"/>
      <c r="W37" s="309"/>
      <c r="X37" s="299"/>
      <c r="Y37" s="299"/>
      <c r="Z37" s="299"/>
      <c r="AA37" s="299"/>
      <c r="AB37" s="299"/>
      <c r="AC37" s="299"/>
    </row>
    <row r="38" spans="2:29" ht="12.75" customHeight="1">
      <c r="B38" s="672"/>
      <c r="C38" s="676"/>
      <c r="D38" s="672"/>
      <c r="E38" s="672"/>
      <c r="F38" s="672"/>
      <c r="G38" s="672"/>
      <c r="H38" s="672"/>
      <c r="I38" s="672"/>
      <c r="J38" s="307"/>
      <c r="K38" s="668"/>
      <c r="L38" s="668"/>
      <c r="M38" s="668"/>
      <c r="N38" s="668"/>
      <c r="O38" s="668"/>
      <c r="P38" s="668"/>
      <c r="Q38" s="668"/>
      <c r="R38" s="668"/>
      <c r="S38" s="299"/>
      <c r="T38" s="299"/>
      <c r="U38" s="299"/>
      <c r="V38" s="299"/>
      <c r="W38" s="309"/>
      <c r="X38" s="299"/>
      <c r="Y38" s="299"/>
      <c r="Z38" s="299"/>
      <c r="AA38" s="299"/>
      <c r="AB38" s="299"/>
      <c r="AC38" s="299"/>
    </row>
    <row r="39" spans="2:29" ht="12.75" customHeight="1">
      <c r="B39" s="672"/>
      <c r="C39" s="676"/>
      <c r="D39" s="672"/>
      <c r="E39" s="672"/>
      <c r="F39" s="672"/>
      <c r="G39" s="672"/>
      <c r="H39" s="672"/>
      <c r="I39" s="672"/>
      <c r="J39" s="307"/>
      <c r="K39" s="668"/>
      <c r="L39" s="668"/>
      <c r="M39" s="668"/>
      <c r="N39" s="668"/>
      <c r="O39" s="668"/>
      <c r="P39" s="668"/>
      <c r="Q39" s="668"/>
      <c r="R39" s="668"/>
      <c r="S39" s="299"/>
      <c r="T39" s="299"/>
      <c r="U39" s="299"/>
      <c r="V39" s="299"/>
      <c r="W39" s="299"/>
      <c r="X39" s="299"/>
      <c r="Y39" s="299"/>
      <c r="Z39" s="299"/>
      <c r="AA39" s="299"/>
      <c r="AB39" s="299"/>
      <c r="AC39" s="299"/>
    </row>
    <row r="40" spans="2:29" ht="12.75" customHeight="1">
      <c r="B40" s="672"/>
      <c r="C40" s="676"/>
      <c r="D40" s="672"/>
      <c r="E40" s="672"/>
      <c r="F40" s="672"/>
      <c r="G40" s="672"/>
      <c r="H40" s="672"/>
      <c r="I40" s="672"/>
      <c r="J40" s="307"/>
      <c r="K40" s="668"/>
      <c r="L40" s="668"/>
      <c r="M40" s="668"/>
      <c r="N40" s="668"/>
      <c r="O40" s="668"/>
      <c r="P40" s="668"/>
      <c r="Q40" s="668"/>
      <c r="R40" s="668"/>
      <c r="S40" s="299"/>
      <c r="T40" s="299"/>
      <c r="U40" s="299"/>
      <c r="V40" s="299"/>
      <c r="W40" s="299"/>
      <c r="X40" s="299"/>
      <c r="Y40" s="299"/>
      <c r="Z40" s="299"/>
      <c r="AA40" s="299"/>
      <c r="AB40" s="299"/>
      <c r="AC40" s="299"/>
    </row>
    <row r="41" spans="2:29" ht="12.75" customHeight="1">
      <c r="B41" s="672"/>
      <c r="C41" s="676"/>
      <c r="D41" s="672"/>
      <c r="E41" s="672"/>
      <c r="F41" s="672"/>
      <c r="G41" s="672"/>
      <c r="H41" s="672"/>
      <c r="I41" s="672"/>
      <c r="J41" s="307"/>
      <c r="K41" s="668"/>
      <c r="L41" s="668"/>
      <c r="M41" s="668"/>
      <c r="N41" s="668"/>
      <c r="O41" s="668"/>
      <c r="P41" s="668"/>
      <c r="Q41" s="668"/>
      <c r="R41" s="668"/>
      <c r="S41" s="299"/>
      <c r="W41" s="299"/>
      <c r="X41" s="299"/>
      <c r="Y41" s="299"/>
      <c r="Z41" s="299"/>
      <c r="AA41" s="299"/>
      <c r="AB41" s="299"/>
      <c r="AC41" s="299"/>
    </row>
    <row r="42" spans="2:29" ht="12.75" customHeight="1">
      <c r="B42" s="672"/>
      <c r="C42" s="676"/>
      <c r="D42" s="672"/>
      <c r="E42" s="672"/>
      <c r="F42" s="672"/>
      <c r="G42" s="672"/>
      <c r="H42" s="672"/>
      <c r="I42" s="672"/>
      <c r="J42" s="307"/>
      <c r="K42" s="668"/>
      <c r="L42" s="668"/>
      <c r="M42" s="668"/>
      <c r="N42" s="668"/>
      <c r="O42" s="668"/>
      <c r="P42" s="668"/>
      <c r="Q42" s="668"/>
      <c r="R42" s="668"/>
      <c r="S42" s="299"/>
      <c r="W42" s="299"/>
      <c r="X42" s="299"/>
      <c r="Y42" s="299"/>
      <c r="Z42" s="299"/>
      <c r="AA42" s="299"/>
      <c r="AB42" s="299"/>
      <c r="AC42" s="299"/>
    </row>
    <row r="43" spans="2:29" ht="12.75" customHeight="1">
      <c r="B43" s="672"/>
      <c r="C43" s="676"/>
      <c r="D43" s="672"/>
      <c r="E43" s="672"/>
      <c r="F43" s="672"/>
      <c r="G43" s="672"/>
      <c r="H43" s="672"/>
      <c r="I43" s="672"/>
      <c r="J43" s="307"/>
      <c r="K43" s="299"/>
      <c r="L43" s="299"/>
      <c r="M43" s="299"/>
      <c r="N43" s="299"/>
      <c r="O43" s="299"/>
      <c r="P43" s="299"/>
      <c r="Q43" s="299"/>
      <c r="R43" s="299"/>
      <c r="S43" s="299"/>
      <c r="W43" s="299"/>
      <c r="X43" s="299"/>
      <c r="Y43" s="299"/>
      <c r="Z43" s="299"/>
      <c r="AA43" s="299"/>
      <c r="AB43" s="299"/>
      <c r="AC43" s="299"/>
    </row>
    <row r="44" spans="2:29" ht="11.25" customHeight="1">
      <c r="B44" s="672"/>
      <c r="C44" s="676"/>
      <c r="D44" s="672"/>
      <c r="E44" s="672"/>
      <c r="F44" s="672"/>
      <c r="G44" s="672"/>
      <c r="H44" s="672"/>
      <c r="I44" s="672"/>
      <c r="J44" s="307"/>
    </row>
    <row r="45" spans="2:29" ht="12.75" customHeight="1">
      <c r="B45" s="672"/>
      <c r="C45" s="676"/>
      <c r="D45" s="672"/>
      <c r="E45" s="672"/>
      <c r="F45" s="672"/>
      <c r="G45" s="672"/>
      <c r="H45" s="672"/>
      <c r="I45" s="672"/>
      <c r="J45" s="307"/>
      <c r="K45" s="669" t="str">
        <f t="shared" ref="K45:K65" si="1">K10</f>
        <v/>
      </c>
      <c r="L45" s="670"/>
      <c r="M45" s="670"/>
      <c r="N45" s="673" t="str">
        <f>IF(OR(Umse!$B$11="8.1.",Umse!$B$11="8.2.",Umse!$B$11="8.3.",Umse!$B$11="8.4."),"Überstundenentgelt","")</f>
        <v/>
      </c>
      <c r="O45" s="673"/>
      <c r="P45" s="673"/>
      <c r="Q45" s="661" t="str">
        <f>H10</f>
        <v/>
      </c>
      <c r="R45" s="662"/>
    </row>
    <row r="46" spans="2:29" ht="22.5" customHeight="1">
      <c r="B46" s="302" t="str">
        <f>IF(OR(Umse!$C$24=0,Umse!$B$11=0),"",IF(Kalk!$B$5=8,'AVH Ist'!B36,""))</f>
        <v/>
      </c>
      <c r="C46" s="306"/>
      <c r="D46" s="314" t="str">
        <f>IF(OR(Umse!$C$24=0,Umse!$B$11=0),"",IF(Kalk!$B$5=8,'AVH Ist'!D36,""))</f>
        <v/>
      </c>
      <c r="E46" s="314" t="str">
        <f>IF(OR(Umse!$C$24=0,Umse!$B$11=0),"",IF(Kalk!$B$5=8,'AVH Ist'!E36,""))</f>
        <v/>
      </c>
      <c r="F46" s="315" t="str">
        <f>IF(OR(Umse!$C$24=0,Umse!$B$11=0),"",IF(Kalk!$B$5=8,'AVH Ist'!F36,""))</f>
        <v/>
      </c>
      <c r="G46" s="315" t="str">
        <f>IF(OR(Umse!$C$24=0,Umse!$B$11=0),"",IF(Kalk!$B$5=8,'AVH Ist'!G36,""))</f>
        <v/>
      </c>
      <c r="H46" s="315" t="str">
        <f>IF(OR(Umse!$C$24=0,Umse!$B$11=0),"",IF(Kalk!$B$5=8,'AVH Ist'!H36,""))</f>
        <v/>
      </c>
      <c r="I46" s="315" t="str">
        <f>IF(OR(Umse!$C$24=0,Umse!$B$11=0),"",IF(Kalk!$B$5=8,'AVH Ist'!I36,""))</f>
        <v/>
      </c>
      <c r="J46" s="307" t="str">
        <f>IF(Kalk!$B$5=8,'AVH Ist'!J36,"")</f>
        <v/>
      </c>
      <c r="K46" s="302" t="str">
        <f t="shared" si="1"/>
        <v/>
      </c>
      <c r="L46" s="306"/>
      <c r="M46" s="306" t="str">
        <f t="shared" ref="M46:R46" si="2">M11</f>
        <v/>
      </c>
      <c r="N46" s="306" t="str">
        <f t="shared" si="2"/>
        <v/>
      </c>
      <c r="O46" s="306" t="str">
        <f t="shared" si="2"/>
        <v/>
      </c>
      <c r="P46" s="306" t="str">
        <f t="shared" si="2"/>
        <v/>
      </c>
      <c r="Q46" s="306" t="str">
        <f t="shared" si="2"/>
        <v/>
      </c>
      <c r="R46" s="306" t="str">
        <f t="shared" si="2"/>
        <v/>
      </c>
      <c r="S46" s="307"/>
    </row>
    <row r="47" spans="2:29" ht="11.25" customHeight="1">
      <c r="B47" s="306" t="str">
        <f t="shared" ref="B47:B65" si="3">K12</f>
        <v/>
      </c>
      <c r="C47" s="306" t="str">
        <f t="shared" ref="C47:C65" si="4">L12</f>
        <v/>
      </c>
      <c r="D47" s="308">
        <f>IF(Kalk!$B$5=8,'AVH Ist'!D37,0)</f>
        <v>0</v>
      </c>
      <c r="E47" s="308">
        <f>IF(Kalk!$B$5=8,'AVH Ist'!E37,0)</f>
        <v>0</v>
      </c>
      <c r="F47" s="308">
        <f>IF(Kalk!$B$5=8,'AVH Ist'!F37,0)</f>
        <v>0</v>
      </c>
      <c r="G47" s="308">
        <f>IF(Kalk!$B$5=8,'AVH Ist'!G37,0)</f>
        <v>0</v>
      </c>
      <c r="H47" s="308">
        <f>IF(Kalk!$B$5=8,'AVH Ist'!H37,0)</f>
        <v>0</v>
      </c>
      <c r="I47" s="308">
        <f>IF(Kalk!$B$5=8,'AVH Ist'!I37,0)</f>
        <v>0</v>
      </c>
      <c r="J47" s="307" t="str">
        <f>IF(Kalk!$B$5=8,'AVH Ist'!J37,"")</f>
        <v/>
      </c>
      <c r="K47" s="306" t="str">
        <f t="shared" si="1"/>
        <v/>
      </c>
      <c r="L47" s="306" t="str">
        <f t="shared" ref="L47:L65" si="5">L12</f>
        <v/>
      </c>
      <c r="M47" s="308">
        <f>IF(Kalk!$B$5=8,'AVH Ist'!M37,0)</f>
        <v>0</v>
      </c>
      <c r="N47" s="308">
        <f>IF(Kalk!$B$5=8,'AVH Ist'!N37,0)</f>
        <v>0</v>
      </c>
      <c r="O47" s="308">
        <f>IF(Kalk!$B$5=8,'AVH Ist'!O37,0)</f>
        <v>0</v>
      </c>
      <c r="P47" s="308">
        <f>IF(Kalk!$B$5=8,'AVH Ist'!P37,0)</f>
        <v>0</v>
      </c>
      <c r="Q47" s="308">
        <f>IF(Kalk!$B$5=8,'AVH Ist'!Q37,0)</f>
        <v>0</v>
      </c>
      <c r="R47" s="308">
        <f>IF(Kalk!$B$5=8,'AVH Ist'!R37,0)</f>
        <v>0</v>
      </c>
    </row>
    <row r="48" spans="2:29" ht="11.25" customHeight="1">
      <c r="B48" s="306" t="str">
        <f t="shared" si="3"/>
        <v/>
      </c>
      <c r="C48" s="306" t="str">
        <f t="shared" si="4"/>
        <v/>
      </c>
      <c r="D48" s="308">
        <f>IF(Kalk!$B$5=8,'AVH Ist'!D38,0)</f>
        <v>0</v>
      </c>
      <c r="E48" s="308">
        <f>IF(Kalk!$B$5=8,'AVH Ist'!E38,0)</f>
        <v>0</v>
      </c>
      <c r="F48" s="308">
        <f>IF(Kalk!$B$5=8,'AVH Ist'!F38,0)</f>
        <v>0</v>
      </c>
      <c r="G48" s="308">
        <f>IF(Kalk!$B$5=8,'AVH Ist'!G38,0)</f>
        <v>0</v>
      </c>
      <c r="H48" s="308">
        <f>IF(Kalk!$B$5=8,'AVH Ist'!H38,0)</f>
        <v>0</v>
      </c>
      <c r="I48" s="308">
        <f>IF(Kalk!$B$5=8,'AVH Ist'!I38,0)</f>
        <v>0</v>
      </c>
      <c r="J48" s="307" t="str">
        <f>IF(Kalk!$B$5=8,'AVH Ist'!J38,"")</f>
        <v/>
      </c>
      <c r="K48" s="306" t="str">
        <f t="shared" si="1"/>
        <v/>
      </c>
      <c r="L48" s="306" t="str">
        <f t="shared" si="5"/>
        <v/>
      </c>
      <c r="M48" s="308">
        <f>IF(Kalk!$B$5=8,'AVH Ist'!M38,0)</f>
        <v>0</v>
      </c>
      <c r="N48" s="308">
        <f>IF(Kalk!$B$5=8,'AVH Ist'!N38,0)</f>
        <v>0</v>
      </c>
      <c r="O48" s="308">
        <f>IF(Kalk!$B$5=8,'AVH Ist'!O38,0)</f>
        <v>0</v>
      </c>
      <c r="P48" s="308">
        <f>IF(Kalk!$B$5=8,'AVH Ist'!P38,0)</f>
        <v>0</v>
      </c>
      <c r="Q48" s="308">
        <f>IF(Kalk!$B$5=8,'AVH Ist'!Q38,0)</f>
        <v>0</v>
      </c>
      <c r="R48" s="308">
        <f>IF(Kalk!$B$5=8,'AVH Ist'!R38,0)</f>
        <v>0</v>
      </c>
    </row>
    <row r="49" spans="2:18" ht="11.25" customHeight="1">
      <c r="B49" s="306" t="str">
        <f t="shared" si="3"/>
        <v/>
      </c>
      <c r="C49" s="306" t="str">
        <f t="shared" si="4"/>
        <v/>
      </c>
      <c r="D49" s="308">
        <f>IF(Kalk!$B$5=8,'AVH Ist'!D39,0)</f>
        <v>0</v>
      </c>
      <c r="E49" s="308">
        <f>IF(Kalk!$B$5=8,'AVH Ist'!E39,0)</f>
        <v>0</v>
      </c>
      <c r="F49" s="308">
        <f>IF(Kalk!$B$5=8,'AVH Ist'!F39,0)</f>
        <v>0</v>
      </c>
      <c r="G49" s="308">
        <f>IF(Kalk!$B$5=8,'AVH Ist'!G39,0)</f>
        <v>0</v>
      </c>
      <c r="H49" s="308">
        <f>IF(Kalk!$B$5=8,'AVH Ist'!H39,0)</f>
        <v>0</v>
      </c>
      <c r="I49" s="308">
        <f>IF(Kalk!$B$5=8,'AVH Ist'!I39,0)</f>
        <v>0</v>
      </c>
      <c r="J49" s="307" t="str">
        <f>IF(Kalk!$B$5=8,'AVH Ist'!J39,"")</f>
        <v/>
      </c>
      <c r="K49" s="306" t="str">
        <f t="shared" si="1"/>
        <v/>
      </c>
      <c r="L49" s="306" t="str">
        <f t="shared" si="5"/>
        <v/>
      </c>
      <c r="M49" s="308">
        <f>IF(Kalk!$B$5=8,'AVH Ist'!M39,0)</f>
        <v>0</v>
      </c>
      <c r="N49" s="308">
        <f>IF(Kalk!$B$5=8,'AVH Ist'!N39,0)</f>
        <v>0</v>
      </c>
      <c r="O49" s="308">
        <f>IF(Kalk!$B$5=8,'AVH Ist'!O39,0)</f>
        <v>0</v>
      </c>
      <c r="P49" s="308">
        <f>IF(Kalk!$B$5=8,'AVH Ist'!P39,0)</f>
        <v>0</v>
      </c>
      <c r="Q49" s="308">
        <f>IF(Kalk!$B$5=8,'AVH Ist'!Q39,0)</f>
        <v>0</v>
      </c>
      <c r="R49" s="308">
        <f>IF(Kalk!$B$5=8,'AVH Ist'!R39,0)</f>
        <v>0</v>
      </c>
    </row>
    <row r="50" spans="2:18" ht="11.25" customHeight="1">
      <c r="B50" s="306" t="str">
        <f t="shared" si="3"/>
        <v/>
      </c>
      <c r="C50" s="306" t="str">
        <f t="shared" si="4"/>
        <v/>
      </c>
      <c r="D50" s="308">
        <f>IF(Kalk!$B$5=8,'AVH Ist'!D40,0)</f>
        <v>0</v>
      </c>
      <c r="E50" s="308">
        <f>IF(Kalk!$B$5=8,'AVH Ist'!E40,0)</f>
        <v>0</v>
      </c>
      <c r="F50" s="308">
        <f>IF(Kalk!$B$5=8,'AVH Ist'!F40,0)</f>
        <v>0</v>
      </c>
      <c r="G50" s="308">
        <f>IF(Kalk!$B$5=8,'AVH Ist'!G40,0)</f>
        <v>0</v>
      </c>
      <c r="H50" s="308">
        <f>IF(Kalk!$B$5=8,'AVH Ist'!H40,0)</f>
        <v>0</v>
      </c>
      <c r="I50" s="308">
        <f>IF(Kalk!$B$5=8,'AVH Ist'!I40,0)</f>
        <v>0</v>
      </c>
      <c r="J50" s="307" t="str">
        <f>IF(Kalk!$B$5=8,'AVH Ist'!J40,"")</f>
        <v/>
      </c>
      <c r="K50" s="306" t="str">
        <f t="shared" si="1"/>
        <v/>
      </c>
      <c r="L50" s="306" t="str">
        <f t="shared" si="5"/>
        <v/>
      </c>
      <c r="M50" s="308">
        <f>IF(Kalk!$B$5=8,'AVH Ist'!M40,0)</f>
        <v>0</v>
      </c>
      <c r="N50" s="308">
        <f>IF(Kalk!$B$5=8,'AVH Ist'!N40,0)</f>
        <v>0</v>
      </c>
      <c r="O50" s="308">
        <f>IF(Kalk!$B$5=8,'AVH Ist'!O40,0)</f>
        <v>0</v>
      </c>
      <c r="P50" s="308">
        <f>IF(Kalk!$B$5=8,'AVH Ist'!P40,0)</f>
        <v>0</v>
      </c>
      <c r="Q50" s="308">
        <f>IF(Kalk!$B$5=8,'AVH Ist'!Q40,0)</f>
        <v>0</v>
      </c>
      <c r="R50" s="308">
        <f>IF(Kalk!$B$5=8,'AVH Ist'!R40,0)</f>
        <v>0</v>
      </c>
    </row>
    <row r="51" spans="2:18" ht="11.25" customHeight="1">
      <c r="B51" s="306" t="str">
        <f t="shared" si="3"/>
        <v/>
      </c>
      <c r="C51" s="306" t="str">
        <f t="shared" si="4"/>
        <v/>
      </c>
      <c r="D51" s="308">
        <f>IF(Kalk!$B$5=8,'AVH Ist'!D41,0)</f>
        <v>0</v>
      </c>
      <c r="E51" s="308">
        <f>IF(Kalk!$B$5=8,'AVH Ist'!E41,0)</f>
        <v>0</v>
      </c>
      <c r="F51" s="308">
        <f>IF(Kalk!$B$5=8,'AVH Ist'!F41,0)</f>
        <v>0</v>
      </c>
      <c r="G51" s="308">
        <f>IF(Kalk!$B$5=8,'AVH Ist'!G41,0)</f>
        <v>0</v>
      </c>
      <c r="H51" s="308">
        <f>IF(Kalk!$B$5=8,'AVH Ist'!H41,0)</f>
        <v>0</v>
      </c>
      <c r="I51" s="308">
        <f>IF(Kalk!$B$5=8,'AVH Ist'!I41,0)</f>
        <v>0</v>
      </c>
      <c r="J51" s="307" t="str">
        <f>IF(Kalk!$B$5=8,'AVH Ist'!J41,"")</f>
        <v/>
      </c>
      <c r="K51" s="306" t="str">
        <f t="shared" si="1"/>
        <v/>
      </c>
      <c r="L51" s="306" t="str">
        <f t="shared" si="5"/>
        <v/>
      </c>
      <c r="M51" s="308">
        <f>IF(Kalk!$B$5=8,'AVH Ist'!M41,0)</f>
        <v>0</v>
      </c>
      <c r="N51" s="308">
        <f>IF(Kalk!$B$5=8,'AVH Ist'!N41,0)</f>
        <v>0</v>
      </c>
      <c r="O51" s="308">
        <f>IF(Kalk!$B$5=8,'AVH Ist'!O41,0)</f>
        <v>0</v>
      </c>
      <c r="P51" s="308">
        <f>IF(Kalk!$B$5=8,'AVH Ist'!P41,0)</f>
        <v>0</v>
      </c>
      <c r="Q51" s="308">
        <f>IF(Kalk!$B$5=8,'AVH Ist'!Q41,0)</f>
        <v>0</v>
      </c>
      <c r="R51" s="308">
        <f>IF(Kalk!$B$5=8,'AVH Ist'!R41,0)</f>
        <v>0</v>
      </c>
    </row>
    <row r="52" spans="2:18" ht="11.25" customHeight="1">
      <c r="B52" s="306" t="str">
        <f t="shared" si="3"/>
        <v/>
      </c>
      <c r="C52" s="306" t="str">
        <f t="shared" si="4"/>
        <v/>
      </c>
      <c r="D52" s="308">
        <f>IF(Kalk!$B$5=8,'AVH Ist'!D42,0)</f>
        <v>0</v>
      </c>
      <c r="E52" s="308">
        <f>IF(Kalk!$B$5=8,'AVH Ist'!E42,0)</f>
        <v>0</v>
      </c>
      <c r="F52" s="308">
        <f>IF(Kalk!$B$5=8,'AVH Ist'!F42,0)</f>
        <v>0</v>
      </c>
      <c r="G52" s="308">
        <f>IF(Kalk!$B$5=8,'AVH Ist'!G42,0)</f>
        <v>0</v>
      </c>
      <c r="H52" s="308">
        <f>IF(Kalk!$B$5=8,'AVH Ist'!H42,0)</f>
        <v>0</v>
      </c>
      <c r="I52" s="308">
        <f>IF(Kalk!$B$5=8,'AVH Ist'!I42,0)</f>
        <v>0</v>
      </c>
      <c r="J52" s="307" t="str">
        <f>IF(Kalk!$B$5=8,'AVH Ist'!J42,"")</f>
        <v/>
      </c>
      <c r="K52" s="306" t="str">
        <f t="shared" si="1"/>
        <v/>
      </c>
      <c r="L52" s="306" t="str">
        <f t="shared" si="5"/>
        <v/>
      </c>
      <c r="M52" s="308">
        <f>IF(Kalk!$B$5=8,'AVH Ist'!M42,0)</f>
        <v>0</v>
      </c>
      <c r="N52" s="308">
        <f>IF(Kalk!$B$5=8,'AVH Ist'!N42,0)</f>
        <v>0</v>
      </c>
      <c r="O52" s="308">
        <f>IF(Kalk!$B$5=8,'AVH Ist'!O42,0)</f>
        <v>0</v>
      </c>
      <c r="P52" s="308">
        <f>IF(Kalk!$B$5=8,'AVH Ist'!P42,0)</f>
        <v>0</v>
      </c>
      <c r="Q52" s="308">
        <f>IF(Kalk!$B$5=8,'AVH Ist'!Q42,0)</f>
        <v>0</v>
      </c>
      <c r="R52" s="308">
        <f>IF(Kalk!$B$5=8,'AVH Ist'!R42,0)</f>
        <v>0</v>
      </c>
    </row>
    <row r="53" spans="2:18" ht="11.25" customHeight="1">
      <c r="B53" s="306" t="str">
        <f t="shared" si="3"/>
        <v/>
      </c>
      <c r="C53" s="306" t="str">
        <f t="shared" si="4"/>
        <v/>
      </c>
      <c r="D53" s="308">
        <f>IF(Kalk!$B$5=8,'AVH Ist'!D43,0)</f>
        <v>0</v>
      </c>
      <c r="E53" s="308">
        <f>IF(Kalk!$B$5=8,'AVH Ist'!E43,0)</f>
        <v>0</v>
      </c>
      <c r="F53" s="308">
        <f>IF(Kalk!$B$5=8,'AVH Ist'!F43,0)</f>
        <v>0</v>
      </c>
      <c r="G53" s="308">
        <f>IF(Kalk!$B$5=8,'AVH Ist'!G43,0)</f>
        <v>0</v>
      </c>
      <c r="H53" s="308">
        <f>IF(Kalk!$B$5=8,'AVH Ist'!H43,0)</f>
        <v>0</v>
      </c>
      <c r="I53" s="308">
        <f>IF(Kalk!$B$5=8,'AVH Ist'!I43,0)</f>
        <v>0</v>
      </c>
      <c r="J53" s="307" t="str">
        <f>IF(Kalk!$B$5=8,'AVH Ist'!J43,"")</f>
        <v/>
      </c>
      <c r="K53" s="306" t="str">
        <f t="shared" si="1"/>
        <v/>
      </c>
      <c r="L53" s="306" t="str">
        <f t="shared" si="5"/>
        <v/>
      </c>
      <c r="M53" s="308">
        <f>IF(Kalk!$B$5=8,'AVH Ist'!M43,0)</f>
        <v>0</v>
      </c>
      <c r="N53" s="308">
        <f>IF(Kalk!$B$5=8,'AVH Ist'!N43,0)</f>
        <v>0</v>
      </c>
      <c r="O53" s="308">
        <f>IF(Kalk!$B$5=8,'AVH Ist'!O43,0)</f>
        <v>0</v>
      </c>
      <c r="P53" s="308">
        <f>IF(Kalk!$B$5=8,'AVH Ist'!P43,0)</f>
        <v>0</v>
      </c>
      <c r="Q53" s="308">
        <f>IF(Kalk!$B$5=8,'AVH Ist'!Q43,0)</f>
        <v>0</v>
      </c>
      <c r="R53" s="308">
        <f>IF(Kalk!$B$5=8,'AVH Ist'!R43,0)</f>
        <v>0</v>
      </c>
    </row>
    <row r="54" spans="2:18" ht="11.25" customHeight="1">
      <c r="B54" s="306" t="str">
        <f t="shared" si="3"/>
        <v/>
      </c>
      <c r="C54" s="306" t="str">
        <f t="shared" si="4"/>
        <v/>
      </c>
      <c r="D54" s="308">
        <f>IF(Kalk!$B$5=8,'AVH Ist'!D44,0)</f>
        <v>0</v>
      </c>
      <c r="E54" s="308">
        <f>IF(Kalk!$B$5=8,'AVH Ist'!E44,0)</f>
        <v>0</v>
      </c>
      <c r="F54" s="308">
        <f>IF(Kalk!$B$5=8,'AVH Ist'!F44,0)</f>
        <v>0</v>
      </c>
      <c r="G54" s="308">
        <f>IF(Kalk!$B$5=8,'AVH Ist'!G44,0)</f>
        <v>0</v>
      </c>
      <c r="H54" s="308">
        <f>IF(Kalk!$B$5=8,'AVH Ist'!H44,0)</f>
        <v>0</v>
      </c>
      <c r="I54" s="308">
        <f>IF(Kalk!$B$5=8,'AVH Ist'!I44,0)</f>
        <v>0</v>
      </c>
      <c r="J54" s="307" t="str">
        <f>IF(Kalk!$B$5=8,'AVH Ist'!J44,"")</f>
        <v/>
      </c>
      <c r="K54" s="306" t="str">
        <f t="shared" si="1"/>
        <v/>
      </c>
      <c r="L54" s="306" t="str">
        <f t="shared" si="5"/>
        <v/>
      </c>
      <c r="M54" s="308">
        <f>IF(Kalk!$B$5=8,'AVH Ist'!M44,0)</f>
        <v>0</v>
      </c>
      <c r="N54" s="308">
        <f>IF(Kalk!$B$5=8,'AVH Ist'!N44,0)</f>
        <v>0</v>
      </c>
      <c r="O54" s="308">
        <f>IF(Kalk!$B$5=8,'AVH Ist'!O44,0)</f>
        <v>0</v>
      </c>
      <c r="P54" s="308">
        <f>IF(Kalk!$B$5=8,'AVH Ist'!P44,0)</f>
        <v>0</v>
      </c>
      <c r="Q54" s="308">
        <f>IF(Kalk!$B$5=8,'AVH Ist'!Q44,0)</f>
        <v>0</v>
      </c>
      <c r="R54" s="308">
        <f>IF(Kalk!$B$5=8,'AVH Ist'!R44,0)</f>
        <v>0</v>
      </c>
    </row>
    <row r="55" spans="2:18" ht="11.25" customHeight="1">
      <c r="B55" s="306" t="str">
        <f t="shared" si="3"/>
        <v/>
      </c>
      <c r="C55" s="306" t="str">
        <f t="shared" si="4"/>
        <v/>
      </c>
      <c r="D55" s="308">
        <f>IF(Kalk!$B$5=8,'AVH Ist'!D45,0)</f>
        <v>0</v>
      </c>
      <c r="E55" s="308">
        <f>IF(Kalk!$B$5=8,'AVH Ist'!E45,0)</f>
        <v>0</v>
      </c>
      <c r="F55" s="308">
        <f>IF(Kalk!$B$5=8,'AVH Ist'!F45,0)</f>
        <v>0</v>
      </c>
      <c r="G55" s="308">
        <f>IF(Kalk!$B$5=8,'AVH Ist'!G45,0)</f>
        <v>0</v>
      </c>
      <c r="H55" s="308">
        <f>IF(Kalk!$B$5=8,'AVH Ist'!H45,0)</f>
        <v>0</v>
      </c>
      <c r="I55" s="308">
        <f>IF(Kalk!$B$5=8,'AVH Ist'!I45,0)</f>
        <v>0</v>
      </c>
      <c r="J55" s="307" t="str">
        <f>IF(Kalk!$B$5=8,'AVH Ist'!J45,"")</f>
        <v/>
      </c>
      <c r="K55" s="306" t="str">
        <f t="shared" si="1"/>
        <v/>
      </c>
      <c r="L55" s="306" t="str">
        <f t="shared" si="5"/>
        <v/>
      </c>
      <c r="M55" s="308">
        <f>IF(Kalk!$B$5=8,'AVH Ist'!M45,0)</f>
        <v>0</v>
      </c>
      <c r="N55" s="308">
        <f>IF(Kalk!$B$5=8,'AVH Ist'!N45,0)</f>
        <v>0</v>
      </c>
      <c r="O55" s="308">
        <f>IF(Kalk!$B$5=8,'AVH Ist'!O45,0)</f>
        <v>0</v>
      </c>
      <c r="P55" s="308">
        <f>IF(Kalk!$B$5=8,'AVH Ist'!P45,0)</f>
        <v>0</v>
      </c>
      <c r="Q55" s="308">
        <f>IF(Kalk!$B$5=8,'AVH Ist'!Q45,0)</f>
        <v>0</v>
      </c>
      <c r="R55" s="308">
        <f>IF(Kalk!$B$5=8,'AVH Ist'!R45,0)</f>
        <v>0</v>
      </c>
    </row>
    <row r="56" spans="2:18" ht="11.25" customHeight="1">
      <c r="B56" s="306" t="str">
        <f t="shared" si="3"/>
        <v/>
      </c>
      <c r="C56" s="306" t="str">
        <f t="shared" si="4"/>
        <v/>
      </c>
      <c r="D56" s="308">
        <f>IF(Kalk!$B$5=8,'AVH Ist'!D46,0)</f>
        <v>0</v>
      </c>
      <c r="E56" s="308">
        <f>IF(Kalk!$B$5=8,'AVH Ist'!E46,0)</f>
        <v>0</v>
      </c>
      <c r="F56" s="308">
        <f>IF(Kalk!$B$5=8,'AVH Ist'!F46,0)</f>
        <v>0</v>
      </c>
      <c r="G56" s="308">
        <f>IF(Kalk!$B$5=8,'AVH Ist'!G46,0)</f>
        <v>0</v>
      </c>
      <c r="H56" s="308">
        <f>IF(Kalk!$B$5=8,'AVH Ist'!H46,0)</f>
        <v>0</v>
      </c>
      <c r="I56" s="308">
        <f>IF(Kalk!$B$5=8,'AVH Ist'!I46,0)</f>
        <v>0</v>
      </c>
      <c r="J56" s="307" t="str">
        <f>IF(Kalk!$B$5=8,'AVH Ist'!J46,"")</f>
        <v/>
      </c>
      <c r="K56" s="306" t="str">
        <f t="shared" si="1"/>
        <v/>
      </c>
      <c r="L56" s="306" t="str">
        <f t="shared" si="5"/>
        <v/>
      </c>
      <c r="M56" s="308">
        <f>IF(Kalk!$B$5=8,'AVH Ist'!M46,0)</f>
        <v>0</v>
      </c>
      <c r="N56" s="308">
        <f>IF(Kalk!$B$5=8,'AVH Ist'!N46,0)</f>
        <v>0</v>
      </c>
      <c r="O56" s="308">
        <f>IF(Kalk!$B$5=8,'AVH Ist'!O46,0)</f>
        <v>0</v>
      </c>
      <c r="P56" s="308">
        <f>IF(Kalk!$B$5=8,'AVH Ist'!P46,0)</f>
        <v>0</v>
      </c>
      <c r="Q56" s="308">
        <f>IF(Kalk!$B$5=8,'AVH Ist'!Q46,0)</f>
        <v>0</v>
      </c>
      <c r="R56" s="308">
        <f>IF(Kalk!$B$5=8,'AVH Ist'!R46,0)</f>
        <v>0</v>
      </c>
    </row>
    <row r="57" spans="2:18" ht="11.25" customHeight="1">
      <c r="B57" s="306" t="str">
        <f t="shared" si="3"/>
        <v/>
      </c>
      <c r="C57" s="306" t="str">
        <f t="shared" si="4"/>
        <v/>
      </c>
      <c r="D57" s="308">
        <f>IF(Kalk!$B$5=8,'AVH Ist'!D47,0)</f>
        <v>0</v>
      </c>
      <c r="E57" s="308">
        <f>IF(Kalk!$B$5=8,'AVH Ist'!E47,0)</f>
        <v>0</v>
      </c>
      <c r="F57" s="308">
        <f>IF(Kalk!$B$5=8,'AVH Ist'!F47,0)</f>
        <v>0</v>
      </c>
      <c r="G57" s="308">
        <f>IF(Kalk!$B$5=8,'AVH Ist'!G47,0)</f>
        <v>0</v>
      </c>
      <c r="H57" s="308">
        <f>IF(Kalk!$B$5=8,'AVH Ist'!H47,0)</f>
        <v>0</v>
      </c>
      <c r="I57" s="308">
        <f>IF(Kalk!$B$5=8,'AVH Ist'!I47,0)</f>
        <v>0</v>
      </c>
      <c r="J57" s="307" t="str">
        <f>IF(Kalk!$B$5=8,'AVH Ist'!J47,"")</f>
        <v/>
      </c>
      <c r="K57" s="306" t="str">
        <f t="shared" si="1"/>
        <v/>
      </c>
      <c r="L57" s="306" t="str">
        <f t="shared" si="5"/>
        <v/>
      </c>
      <c r="M57" s="308">
        <f>IF(Kalk!$B$5=8,'AVH Ist'!M47,0)</f>
        <v>0</v>
      </c>
      <c r="N57" s="308">
        <f>IF(Kalk!$B$5=8,'AVH Ist'!N47,0)</f>
        <v>0</v>
      </c>
      <c r="O57" s="308">
        <f>IF(Kalk!$B$5=8,'AVH Ist'!O47,0)</f>
        <v>0</v>
      </c>
      <c r="P57" s="308">
        <f>IF(Kalk!$B$5=8,'AVH Ist'!P47,0)</f>
        <v>0</v>
      </c>
      <c r="Q57" s="308">
        <f>IF(Kalk!$B$5=8,'AVH Ist'!Q47,0)</f>
        <v>0</v>
      </c>
      <c r="R57" s="308">
        <f>IF(Kalk!$B$5=8,'AVH Ist'!R47,0)</f>
        <v>0</v>
      </c>
    </row>
    <row r="58" spans="2:18" ht="11.25" customHeight="1">
      <c r="B58" s="306" t="str">
        <f t="shared" si="3"/>
        <v/>
      </c>
      <c r="C58" s="306" t="str">
        <f t="shared" si="4"/>
        <v/>
      </c>
      <c r="D58" s="308">
        <f>IF(Kalk!$B$5=8,'AVH Ist'!D48,0)</f>
        <v>0</v>
      </c>
      <c r="E58" s="308">
        <f>IF(Kalk!$B$5=8,'AVH Ist'!E48,0)</f>
        <v>0</v>
      </c>
      <c r="F58" s="308">
        <f>IF(Kalk!$B$5=8,'AVH Ist'!F48,0)</f>
        <v>0</v>
      </c>
      <c r="G58" s="308">
        <f>IF(Kalk!$B$5=8,'AVH Ist'!G48,0)</f>
        <v>0</v>
      </c>
      <c r="H58" s="308">
        <f>IF(Kalk!$B$5=8,'AVH Ist'!H48,0)</f>
        <v>0</v>
      </c>
      <c r="I58" s="308">
        <f>IF(Kalk!$B$5=8,'AVH Ist'!I48,0)</f>
        <v>0</v>
      </c>
      <c r="J58" s="307" t="str">
        <f>IF(Kalk!$B$5=8,'AVH Ist'!J48,"")</f>
        <v/>
      </c>
      <c r="K58" s="306" t="str">
        <f t="shared" si="1"/>
        <v/>
      </c>
      <c r="L58" s="306" t="str">
        <f t="shared" si="5"/>
        <v/>
      </c>
      <c r="M58" s="308">
        <f>IF(Kalk!$B$5=8,'AVH Ist'!M48,0)</f>
        <v>0</v>
      </c>
      <c r="N58" s="308">
        <f>IF(Kalk!$B$5=8,'AVH Ist'!N48,0)</f>
        <v>0</v>
      </c>
      <c r="O58" s="308">
        <f>IF(Kalk!$B$5=8,'AVH Ist'!O48,0)</f>
        <v>0</v>
      </c>
      <c r="P58" s="308">
        <f>IF(Kalk!$B$5=8,'AVH Ist'!P48,0)</f>
        <v>0</v>
      </c>
      <c r="Q58" s="308">
        <f>IF(Kalk!$B$5=8,'AVH Ist'!Q48,0)</f>
        <v>0</v>
      </c>
      <c r="R58" s="308">
        <f>IF(Kalk!$B$5=8,'AVH Ist'!R48,0)</f>
        <v>0</v>
      </c>
    </row>
    <row r="59" spans="2:18" ht="11.25" customHeight="1">
      <c r="B59" s="306" t="str">
        <f t="shared" si="3"/>
        <v/>
      </c>
      <c r="C59" s="306" t="str">
        <f t="shared" si="4"/>
        <v/>
      </c>
      <c r="D59" s="308">
        <f>IF(Kalk!$B$5=8,'AVH Ist'!D49,0)</f>
        <v>0</v>
      </c>
      <c r="E59" s="308">
        <f>IF(Kalk!$B$5=8,'AVH Ist'!E49,0)</f>
        <v>0</v>
      </c>
      <c r="F59" s="308">
        <f>IF(Kalk!$B$5=8,'AVH Ist'!F49,0)</f>
        <v>0</v>
      </c>
      <c r="G59" s="308">
        <f>IF(Kalk!$B$5=8,'AVH Ist'!G49,0)</f>
        <v>0</v>
      </c>
      <c r="H59" s="308">
        <f>IF(Kalk!$B$5=8,'AVH Ist'!H49,0)</f>
        <v>0</v>
      </c>
      <c r="I59" s="308">
        <f>IF(Kalk!$B$5=8,'AVH Ist'!I49,0)</f>
        <v>0</v>
      </c>
      <c r="J59" s="307" t="str">
        <f>IF(Kalk!$B$5=8,'AVH Ist'!J49,"")</f>
        <v/>
      </c>
      <c r="K59" s="306" t="str">
        <f t="shared" si="1"/>
        <v/>
      </c>
      <c r="L59" s="306" t="str">
        <f t="shared" si="5"/>
        <v/>
      </c>
      <c r="M59" s="308">
        <f>IF(Kalk!$B$5=8,'AVH Ist'!M49,0)</f>
        <v>0</v>
      </c>
      <c r="N59" s="308">
        <f>IF(Kalk!$B$5=8,'AVH Ist'!N49,0)</f>
        <v>0</v>
      </c>
      <c r="O59" s="308">
        <f>IF(Kalk!$B$5=8,'AVH Ist'!O49,0)</f>
        <v>0</v>
      </c>
      <c r="P59" s="308">
        <f>IF(Kalk!$B$5=8,'AVH Ist'!P49,0)</f>
        <v>0</v>
      </c>
      <c r="Q59" s="308">
        <f>IF(Kalk!$B$5=8,'AVH Ist'!Q49,0)</f>
        <v>0</v>
      </c>
      <c r="R59" s="308">
        <f>IF(Kalk!$B$5=8,'AVH Ist'!R49,0)</f>
        <v>0</v>
      </c>
    </row>
    <row r="60" spans="2:18" ht="11.25" customHeight="1">
      <c r="B60" s="306" t="str">
        <f t="shared" si="3"/>
        <v/>
      </c>
      <c r="C60" s="306" t="str">
        <f t="shared" si="4"/>
        <v/>
      </c>
      <c r="D60" s="308">
        <f>IF(Kalk!$B$5=8,'AVH Ist'!D50,0)</f>
        <v>0</v>
      </c>
      <c r="E60" s="308">
        <f>IF(Kalk!$B$5=8,'AVH Ist'!E50,0)</f>
        <v>0</v>
      </c>
      <c r="F60" s="308">
        <f>IF(Kalk!$B$5=8,'AVH Ist'!F50,0)</f>
        <v>0</v>
      </c>
      <c r="G60" s="308">
        <f>IF(Kalk!$B$5=8,'AVH Ist'!G50,0)</f>
        <v>0</v>
      </c>
      <c r="H60" s="308">
        <f>IF(Kalk!$B$5=8,'AVH Ist'!H50,0)</f>
        <v>0</v>
      </c>
      <c r="I60" s="308">
        <f>IF(Kalk!$B$5=8,'AVH Ist'!I50,0)</f>
        <v>0</v>
      </c>
      <c r="J60" s="307" t="str">
        <f>IF(Kalk!$B$5=8,'AVH Ist'!J50,"")</f>
        <v/>
      </c>
      <c r="K60" s="306" t="str">
        <f t="shared" si="1"/>
        <v/>
      </c>
      <c r="L60" s="306" t="str">
        <f t="shared" si="5"/>
        <v/>
      </c>
      <c r="M60" s="308">
        <f>IF(Kalk!$B$5=8,'AVH Ist'!M50,0)</f>
        <v>0</v>
      </c>
      <c r="N60" s="308">
        <f>IF(Kalk!$B$5=8,'AVH Ist'!N50,0)</f>
        <v>0</v>
      </c>
      <c r="O60" s="308">
        <f>IF(Kalk!$B$5=8,'AVH Ist'!O50,0)</f>
        <v>0</v>
      </c>
      <c r="P60" s="308">
        <f>IF(Kalk!$B$5=8,'AVH Ist'!P50,0)</f>
        <v>0</v>
      </c>
      <c r="Q60" s="308">
        <f>IF(Kalk!$B$5=8,'AVH Ist'!Q50,0)</f>
        <v>0</v>
      </c>
      <c r="R60" s="308">
        <f>IF(Kalk!$B$5=8,'AVH Ist'!R50,0)</f>
        <v>0</v>
      </c>
    </row>
    <row r="61" spans="2:18" ht="11.25" customHeight="1">
      <c r="B61" s="306" t="str">
        <f t="shared" si="3"/>
        <v/>
      </c>
      <c r="C61" s="306" t="str">
        <f t="shared" si="4"/>
        <v/>
      </c>
      <c r="D61" s="308">
        <f>IF(Kalk!$B$5=8,'AVH Ist'!D51,0)</f>
        <v>0</v>
      </c>
      <c r="E61" s="308">
        <f>IF(Kalk!$B$5=8,'AVH Ist'!E51,0)</f>
        <v>0</v>
      </c>
      <c r="F61" s="308">
        <f>IF(Kalk!$B$5=8,'AVH Ist'!F51,0)</f>
        <v>0</v>
      </c>
      <c r="G61" s="308">
        <f>IF(Kalk!$B$5=8,'AVH Ist'!G51,0)</f>
        <v>0</v>
      </c>
      <c r="H61" s="308">
        <f>IF(Kalk!$B$5=8,'AVH Ist'!H51,0)</f>
        <v>0</v>
      </c>
      <c r="I61" s="308">
        <f>IF(Kalk!$B$5=8,'AVH Ist'!I51,0)</f>
        <v>0</v>
      </c>
      <c r="J61" s="307" t="str">
        <f>IF(Kalk!$B$5=8,'AVH Ist'!J51,"")</f>
        <v/>
      </c>
      <c r="K61" s="306" t="str">
        <f t="shared" si="1"/>
        <v/>
      </c>
      <c r="L61" s="306" t="str">
        <f t="shared" si="5"/>
        <v/>
      </c>
      <c r="M61" s="308">
        <f>IF(Kalk!$B$5=8,'AVH Ist'!M51,0)</f>
        <v>0</v>
      </c>
      <c r="N61" s="308">
        <f>IF(Kalk!$B$5=8,'AVH Ist'!N51,0)</f>
        <v>0</v>
      </c>
      <c r="O61" s="308">
        <f>IF(Kalk!$B$5=8,'AVH Ist'!O51,0)</f>
        <v>0</v>
      </c>
      <c r="P61" s="308">
        <f>IF(Kalk!$B$5=8,'AVH Ist'!P51,0)</f>
        <v>0</v>
      </c>
      <c r="Q61" s="308">
        <f>IF(Kalk!$B$5=8,'AVH Ist'!Q51,0)</f>
        <v>0</v>
      </c>
      <c r="R61" s="308">
        <f>IF(Kalk!$B$5=8,'AVH Ist'!R51,0)</f>
        <v>0</v>
      </c>
    </row>
    <row r="62" spans="2:18" ht="11.25" customHeight="1">
      <c r="B62" s="306" t="str">
        <f t="shared" si="3"/>
        <v/>
      </c>
      <c r="C62" s="306" t="str">
        <f t="shared" si="4"/>
        <v/>
      </c>
      <c r="D62" s="308">
        <f>IF(Kalk!$B$5=8,'AVH Ist'!D52,0)</f>
        <v>0</v>
      </c>
      <c r="E62" s="308">
        <f>IF(Kalk!$B$5=8,'AVH Ist'!E52,0)</f>
        <v>0</v>
      </c>
      <c r="F62" s="308">
        <f>IF(Kalk!$B$5=8,'AVH Ist'!F52,0)</f>
        <v>0</v>
      </c>
      <c r="G62" s="308">
        <f>IF(Kalk!$B$5=8,'AVH Ist'!G52,0)</f>
        <v>0</v>
      </c>
      <c r="H62" s="308">
        <f>IF(Kalk!$B$5=8,'AVH Ist'!H52,0)</f>
        <v>0</v>
      </c>
      <c r="I62" s="308">
        <f>IF(Kalk!$B$5=8,'AVH Ist'!I52,0)</f>
        <v>0</v>
      </c>
      <c r="J62" s="307" t="str">
        <f>IF(Kalk!$B$5=8,'AVH Ist'!J52,"")</f>
        <v/>
      </c>
      <c r="K62" s="306" t="str">
        <f t="shared" si="1"/>
        <v/>
      </c>
      <c r="L62" s="306" t="str">
        <f t="shared" si="5"/>
        <v/>
      </c>
      <c r="M62" s="308">
        <f>IF(Kalk!$B$5=8,'AVH Ist'!M52,0)</f>
        <v>0</v>
      </c>
      <c r="N62" s="308">
        <f>IF(Kalk!$B$5=8,'AVH Ist'!N52,0)</f>
        <v>0</v>
      </c>
      <c r="O62" s="308">
        <f>IF(Kalk!$B$5=8,'AVH Ist'!O52,0)</f>
        <v>0</v>
      </c>
      <c r="P62" s="308">
        <f>IF(Kalk!$B$5=8,'AVH Ist'!P52,0)</f>
        <v>0</v>
      </c>
      <c r="Q62" s="308">
        <f>IF(Kalk!$B$5=8,'AVH Ist'!Q52,0)</f>
        <v>0</v>
      </c>
      <c r="R62" s="308">
        <f>IF(Kalk!$B$5=8,'AVH Ist'!R52,0)</f>
        <v>0</v>
      </c>
    </row>
    <row r="63" spans="2:18" ht="11.25" customHeight="1">
      <c r="B63" s="306" t="str">
        <f t="shared" si="3"/>
        <v/>
      </c>
      <c r="C63" s="306" t="str">
        <f t="shared" si="4"/>
        <v/>
      </c>
      <c r="D63" s="308">
        <f>IF(Kalk!$B$5=8,'AVH Ist'!D53,0)</f>
        <v>0</v>
      </c>
      <c r="E63" s="308">
        <f>IF(Kalk!$B$5=8,'AVH Ist'!E53,0)</f>
        <v>0</v>
      </c>
      <c r="F63" s="308">
        <f>IF(Kalk!$B$5=8,'AVH Ist'!F53,0)</f>
        <v>0</v>
      </c>
      <c r="G63" s="308">
        <f>IF(Kalk!$B$5=8,'AVH Ist'!G53,0)</f>
        <v>0</v>
      </c>
      <c r="H63" s="308">
        <f>IF(Kalk!$B$5=8,'AVH Ist'!H53,0)</f>
        <v>0</v>
      </c>
      <c r="I63" s="308">
        <f>IF(Kalk!$B$5=8,'AVH Ist'!I53,0)</f>
        <v>0</v>
      </c>
      <c r="J63" s="307" t="str">
        <f>IF(Kalk!$B$5=8,'AVH Ist'!J53,"")</f>
        <v/>
      </c>
      <c r="K63" s="306" t="str">
        <f t="shared" si="1"/>
        <v/>
      </c>
      <c r="L63" s="306" t="str">
        <f t="shared" si="5"/>
        <v/>
      </c>
      <c r="M63" s="308">
        <f>IF(Kalk!$B$5=8,'AVH Ist'!M53,0)</f>
        <v>0</v>
      </c>
      <c r="N63" s="308">
        <f>IF(Kalk!$B$5=8,'AVH Ist'!N53,0)</f>
        <v>0</v>
      </c>
      <c r="O63" s="308">
        <f>IF(Kalk!$B$5=8,'AVH Ist'!O53,0)</f>
        <v>0</v>
      </c>
      <c r="P63" s="308">
        <f>IF(Kalk!$B$5=8,'AVH Ist'!P53,0)</f>
        <v>0</v>
      </c>
      <c r="Q63" s="308">
        <f>IF(Kalk!$B$5=8,'AVH Ist'!Q53,0)</f>
        <v>0</v>
      </c>
      <c r="R63" s="308">
        <f>IF(Kalk!$B$5=8,'AVH Ist'!R53,0)</f>
        <v>0</v>
      </c>
    </row>
    <row r="64" spans="2:18" ht="11.25" customHeight="1">
      <c r="B64" s="306" t="str">
        <f t="shared" si="3"/>
        <v/>
      </c>
      <c r="C64" s="306" t="str">
        <f t="shared" si="4"/>
        <v/>
      </c>
      <c r="D64" s="308">
        <f>IF(Kalk!$B$5=8,'AVH Ist'!D54,0)</f>
        <v>0</v>
      </c>
      <c r="E64" s="308">
        <f>IF(Kalk!$B$5=8,'AVH Ist'!E54,0)</f>
        <v>0</v>
      </c>
      <c r="F64" s="308">
        <f>IF(Kalk!$B$5=8,'AVH Ist'!F54,0)</f>
        <v>0</v>
      </c>
      <c r="G64" s="308">
        <f>IF(Kalk!$B$5=8,'AVH Ist'!G54,0)</f>
        <v>0</v>
      </c>
      <c r="H64" s="308">
        <f>IF(Kalk!$B$5=8,'AVH Ist'!H54,0)</f>
        <v>0</v>
      </c>
      <c r="I64" s="308">
        <f>IF(Kalk!$B$5=8,'AVH Ist'!I54,0)</f>
        <v>0</v>
      </c>
      <c r="J64" s="307" t="str">
        <f>IF(Kalk!$B$5=8,'AVH Ist'!J54,"")</f>
        <v/>
      </c>
      <c r="K64" s="306" t="str">
        <f t="shared" si="1"/>
        <v/>
      </c>
      <c r="L64" s="306" t="str">
        <f t="shared" si="5"/>
        <v/>
      </c>
      <c r="M64" s="308">
        <f>IF(Kalk!$B$5=8,'AVH Ist'!M54,0)</f>
        <v>0</v>
      </c>
      <c r="N64" s="308">
        <f>IF(Kalk!$B$5=8,'AVH Ist'!N54,0)</f>
        <v>0</v>
      </c>
      <c r="O64" s="308">
        <f>IF(Kalk!$B$5=8,'AVH Ist'!O54,0)</f>
        <v>0</v>
      </c>
      <c r="P64" s="308">
        <f>IF(Kalk!$B$5=8,'AVH Ist'!P54,0)</f>
        <v>0</v>
      </c>
      <c r="Q64" s="308">
        <f>IF(Kalk!$B$5=8,'AVH Ist'!Q54,0)</f>
        <v>0</v>
      </c>
      <c r="R64" s="308">
        <f>IF(Kalk!$B$5=8,'AVH Ist'!R54,0)</f>
        <v>0</v>
      </c>
    </row>
    <row r="65" spans="2:20" ht="11.25" customHeight="1">
      <c r="B65" s="306" t="str">
        <f t="shared" si="3"/>
        <v/>
      </c>
      <c r="C65" s="306" t="str">
        <f t="shared" si="4"/>
        <v/>
      </c>
      <c r="D65" s="308">
        <f>IF(Kalk!$B$5=8,'AVH Ist'!D55,0)</f>
        <v>0</v>
      </c>
      <c r="E65" s="308">
        <f>IF(Kalk!$B$5=8,'AVH Ist'!E55,0)</f>
        <v>0</v>
      </c>
      <c r="F65" s="308">
        <f>IF(Kalk!$B$5=8,'AVH Ist'!F55,0)</f>
        <v>0</v>
      </c>
      <c r="G65" s="308">
        <f>IF(Kalk!$B$5=8,'AVH Ist'!G55,0)</f>
        <v>0</v>
      </c>
      <c r="H65" s="308">
        <f>IF(Kalk!$B$5=8,'AVH Ist'!H55,0)</f>
        <v>0</v>
      </c>
      <c r="I65" s="308">
        <f>IF(Kalk!$B$5=8,'AVH Ist'!I55,0)</f>
        <v>0</v>
      </c>
      <c r="J65" s="307" t="str">
        <f>IF(Kalk!$B$5=8,'AVH Ist'!J55,"")</f>
        <v/>
      </c>
      <c r="K65" s="306" t="str">
        <f t="shared" si="1"/>
        <v/>
      </c>
      <c r="L65" s="306" t="str">
        <f t="shared" si="5"/>
        <v/>
      </c>
      <c r="M65" s="308">
        <f>IF(Kalk!$B$5=8,'AVH Ist'!M55,0)</f>
        <v>0</v>
      </c>
      <c r="N65" s="308">
        <f>IF(Kalk!$B$5=8,'AVH Ist'!N55,0)</f>
        <v>0</v>
      </c>
      <c r="O65" s="308">
        <f>IF(Kalk!$B$5=8,'AVH Ist'!O55,0)</f>
        <v>0</v>
      </c>
      <c r="P65" s="308">
        <f>IF(Kalk!$B$5=8,'AVH Ist'!P55,0)</f>
        <v>0</v>
      </c>
      <c r="Q65" s="308">
        <f>IF(Kalk!$B$5=8,'AVH Ist'!Q55,0)</f>
        <v>0</v>
      </c>
      <c r="R65" s="308">
        <f>IF(Kalk!$B$5=8,'AVH Ist'!R55,0)</f>
        <v>0</v>
      </c>
    </row>
    <row r="66" spans="2:20" ht="11.25" customHeight="1">
      <c r="B66" s="306"/>
      <c r="C66" s="306"/>
      <c r="D66" s="308"/>
      <c r="E66" s="308"/>
      <c r="F66" s="308"/>
      <c r="G66" s="308"/>
      <c r="H66" s="308"/>
      <c r="I66" s="308"/>
      <c r="J66" s="308"/>
      <c r="K66" s="308"/>
      <c r="L66" s="308"/>
      <c r="M66" s="308"/>
      <c r="N66" s="308"/>
      <c r="O66" s="308"/>
      <c r="P66" s="308"/>
      <c r="Q66" s="308"/>
      <c r="R66" s="308"/>
      <c r="S66" s="308"/>
      <c r="T66" s="308"/>
    </row>
    <row r="67" spans="2:20" ht="11.25" customHeight="1">
      <c r="B67" s="306"/>
      <c r="C67" s="306"/>
      <c r="D67" s="308"/>
      <c r="E67" s="308"/>
      <c r="F67" s="308"/>
      <c r="G67" s="308"/>
      <c r="H67" s="308"/>
      <c r="I67" s="308"/>
      <c r="J67" s="307" t="str">
        <f>IF(Kalk!$B$5=8,'AVH Ist'!J57,"")</f>
        <v/>
      </c>
      <c r="K67" s="306"/>
      <c r="L67" s="306"/>
      <c r="M67" s="308"/>
      <c r="N67" s="308"/>
      <c r="O67" s="308"/>
      <c r="P67" s="308"/>
      <c r="Q67" s="308"/>
      <c r="R67" s="308"/>
    </row>
    <row r="89" spans="1:18" ht="11.25" customHeight="1">
      <c r="A89" s="307"/>
      <c r="B89" s="307"/>
      <c r="C89" s="307"/>
      <c r="D89" s="307"/>
      <c r="E89" s="318"/>
      <c r="F89" s="307"/>
      <c r="G89" s="307"/>
      <c r="H89" s="307"/>
      <c r="I89" s="319"/>
      <c r="J89" s="307"/>
      <c r="K89" s="319"/>
      <c r="L89" s="319"/>
      <c r="M89" s="307"/>
      <c r="N89" s="307"/>
      <c r="O89" s="307"/>
      <c r="P89" s="307"/>
      <c r="Q89" s="307"/>
      <c r="R89" s="307"/>
    </row>
    <row r="90" spans="1:18" ht="11.25" customHeight="1">
      <c r="A90" s="307"/>
      <c r="B90" s="307"/>
      <c r="C90" s="307"/>
      <c r="D90" s="307"/>
      <c r="E90" s="318"/>
      <c r="F90" s="307"/>
      <c r="G90" s="307"/>
      <c r="H90" s="307"/>
      <c r="I90" s="319"/>
      <c r="J90" s="307"/>
      <c r="K90" s="319"/>
      <c r="L90" s="319"/>
      <c r="M90" s="307"/>
      <c r="N90" s="307"/>
      <c r="O90" s="307"/>
      <c r="P90" s="307"/>
      <c r="Q90" s="307"/>
      <c r="R90" s="307"/>
    </row>
    <row r="91" spans="1:18" ht="11.25" customHeight="1">
      <c r="A91" s="307"/>
      <c r="B91" s="307"/>
      <c r="C91" s="307"/>
      <c r="D91" s="307"/>
      <c r="E91" s="318"/>
      <c r="F91" s="307"/>
      <c r="G91" s="307"/>
      <c r="H91" s="307"/>
      <c r="I91" s="307"/>
      <c r="J91" s="307"/>
      <c r="K91" s="319"/>
      <c r="L91" s="319"/>
      <c r="M91" s="307"/>
      <c r="N91" s="307"/>
      <c r="O91" s="307"/>
      <c r="P91" s="307"/>
      <c r="Q91" s="307"/>
      <c r="R91" s="307"/>
    </row>
    <row r="92" spans="1:18" ht="11.25" customHeight="1">
      <c r="A92" s="320"/>
      <c r="B92" s="299"/>
      <c r="C92" s="299"/>
      <c r="D92" s="320"/>
      <c r="E92" s="321"/>
      <c r="F92" s="299"/>
      <c r="G92" s="299"/>
      <c r="H92" s="299"/>
      <c r="I92" s="299"/>
      <c r="J92" s="299"/>
      <c r="K92" s="309"/>
      <c r="L92" s="309"/>
      <c r="M92" s="299"/>
      <c r="N92" s="299"/>
      <c r="O92" s="299"/>
      <c r="P92" s="299"/>
      <c r="Q92" s="299"/>
      <c r="R92" s="299"/>
    </row>
    <row r="93" spans="1:18" ht="11.25" customHeight="1">
      <c r="A93" s="320"/>
      <c r="B93" s="299"/>
      <c r="C93" s="299"/>
      <c r="D93" s="320"/>
      <c r="E93" s="321"/>
      <c r="F93" s="299"/>
      <c r="G93" s="299"/>
      <c r="H93" s="299"/>
      <c r="I93" s="299"/>
      <c r="J93" s="299"/>
      <c r="K93" s="309"/>
      <c r="L93" s="309"/>
      <c r="M93" s="299"/>
      <c r="N93" s="299"/>
      <c r="O93" s="299"/>
      <c r="P93" s="299"/>
      <c r="Q93" s="299"/>
      <c r="R93" s="299"/>
    </row>
  </sheetData>
  <mergeCells count="24">
    <mergeCell ref="N45:P45"/>
    <mergeCell ref="H35:I35"/>
    <mergeCell ref="K45:M45"/>
    <mergeCell ref="Q10:R10"/>
    <mergeCell ref="K10:M10"/>
    <mergeCell ref="N10:P10"/>
    <mergeCell ref="Q45:R45"/>
    <mergeCell ref="H10:I10"/>
    <mergeCell ref="E10:G10"/>
    <mergeCell ref="E35:G35"/>
    <mergeCell ref="B35:D35"/>
    <mergeCell ref="I36:I45"/>
    <mergeCell ref="B2:D2"/>
    <mergeCell ref="E2:P2"/>
    <mergeCell ref="K4:P6"/>
    <mergeCell ref="F5:G5"/>
    <mergeCell ref="K36:R42"/>
    <mergeCell ref="B10:D10"/>
    <mergeCell ref="D36:D45"/>
    <mergeCell ref="E36:E45"/>
    <mergeCell ref="F36:F45"/>
    <mergeCell ref="G36:G45"/>
    <mergeCell ref="H36:H45"/>
    <mergeCell ref="B36:C45"/>
  </mergeCells>
  <conditionalFormatting sqref="K12:R30 B12:I30 D47:R65 B32:I32 K32:R32 B47:C67 J67:L67">
    <cfRule type="cellIs" dxfId="1" priority="1" stopIfTrue="1" operator="equal">
      <formula>0</formula>
    </cfRule>
    <cfRule type="cellIs" dxfId="0" priority="2" stopIfTrue="1" operator="equal">
      <formula>""</formula>
    </cfRule>
  </conditionalFormatting>
  <printOptions horizontalCentered="1" verticalCentered="1"/>
  <pageMargins left="0.39370078740157483" right="0.39370078740157483" top="0.19685039370078741" bottom="0.19685039370078741" header="0.51181102362204722" footer="0.51181102362204722"/>
  <pageSetup paperSize="9" scale="84" orientation="landscape" r:id="rId1"/>
  <headerFooter alignWithMargins="0">
    <oddFooter>&amp;L&amp;"Arial,Standard"&amp;4dbb
tarifunion
Entgelte
Version 1.1.
10.10.2007
&amp;D</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AM169"/>
  <sheetViews>
    <sheetView zoomScale="110" zoomScaleNormal="110" workbookViewId="0">
      <selection activeCell="C1" sqref="C1"/>
    </sheetView>
  </sheetViews>
  <sheetFormatPr baseColWidth="10" defaultColWidth="9.140625" defaultRowHeight="12.75" customHeight="1"/>
  <cols>
    <col min="1" max="3" width="27.140625" style="67" customWidth="1"/>
    <col min="4" max="4" width="20" style="67" customWidth="1"/>
    <col min="5" max="16384" width="9.140625" style="67"/>
  </cols>
  <sheetData>
    <row r="1" spans="1:17" s="102" customFormat="1" ht="12.75" customHeight="1">
      <c r="A1" s="527" t="str">
        <f>Umse!B11</f>
        <v>1.2.</v>
      </c>
      <c r="B1" s="456" t="str">
        <f>IF(A1=0,"Bitte Tarifgebiet auswählen",IF(OR($A$1="5.23.",$A$1="5.24.",$A$1="5.25.",$A$1="5.26.",$A$1="5.27.",$A$1="5.28.",$A$1="5.29.",$A$1="5.30.",$A$1="5.31.",$A$1="5.32.",$A$1="5.33.",$A$1="6.5.",$A$1="6.6."),Para!G136&amp;Para!H136,IF(B5=7,'L Ist'!AB33,IF($A$1="8.1.",Para!G153&amp;Para!H153,IF($A$1="8.2.",Para!G154&amp;Para!H154,IF($A$1="8.3.",Para!G155&amp;Para!H155,IF($A$1="8.4.",Para!G155&amp;Para!H155,A3)))))))</f>
        <v/>
      </c>
      <c r="C1" s="456" t="str">
        <f>IF(OR($A$1="1.1.",$A$1="2.1.",$A$1="2.2.",$A$1="2.3.",$A$1="2.4."),Para!G96&amp;Para!H96,IF(OR($A$1="1.2.",$A$1="2.5.",$A$1="2.6.",$A$1="2.7.",$A$1="2.8."),Para!G97&amp;Para!H97,IF(OR($A$1="1.3.",$A$1="2.9.",$A$1="2.10.",$A$1="2.11.",$A$1="2.12."),Para!G98&amp;Para!H98,IF(OR($A$1="5.1.",$A$1="5.2.",$A$1="5.3.",$A$1="5.4.",$A$1="5.5.",$A$1="5.6.",$A$1="5.7.",$A$1="5.8.",$A$1="5.9.",$A$1="5.10.",$A$1="5.11.",$A$1="6.1.",$A$1="6.2."),Para!G134&amp;Para!H134,IF(OR($A$1="5.12.",$A$1="5.13.",$A$1="5.14.",$A$1="5.15.",$A$1="5.16.",$A$1="5.17.",$A$1="5.18.",$A$1="5.19.",$A$1="5.20.",$A$1="5.21.",$A$1="5.22.",$A$1="6.3.",$A$1="6.4."),Para!G135&amp;Para!H135,IF(B4=9,'L Ist'!AA1,IF(B4=10,'L Ist'!U33,B1)))))))</f>
        <v>Stand 1.04.2021 ( gilt bis 31.03.2022 )</v>
      </c>
      <c r="D1" s="456" t="str">
        <f>IF(Umse!C24=0,"",IF(OR($A$1="2.3.",$A$1="2.6.",$A$1="2.7.",$A$1="2.8.",$A$1="2.10.",$A$1="2.11.",$A$1="2.12.",$A$1="4.4.",$A$1="4.6.",$A$1="3.1.",$A$1="3.3.",$A$1="3.5.",$A$1="3.7.",$A$1="3.9.",$A$1="3.10.",$A$1="3.11.",$A$1="3.12."),"     Bitte Auswahl treffen",IF(AND(B5=5,Umse!B50="Land ( TdL )"),"     Bitte Auswahl treffen",IF(AND(B5=7,Umse!B50="Land ( TdL )"),"     Bitte Auswahl treffen",IF(AND(B5=8,Umse!B50="Hamburg ( AVH )"),"     Bitte Auswahl treffen",IF(AND(B5=9,Umse!B50="Land Hessen"),"     Bitte Auswahl treffen",IF(AND(B5=10,Umse!B50="dataport AöR"),"     Bitte Auswahl treffen","")))))))</f>
        <v/>
      </c>
      <c r="E1" s="137"/>
      <c r="F1" s="137"/>
      <c r="G1" s="137"/>
    </row>
    <row r="2" spans="1:17" ht="12.75" customHeight="1" thickBot="1">
      <c r="A2" s="528" t="s">
        <v>511</v>
      </c>
      <c r="B2" s="504" t="s">
        <v>466</v>
      </c>
      <c r="C2" s="135"/>
      <c r="D2" s="504" t="s">
        <v>467</v>
      </c>
      <c r="N2" s="102"/>
      <c r="O2" s="102"/>
      <c r="P2" s="102"/>
      <c r="Q2" s="102"/>
    </row>
    <row r="3" spans="1:17" ht="12.75" customHeight="1">
      <c r="A3" s="585" t="str">
        <f>IF(OR(A1="3.1.",A1="3.2.",A1="4.1.",A1="4.2."),Para!G106&amp;Para!H106,IF(OR(A1="3.3.",A1="3.4."),Para!G96&amp;Para!H96,IF(OR(A1="3.5.",A1="3.6.",A1="4.3.",A1="4.4."),Para!G107&amp;Para!H107,IF(OR(A1="3.7.",A1="3.8."),Para!G97&amp;Para!H97,IF(OR(A1="3.9.",A1="3.10.",A1="4.5.",A1="4.6."),Para!G108&amp;Para!H108,IF(OR(A1="3.11.",A1="3.12."),Para!G98&amp;Para!H98,""))))))</f>
        <v/>
      </c>
      <c r="B3" s="55" t="s">
        <v>101</v>
      </c>
      <c r="C3" s="56" t="s">
        <v>101</v>
      </c>
      <c r="D3" s="57" t="s">
        <v>102</v>
      </c>
      <c r="E3" s="51" t="str">
        <f>VLOOKUP(D4,G3:H7,2)</f>
        <v xml:space="preserve">39 Std </v>
      </c>
      <c r="F3" s="15"/>
      <c r="G3" s="41">
        <v>1</v>
      </c>
      <c r="H3" s="50" t="str">
        <f>IF(K3=0,"",(INT(K3)&amp;" Std "&amp;IF(CEILING(ROUNDDOWN((K3-TRUNC(K3))*60,1),1)&gt;0,CEILING(ROUNDDOWN((K3-TRUNC(K3))*60,1),1)&amp;" min","")))</f>
        <v xml:space="preserve">39 Std </v>
      </c>
      <c r="I3" s="17"/>
      <c r="J3" s="19"/>
      <c r="K3" s="45">
        <f>IF($A$1=0,"",VLOOKUP($C$5,$F$35:$K$169,2))</f>
        <v>39</v>
      </c>
      <c r="L3" s="18"/>
      <c r="N3" s="102"/>
      <c r="O3" s="102"/>
      <c r="P3" s="102"/>
      <c r="Q3" s="102"/>
    </row>
    <row r="4" spans="1:17" ht="12.75" customHeight="1">
      <c r="B4" s="67">
        <v>1</v>
      </c>
      <c r="C4" s="67">
        <v>2</v>
      </c>
      <c r="D4" s="67">
        <v>1</v>
      </c>
      <c r="G4" s="41">
        <v>2</v>
      </c>
      <c r="H4" s="50" t="str">
        <f>IF(K4=0,"",(INT(K4)&amp;" Std "&amp;IF(CEILING(ROUNDDOWN((K4-TRUNC(K4))*60,1),1)&gt;0,CEILING(ROUNDDOWN((K4-TRUNC(K4))*60,1),1)&amp;" min","")))</f>
        <v xml:space="preserve">39 Std </v>
      </c>
      <c r="I4" s="17"/>
      <c r="J4" s="18"/>
      <c r="K4" s="46">
        <f>IF($A$1=0,"",VLOOKUP($C$5,$F$35:$K$169,3))</f>
        <v>39</v>
      </c>
      <c r="L4" s="18"/>
      <c r="N4" s="102"/>
      <c r="O4" s="102"/>
      <c r="P4" s="102"/>
      <c r="Q4" s="102"/>
    </row>
    <row r="5" spans="1:17" ht="12.75" customHeight="1">
      <c r="B5" s="48">
        <f>B4</f>
        <v>1</v>
      </c>
      <c r="C5" s="91">
        <f>IF(B5=1,C4)+IF(B5=2,C4+4)+IF(B5=3,C4+19)+IF(B5=4,C4+31)+IF(B5=5,C4+45)+IF(B5=6,C4+78)+IF(B5=7,C4+84)+IF(B5=8,C4+117)+IF(B5=9,C4+123)+IF(B5=10,C4+129)</f>
        <v>2</v>
      </c>
      <c r="D5" s="49">
        <f>D4</f>
        <v>1</v>
      </c>
      <c r="E5" s="20" t="s">
        <v>99</v>
      </c>
      <c r="G5" s="41">
        <v>3</v>
      </c>
      <c r="H5" s="50" t="str">
        <f>IF(K5=0,"",(INT(K5)&amp;" Std "&amp;IF(CEILING(ROUNDDOWN((K5-TRUNC(K5))*60,1),1)&gt;0,CEILING(ROUNDDOWN((K5-TRUNC(K5))*60,1),1)&amp;" min","")))</f>
        <v xml:space="preserve">39 Std </v>
      </c>
      <c r="I5" s="17"/>
      <c r="J5" s="18"/>
      <c r="K5" s="46">
        <f>IF($A$1=0,"",VLOOKUP($C$5,$F$35:$K$169,4))</f>
        <v>39</v>
      </c>
      <c r="L5" s="18"/>
      <c r="N5" s="102"/>
      <c r="O5" s="102"/>
      <c r="P5" s="102"/>
      <c r="Q5" s="102"/>
    </row>
    <row r="6" spans="1:17" ht="12.75" customHeight="1">
      <c r="B6" s="42" t="s">
        <v>100</v>
      </c>
      <c r="C6" s="20">
        <f>C4</f>
        <v>2</v>
      </c>
      <c r="D6" s="20" t="s">
        <v>65</v>
      </c>
      <c r="G6" s="41">
        <v>4</v>
      </c>
      <c r="H6" s="50" t="str">
        <f>IF(K6=0,"",(INT(K6)&amp;" Std "&amp;IF(CEILING(ROUNDDOWN((K6-TRUNC(K6))*60,1),1)&gt;0,CEILING(ROUNDDOWN((K6-TRUNC(K6))*60,1),1)&amp;" min","")))</f>
        <v xml:space="preserve">39 Std </v>
      </c>
      <c r="I6" s="17"/>
      <c r="J6" s="18"/>
      <c r="K6" s="46">
        <f>IF($A$1=0,"",VLOOKUP($C$5,$F$35:$K$169,5))</f>
        <v>39</v>
      </c>
      <c r="L6" s="18"/>
      <c r="N6" s="102"/>
      <c r="O6" s="102"/>
      <c r="P6" s="102"/>
      <c r="Q6" s="102"/>
    </row>
    <row r="7" spans="1:17" ht="12.75" customHeight="1" thickBot="1">
      <c r="G7" s="41">
        <v>5</v>
      </c>
      <c r="H7" s="50" t="str">
        <f>IF(K7=0,"",(INT(K7)&amp;" Std "&amp;IF(CEILING(ROUNDDOWN((K7-TRUNC(K7))*60,1),1)&gt;0,CEILING(ROUNDDOWN((K7-TRUNC(K7))*60,1),1)&amp;" min","")))</f>
        <v xml:space="preserve">39 Std </v>
      </c>
      <c r="I7" s="17"/>
      <c r="J7" s="18"/>
      <c r="K7" s="47">
        <f>IF($A$1=0,"",VLOOKUP($C$5,$F$35:$K$169,6))</f>
        <v>39</v>
      </c>
      <c r="L7" s="18"/>
      <c r="N7" s="102"/>
      <c r="O7" s="102"/>
      <c r="P7" s="102"/>
      <c r="Q7" s="102"/>
    </row>
    <row r="8" spans="1:17" ht="12.75" customHeight="1">
      <c r="H8" s="21"/>
      <c r="I8" s="22"/>
      <c r="K8" s="77"/>
    </row>
    <row r="9" spans="1:17" ht="12.75" customHeight="1" thickBot="1">
      <c r="H9" s="21"/>
      <c r="I9" s="22"/>
      <c r="K9" s="77"/>
    </row>
    <row r="10" spans="1:17" ht="12.75" customHeight="1">
      <c r="B10" s="38" t="str">
        <f>$A$1</f>
        <v>1.2.</v>
      </c>
      <c r="C10" s="45" t="str">
        <f>IF(K3=0,"",K3&amp;D10)</f>
        <v>39 Std</v>
      </c>
      <c r="D10" s="67" t="str">
        <f>IF(Umse!C24=0,"",IF(OR($A$1="2.6.",$A$1="2.8.",$A$1="4.4.")," Std bis Dez 2021",IF(OR($A$1="2.10.",$A$1="2.12.",$A$1="4.6.",$A$1="3.10.",$A$1="3.12.")," Std bis Dez 2022"," Std")))</f>
        <v xml:space="preserve"> Std</v>
      </c>
      <c r="H10" s="21"/>
      <c r="I10" s="22"/>
      <c r="K10" s="77"/>
    </row>
    <row r="11" spans="1:17" ht="12.75" customHeight="1">
      <c r="B11" s="39" t="str">
        <f>VLOOKUP(B5,A20:B29,2)</f>
        <v>TVöD ( Bund )</v>
      </c>
      <c r="C11" s="46" t="str">
        <f>IF(OR(K4=0,K4=K3),"",K4&amp;D11)</f>
        <v/>
      </c>
      <c r="D11" s="67" t="str">
        <f>IF(Umse!C24=0,"",IF(OR($A$1="2.6.",$A$1="2.8.",$A$1="4.4.")," Std ab Jan 2022",IF(OR($A$1="2.10.",$A$1="2.12.",$A$1="4.6.",$A$1="3.10.",$A$1="3.12.")," Std ab Jan 2023"," Std")))</f>
        <v xml:space="preserve"> Std</v>
      </c>
    </row>
    <row r="12" spans="1:17" ht="12.75" customHeight="1">
      <c r="B12" s="78" t="str">
        <f>Umse!B23</f>
        <v>West und Ost ( ab 1.04.2021 )</v>
      </c>
      <c r="C12" s="46" t="str">
        <f>IF(OR(K5=0,K5=K4),"",K5)</f>
        <v/>
      </c>
    </row>
    <row r="13" spans="1:17" ht="12.75" customHeight="1" thickBot="1">
      <c r="B13" s="79">
        <f>Umse!B24</f>
        <v>39</v>
      </c>
      <c r="C13" s="46" t="str">
        <f>IF(OR(K6=0,K6=K5),"",K6)</f>
        <v/>
      </c>
    </row>
    <row r="14" spans="1:17" ht="12.75" customHeight="1" thickBot="1">
      <c r="B14" s="80">
        <f>Umse!C24</f>
        <v>169.57</v>
      </c>
      <c r="C14" s="47" t="str">
        <f>IF(OR(K7=0,K7=K6),"",K7)</f>
        <v/>
      </c>
    </row>
    <row r="19" spans="1:39" ht="12.75" customHeight="1" thickBot="1">
      <c r="B19" s="81"/>
      <c r="C19" s="81"/>
      <c r="G19" s="31">
        <v>1</v>
      </c>
      <c r="H19" s="31">
        <v>2</v>
      </c>
      <c r="I19" s="31">
        <v>3</v>
      </c>
      <c r="J19" s="31">
        <v>4</v>
      </c>
      <c r="K19" s="31">
        <v>5</v>
      </c>
      <c r="L19" s="31">
        <v>6</v>
      </c>
      <c r="M19" s="31">
        <v>7</v>
      </c>
      <c r="N19" s="31">
        <v>8</v>
      </c>
      <c r="O19" s="31">
        <v>9</v>
      </c>
      <c r="P19" s="31">
        <v>10</v>
      </c>
      <c r="Q19" s="31">
        <v>11</v>
      </c>
      <c r="R19" s="31">
        <v>12</v>
      </c>
      <c r="S19" s="31">
        <v>13</v>
      </c>
      <c r="T19" s="31">
        <v>14</v>
      </c>
      <c r="U19" s="31">
        <v>15</v>
      </c>
      <c r="V19" s="31">
        <v>16</v>
      </c>
      <c r="W19" s="31">
        <v>17</v>
      </c>
      <c r="X19" s="31">
        <v>18</v>
      </c>
      <c r="Y19" s="31">
        <v>19</v>
      </c>
      <c r="Z19" s="31">
        <v>20</v>
      </c>
      <c r="AA19" s="31">
        <v>21</v>
      </c>
      <c r="AB19" s="31">
        <v>22</v>
      </c>
      <c r="AC19" s="31">
        <v>23</v>
      </c>
      <c r="AD19" s="31">
        <v>24</v>
      </c>
      <c r="AE19" s="31">
        <v>25</v>
      </c>
      <c r="AF19" s="31">
        <v>26</v>
      </c>
      <c r="AG19" s="31">
        <v>27</v>
      </c>
      <c r="AH19" s="31">
        <v>28</v>
      </c>
      <c r="AI19" s="31">
        <v>29</v>
      </c>
      <c r="AJ19" s="31">
        <v>30</v>
      </c>
      <c r="AK19" s="31">
        <v>31</v>
      </c>
      <c r="AL19" s="31">
        <v>32</v>
      </c>
      <c r="AM19" s="31">
        <v>33</v>
      </c>
    </row>
    <row r="20" spans="1:39" ht="12.75" customHeight="1">
      <c r="A20" s="68">
        <v>1</v>
      </c>
      <c r="B20" s="119" t="s">
        <v>121</v>
      </c>
      <c r="C20" s="502" t="str">
        <f>IF(D20=0,"",D20)</f>
        <v>West und Ost ( ab 1.03.2020 )</v>
      </c>
      <c r="D20" s="23" t="str">
        <f>VLOOKUP($B$4,$F$20:$P$29,2)</f>
        <v>West und Ost ( ab 1.03.2020 )</v>
      </c>
      <c r="E20" s="18"/>
      <c r="F20" s="488">
        <v>1</v>
      </c>
      <c r="G20" s="489" t="str">
        <f>Umse!C13</f>
        <v>West und Ost ( ab 1.03.2020 )</v>
      </c>
      <c r="H20" s="489" t="str">
        <f>Umse!D13</f>
        <v>West und Ost ( ab 1.04.2021 )</v>
      </c>
      <c r="I20" s="489" t="str">
        <f>Umse!E13</f>
        <v>West und Ost ( ab 1.04.2022 )</v>
      </c>
      <c r="J20" s="496" t="str">
        <f>""</f>
        <v/>
      </c>
      <c r="K20" s="496" t="str">
        <f>""</f>
        <v/>
      </c>
      <c r="L20" s="496" t="str">
        <f>""</f>
        <v/>
      </c>
      <c r="M20" s="496" t="str">
        <f>""</f>
        <v/>
      </c>
      <c r="N20" s="496" t="str">
        <f>""</f>
        <v/>
      </c>
      <c r="O20" s="496" t="str">
        <f>""</f>
        <v/>
      </c>
      <c r="P20" s="496" t="str">
        <f>""</f>
        <v/>
      </c>
      <c r="Q20" s="496" t="str">
        <f>""</f>
        <v/>
      </c>
      <c r="R20" s="496" t="str">
        <f>""</f>
        <v/>
      </c>
      <c r="S20" s="496" t="str">
        <f>""</f>
        <v/>
      </c>
      <c r="T20" s="496" t="str">
        <f>""</f>
        <v/>
      </c>
      <c r="U20" s="496" t="str">
        <f>""</f>
        <v/>
      </c>
      <c r="V20" s="496" t="str">
        <f>""</f>
        <v/>
      </c>
      <c r="W20" s="496" t="str">
        <f>""</f>
        <v/>
      </c>
      <c r="X20" s="496" t="str">
        <f>""</f>
        <v/>
      </c>
      <c r="Y20" s="496" t="str">
        <f>""</f>
        <v/>
      </c>
      <c r="Z20" s="496" t="str">
        <f>""</f>
        <v/>
      </c>
      <c r="AA20" s="496" t="str">
        <f>""</f>
        <v/>
      </c>
      <c r="AB20" s="496" t="str">
        <f>""</f>
        <v/>
      </c>
      <c r="AC20" s="496" t="str">
        <f>""</f>
        <v/>
      </c>
      <c r="AD20" s="496" t="str">
        <f>""</f>
        <v/>
      </c>
      <c r="AE20" s="496" t="str">
        <f>""</f>
        <v/>
      </c>
      <c r="AF20" s="496" t="str">
        <f>""</f>
        <v/>
      </c>
      <c r="AG20" s="496" t="str">
        <f>""</f>
        <v/>
      </c>
      <c r="AH20" s="496" t="str">
        <f>""</f>
        <v/>
      </c>
      <c r="AI20" s="496" t="str">
        <f>""</f>
        <v/>
      </c>
      <c r="AJ20" s="496" t="str">
        <f>""</f>
        <v/>
      </c>
      <c r="AK20" s="496" t="str">
        <f>""</f>
        <v/>
      </c>
      <c r="AL20" s="496" t="str">
        <f>""</f>
        <v/>
      </c>
    </row>
    <row r="21" spans="1:39" ht="12.75" customHeight="1">
      <c r="A21" s="69">
        <v>2</v>
      </c>
      <c r="B21" s="120" t="s">
        <v>122</v>
      </c>
      <c r="C21" s="503" t="str">
        <f>IF(D21=0,"",D21)</f>
        <v>West und Ost ( ab 1.04.2021 )</v>
      </c>
      <c r="D21" s="23" t="str">
        <f>VLOOKUP($B$4,$F$20:$P$29,3)</f>
        <v>West und Ost ( ab 1.04.2021 )</v>
      </c>
      <c r="E21" s="18"/>
      <c r="F21" s="490">
        <v>2</v>
      </c>
      <c r="G21" s="497" t="str">
        <f>Umse!C14</f>
        <v>West AT ( ab 1.03.2020 )</v>
      </c>
      <c r="H21" s="497" t="str">
        <f>Umse!D14</f>
        <v>Ost AT ( ab 1.03.2020 )</v>
      </c>
      <c r="I21" s="497" t="str">
        <f>Umse!E14</f>
        <v>West SuE ( ab 1.03.2020 )</v>
      </c>
      <c r="J21" s="497" t="str">
        <f>Umse!F14</f>
        <v>Ost SuE ( ab 1.03.2020 )</v>
      </c>
      <c r="K21" s="497" t="str">
        <f>Umse!G14</f>
        <v>West AT ( ab 1.04.2021 )</v>
      </c>
      <c r="L21" s="497" t="str">
        <f>Umse!H14</f>
        <v>Ost AT ( ab 1.04.2021 )</v>
      </c>
      <c r="M21" s="497" t="str">
        <f>Umse!I14</f>
        <v>West SuE ( ab 1.04.2021 )</v>
      </c>
      <c r="N21" s="497" t="str">
        <f>Umse!J14</f>
        <v>Ost SuE ( ab 1.04.2021 )</v>
      </c>
      <c r="O21" s="510" t="str">
        <f>Umse!K14</f>
        <v>West AT ( ab 1.04.2022 )</v>
      </c>
      <c r="P21" s="510" t="str">
        <f>Umse!L14</f>
        <v>Ost AT ( ab 1.04.2022 )</v>
      </c>
      <c r="Q21" s="497" t="str">
        <f>Umse!M14</f>
        <v>West SuE ( ab 1.04.2022 )</v>
      </c>
      <c r="R21" s="497" t="str">
        <f>Umse!N14</f>
        <v>Ost SuE ( ab 1.04.2022 )</v>
      </c>
      <c r="S21" s="496" t="str">
        <f>""</f>
        <v/>
      </c>
      <c r="T21" s="496" t="str">
        <f>""</f>
        <v/>
      </c>
      <c r="U21" s="496" t="str">
        <f>""</f>
        <v/>
      </c>
      <c r="V21" s="496" t="str">
        <f>""</f>
        <v/>
      </c>
      <c r="W21" s="496" t="str">
        <f>""</f>
        <v/>
      </c>
      <c r="X21" s="496" t="str">
        <f>""</f>
        <v/>
      </c>
      <c r="Y21" s="496" t="str">
        <f>""</f>
        <v/>
      </c>
      <c r="Z21" s="496" t="str">
        <f>""</f>
        <v/>
      </c>
      <c r="AA21" s="496" t="str">
        <f>""</f>
        <v/>
      </c>
      <c r="AB21" s="496" t="str">
        <f>""</f>
        <v/>
      </c>
      <c r="AC21" s="496" t="str">
        <f>""</f>
        <v/>
      </c>
      <c r="AD21" s="496" t="str">
        <f>""</f>
        <v/>
      </c>
      <c r="AE21" s="496" t="str">
        <f>""</f>
        <v/>
      </c>
      <c r="AF21" s="496" t="str">
        <f>""</f>
        <v/>
      </c>
      <c r="AG21" s="496" t="str">
        <f>""</f>
        <v/>
      </c>
      <c r="AH21" s="496" t="str">
        <f>""</f>
        <v/>
      </c>
      <c r="AI21" s="496" t="str">
        <f>""</f>
        <v/>
      </c>
      <c r="AJ21" s="496" t="str">
        <f>""</f>
        <v/>
      </c>
      <c r="AK21" s="496" t="str">
        <f>""</f>
        <v/>
      </c>
      <c r="AL21" s="496" t="str">
        <f>""</f>
        <v/>
      </c>
    </row>
    <row r="22" spans="1:39" ht="12.75" customHeight="1">
      <c r="A22" s="69">
        <v>3</v>
      </c>
      <c r="B22" s="120" t="s">
        <v>390</v>
      </c>
      <c r="C22" s="503" t="str">
        <f t="shared" ref="C22:C52" si="0">IF(D22=0,"",D22)</f>
        <v>West und Ost ( ab 1.04.2022 )</v>
      </c>
      <c r="D22" s="23" t="str">
        <f>VLOOKUP($B$4,$F$20:$P$29,4)</f>
        <v>West und Ost ( ab 1.04.2022 )</v>
      </c>
      <c r="E22" s="18"/>
      <c r="F22" s="488">
        <v>3</v>
      </c>
      <c r="G22" s="498" t="str">
        <f>Umse!C15</f>
        <v>Pflege West ( ab 1.03.2020 )</v>
      </c>
      <c r="H22" s="498" t="str">
        <f>Umse!D15</f>
        <v>Pflege Ost ( ab 1.03.2020 )</v>
      </c>
      <c r="I22" s="498" t="str">
        <f>Umse!E15</f>
        <v>außerhalb Pflege West ( ab 1.03.2020 )</v>
      </c>
      <c r="J22" s="498" t="str">
        <f>Umse!F15</f>
        <v>außerhalb Pflege Ost ( ab 1.03.2020 )</v>
      </c>
      <c r="K22" s="498" t="str">
        <f>Umse!G15</f>
        <v>Pflege West ( ab 1.04.2021 )</v>
      </c>
      <c r="L22" s="498" t="str">
        <f>Umse!H15</f>
        <v>Pflege Ost ( ab 1.04.2021 )</v>
      </c>
      <c r="M22" s="498" t="str">
        <f>Umse!I15</f>
        <v>außerhalb Pflege West ( ab 1.04.2021 )</v>
      </c>
      <c r="N22" s="498" t="str">
        <f>Umse!J15</f>
        <v>außerhalb Pflege Ost ( ab 1.04.2021 )</v>
      </c>
      <c r="O22" s="498" t="str">
        <f>Umse!K15</f>
        <v>Pflege West ( ab 1.04.2022 )</v>
      </c>
      <c r="P22" s="498" t="str">
        <f>Umse!L15</f>
        <v>Pflege Ost ( ab 1.04.2022 )</v>
      </c>
      <c r="Q22" s="498" t="str">
        <f>Umse!M15</f>
        <v>außerhalb Pflege West ( ab 1.04.2022 )</v>
      </c>
      <c r="R22" s="498" t="str">
        <f>Umse!N15</f>
        <v>außerhalb Pflege Ost ( ab 1.04.2022 )</v>
      </c>
      <c r="S22" s="496" t="str">
        <f>""</f>
        <v/>
      </c>
      <c r="T22" s="496" t="str">
        <f>""</f>
        <v/>
      </c>
      <c r="U22" s="496" t="str">
        <f>""</f>
        <v/>
      </c>
      <c r="V22" s="496" t="str">
        <f>""</f>
        <v/>
      </c>
      <c r="W22" s="496" t="str">
        <f>""</f>
        <v/>
      </c>
      <c r="X22" s="496" t="str">
        <f>""</f>
        <v/>
      </c>
      <c r="Y22" s="496" t="str">
        <f>""</f>
        <v/>
      </c>
      <c r="Z22" s="496" t="str">
        <f>""</f>
        <v/>
      </c>
      <c r="AA22" s="496" t="str">
        <f>""</f>
        <v/>
      </c>
      <c r="AB22" s="496" t="str">
        <f>""</f>
        <v/>
      </c>
      <c r="AC22" s="496" t="str">
        <f>""</f>
        <v/>
      </c>
      <c r="AD22" s="496" t="str">
        <f>""</f>
        <v/>
      </c>
      <c r="AE22" s="496" t="str">
        <f>""</f>
        <v/>
      </c>
      <c r="AF22" s="496" t="str">
        <f>""</f>
        <v/>
      </c>
      <c r="AG22" s="496" t="str">
        <f>""</f>
        <v/>
      </c>
      <c r="AH22" s="496" t="str">
        <f>""</f>
        <v/>
      </c>
      <c r="AI22" s="496" t="str">
        <f>""</f>
        <v/>
      </c>
      <c r="AJ22" s="496" t="str">
        <f>""</f>
        <v/>
      </c>
      <c r="AK22" s="496" t="str">
        <f>""</f>
        <v/>
      </c>
      <c r="AL22" s="496" t="str">
        <f>""</f>
        <v/>
      </c>
    </row>
    <row r="23" spans="1:39" ht="12.75" customHeight="1">
      <c r="A23" s="69">
        <v>4</v>
      </c>
      <c r="B23" s="120" t="s">
        <v>391</v>
      </c>
      <c r="C23" s="503" t="str">
        <f t="shared" si="0"/>
        <v/>
      </c>
      <c r="D23" s="23" t="str">
        <f>VLOOKUP($B$4,$F$20:$P$29,5)</f>
        <v/>
      </c>
      <c r="E23" s="18"/>
      <c r="F23" s="490">
        <v>4</v>
      </c>
      <c r="G23" s="497" t="str">
        <f>Umse!C16</f>
        <v>Pflege West ( ab 1.03.2020 )</v>
      </c>
      <c r="H23" s="497" t="str">
        <f>Umse!D16</f>
        <v>Pflege Ost ( ab 1.03.2020 )</v>
      </c>
      <c r="I23" s="497" t="str">
        <f>Umse!E16</f>
        <v>Pflege West ( ab 1.04.2021 )</v>
      </c>
      <c r="J23" s="497" t="str">
        <f>Umse!F16</f>
        <v>Pflege Ost ( ab 1.04.2021 )</v>
      </c>
      <c r="K23" s="497" t="str">
        <f>Umse!G16</f>
        <v>Pflege West ( ab 1.04.2022 )</v>
      </c>
      <c r="L23" s="497" t="str">
        <f>Umse!H16</f>
        <v>Pflege Ost ( ab 1.04.2022 )</v>
      </c>
      <c r="M23" s="496" t="str">
        <f>""</f>
        <v/>
      </c>
      <c r="N23" s="496" t="str">
        <f>""</f>
        <v/>
      </c>
      <c r="O23" s="496" t="str">
        <f>""</f>
        <v/>
      </c>
      <c r="P23" s="496" t="str">
        <f>""</f>
        <v/>
      </c>
      <c r="Q23" s="496" t="str">
        <f>""</f>
        <v/>
      </c>
      <c r="R23" s="496" t="str">
        <f>""</f>
        <v/>
      </c>
      <c r="S23" s="496" t="str">
        <f>""</f>
        <v/>
      </c>
      <c r="T23" s="496" t="str">
        <f>""</f>
        <v/>
      </c>
      <c r="U23" s="496" t="str">
        <f>""</f>
        <v/>
      </c>
      <c r="V23" s="496" t="str">
        <f>""</f>
        <v/>
      </c>
      <c r="W23" s="496" t="str">
        <f>""</f>
        <v/>
      </c>
      <c r="X23" s="496" t="str">
        <f>""</f>
        <v/>
      </c>
      <c r="Y23" s="496" t="str">
        <f>""</f>
        <v/>
      </c>
      <c r="Z23" s="496" t="str">
        <f>""</f>
        <v/>
      </c>
      <c r="AA23" s="496" t="str">
        <f>""</f>
        <v/>
      </c>
      <c r="AB23" s="496" t="str">
        <f>""</f>
        <v/>
      </c>
      <c r="AC23" s="496" t="str">
        <f>""</f>
        <v/>
      </c>
      <c r="AD23" s="496" t="str">
        <f>""</f>
        <v/>
      </c>
      <c r="AE23" s="496" t="str">
        <f>""</f>
        <v/>
      </c>
      <c r="AF23" s="496" t="str">
        <f>""</f>
        <v/>
      </c>
      <c r="AG23" s="496" t="str">
        <f>""</f>
        <v/>
      </c>
      <c r="AH23" s="496" t="str">
        <f>""</f>
        <v/>
      </c>
      <c r="AI23" s="496" t="str">
        <f>""</f>
        <v/>
      </c>
      <c r="AJ23" s="496" t="str">
        <f>""</f>
        <v/>
      </c>
      <c r="AK23" s="496" t="str">
        <f>""</f>
        <v/>
      </c>
      <c r="AL23" s="496" t="str">
        <f>""</f>
        <v/>
      </c>
    </row>
    <row r="24" spans="1:39" ht="12.75" customHeight="1">
      <c r="A24" s="69">
        <v>5</v>
      </c>
      <c r="B24" s="120" t="s">
        <v>565</v>
      </c>
      <c r="C24" s="503" t="str">
        <f t="shared" si="0"/>
        <v/>
      </c>
      <c r="D24" s="23" t="str">
        <f>VLOOKUP($B$4,$F$20:$P$29,6)</f>
        <v/>
      </c>
      <c r="E24" s="18"/>
      <c r="F24" s="488">
        <v>5</v>
      </c>
      <c r="G24" s="498" t="str">
        <f>Umse!C17</f>
        <v>Baden-Württemberg  ( ab 1.01.2019 )</v>
      </c>
      <c r="H24" s="498" t="str">
        <f>Umse!D17</f>
        <v>Bayern  ( ab 1.01.2019 )</v>
      </c>
      <c r="I24" s="498" t="str">
        <f>Umse!E17</f>
        <v>Berlin  ( ab 1.01.2019 )</v>
      </c>
      <c r="J24" s="498" t="str">
        <f>Umse!F17</f>
        <v>Bremen  ( ab 1.01.2019 )</v>
      </c>
      <c r="K24" s="498" t="str">
        <f>Umse!G17</f>
        <v>Hamburg  ( ab 1.01.2019 )</v>
      </c>
      <c r="L24" s="498" t="str">
        <f>Umse!H17</f>
        <v>Niedersachsen  ( ab 1.01.2019 )</v>
      </c>
      <c r="M24" s="498" t="str">
        <f>Umse!I17</f>
        <v>Nordrhein-Westfalen  ( ab 1.01.2019 )</v>
      </c>
      <c r="N24" s="498" t="str">
        <f>Umse!J17</f>
        <v>Rheinland-Pfalz  ( ab 1.01.2019 )</v>
      </c>
      <c r="O24" s="498" t="str">
        <f>Umse!K17</f>
        <v>Saarland  ( ab 1.01.2019 )</v>
      </c>
      <c r="P24" s="498" t="str">
        <f>Umse!L17</f>
        <v>Schleswig-Holstein  ( ab 1.01.2019 )</v>
      </c>
      <c r="Q24" s="498" t="str">
        <f>Umse!M17</f>
        <v>Tarifgebiet Ost  ( ab 1.01.2019 )</v>
      </c>
      <c r="R24" s="498" t="str">
        <f>Umse!N17</f>
        <v>Baden-Württemberg  ( ab 1.01.2020 )</v>
      </c>
      <c r="S24" s="499" t="str">
        <f>Umse!O17</f>
        <v>Bayern  ( ab 1.01.2020 )</v>
      </c>
      <c r="T24" s="499" t="str">
        <f>Umse!P17</f>
        <v>Berlin  ( ab 1.01.2020 )</v>
      </c>
      <c r="U24" s="499" t="str">
        <f>Umse!Q17</f>
        <v>Bremen  ( ab 1.01.2020 )</v>
      </c>
      <c r="V24" s="499" t="str">
        <f>Umse!R17</f>
        <v>Hamburg  ( ab 1.01.2020 )</v>
      </c>
      <c r="W24" s="499" t="str">
        <f>Umse!S17</f>
        <v>Niedersachsen  ( ab 1.01.2020 )</v>
      </c>
      <c r="X24" s="499" t="str">
        <f>Umse!T17</f>
        <v>Nordrhein-Westfalen  ( ab 1.01.2020 )</v>
      </c>
      <c r="Y24" s="499" t="str">
        <f>Umse!U17</f>
        <v>Rheinland-Pfalz  ( ab 1.01.2020 )</v>
      </c>
      <c r="Z24" s="499" t="str">
        <f>Umse!V17</f>
        <v>Saarland  ( ab 1.01.2020 )</v>
      </c>
      <c r="AA24" s="499" t="str">
        <f>Umse!W17</f>
        <v>Schleswig-Holstein  ( ab 1.01.2020 )</v>
      </c>
      <c r="AB24" s="499" t="str">
        <f>Umse!X17</f>
        <v>Tarifgebiet Ost  ( ab 1.01.2020 )</v>
      </c>
      <c r="AC24" s="499" t="str">
        <f>Umse!Y17</f>
        <v>Baden-Württemberg  ( ab 1.01.2021 )</v>
      </c>
      <c r="AD24" s="499" t="str">
        <f>Umse!Z17</f>
        <v>Bayern  ( ab 1.01.2021 )</v>
      </c>
      <c r="AE24" s="499" t="str">
        <f>Umse!AA17</f>
        <v>Berlin  ( ab 1.01.2021 )</v>
      </c>
      <c r="AF24" s="499" t="str">
        <f>Umse!AB17</f>
        <v>Bremen  ( ab 1.01.2021 )</v>
      </c>
      <c r="AG24" s="499" t="str">
        <f>Umse!AC17</f>
        <v>Hamburg  ( ab 1.01.2021 )</v>
      </c>
      <c r="AH24" s="499" t="str">
        <f>Umse!AD17</f>
        <v>Niedersachsen  ( ab 1.01.2021 )</v>
      </c>
      <c r="AI24" s="499" t="str">
        <f>Umse!AE17</f>
        <v>Nordrhein-Westfalen  ( ab 1.01.2021 )</v>
      </c>
      <c r="AJ24" s="499" t="str">
        <f>Umse!AF17</f>
        <v>Rheinland-Pfalz  ( ab 1.01.2021 )</v>
      </c>
      <c r="AK24" s="499" t="str">
        <f>Umse!AG17</f>
        <v>Saarland  ( ab 1.01.2021 )</v>
      </c>
      <c r="AL24" s="499" t="str">
        <f>Umse!AH17</f>
        <v>Schleswig-Holstein  ( ab 1.01.2021 )</v>
      </c>
      <c r="AM24" s="499" t="str">
        <f>Umse!AI17</f>
        <v>Tarifgebiet Ost  ( ab 1.01.2021 )</v>
      </c>
    </row>
    <row r="25" spans="1:39" ht="12.75" customHeight="1">
      <c r="A25" s="69">
        <v>6</v>
      </c>
      <c r="B25" s="120" t="s">
        <v>564</v>
      </c>
      <c r="C25" s="503" t="str">
        <f t="shared" si="0"/>
        <v/>
      </c>
      <c r="D25" s="23" t="str">
        <f>VLOOKUP($B$4,$F$20:$P$29,7)</f>
        <v/>
      </c>
      <c r="E25" s="18"/>
      <c r="F25" s="490">
        <v>6</v>
      </c>
      <c r="G25" s="561" t="str">
        <f>Umse!C18</f>
        <v>Tarifgebiet West ( ab 1.01.2019 )</v>
      </c>
      <c r="H25" s="561" t="str">
        <f>Umse!D18</f>
        <v>Tarifgebiet Ost ( ab 1.01.2019 )</v>
      </c>
      <c r="I25" s="561" t="str">
        <f>Umse!E18</f>
        <v>Tarifgebiet West ( ab 1.01.2020 )</v>
      </c>
      <c r="J25" s="561" t="str">
        <f>Umse!F18</f>
        <v>Tarifgebiet Ost ( ab 1.01.2020 )</v>
      </c>
      <c r="K25" s="561" t="str">
        <f>Umse!G18</f>
        <v>Tarifgebiet West ( ab 1.01.2021 )</v>
      </c>
      <c r="L25" s="561" t="str">
        <f>Umse!H18</f>
        <v>Tarifgebiet Ost ( ab 1.01.2021 )</v>
      </c>
      <c r="M25" s="496" t="str">
        <f>""</f>
        <v/>
      </c>
      <c r="N25" s="496" t="str">
        <f>""</f>
        <v/>
      </c>
      <c r="O25" s="496" t="str">
        <f>""</f>
        <v/>
      </c>
      <c r="P25" s="496" t="str">
        <f>""</f>
        <v/>
      </c>
      <c r="Q25" s="496" t="str">
        <f>""</f>
        <v/>
      </c>
      <c r="R25" s="496" t="str">
        <f>""</f>
        <v/>
      </c>
      <c r="S25" s="496" t="str">
        <f>""</f>
        <v/>
      </c>
      <c r="T25" s="496" t="str">
        <f>""</f>
        <v/>
      </c>
      <c r="U25" s="496" t="str">
        <f>""</f>
        <v/>
      </c>
      <c r="V25" s="496" t="str">
        <f>""</f>
        <v/>
      </c>
      <c r="W25" s="496" t="str">
        <f>""</f>
        <v/>
      </c>
      <c r="X25" s="496" t="str">
        <f>""</f>
        <v/>
      </c>
      <c r="Y25" s="496" t="str">
        <f>""</f>
        <v/>
      </c>
      <c r="Z25" s="496" t="str">
        <f>""</f>
        <v/>
      </c>
      <c r="AA25" s="496" t="str">
        <f>""</f>
        <v/>
      </c>
      <c r="AB25" s="496" t="str">
        <f>""</f>
        <v/>
      </c>
      <c r="AC25" s="496" t="str">
        <f>""</f>
        <v/>
      </c>
      <c r="AD25" s="496" t="str">
        <f>""</f>
        <v/>
      </c>
      <c r="AE25" s="496" t="str">
        <f>""</f>
        <v/>
      </c>
      <c r="AF25" s="496" t="str">
        <f>""</f>
        <v/>
      </c>
      <c r="AG25" s="496" t="str">
        <f>""</f>
        <v/>
      </c>
      <c r="AH25" s="496" t="str">
        <f>""</f>
        <v/>
      </c>
      <c r="AI25" s="496" t="str">
        <f>""</f>
        <v/>
      </c>
      <c r="AJ25" s="496" t="str">
        <f>""</f>
        <v/>
      </c>
      <c r="AK25" s="496" t="str">
        <f>""</f>
        <v/>
      </c>
      <c r="AL25" s="496" t="str">
        <f>""</f>
        <v/>
      </c>
    </row>
    <row r="26" spans="1:39" ht="12.75" customHeight="1">
      <c r="A26" s="69">
        <v>7</v>
      </c>
      <c r="B26" s="120" t="s">
        <v>592</v>
      </c>
      <c r="C26" s="503" t="str">
        <f t="shared" si="0"/>
        <v/>
      </c>
      <c r="D26" s="23" t="str">
        <f>VLOOKUP($B$4,$F$20:$P$29,8)</f>
        <v/>
      </c>
      <c r="E26" s="18"/>
      <c r="F26" s="488">
        <v>7</v>
      </c>
      <c r="G26" s="498" t="str">
        <f>Umse!$C$19</f>
        <v>Baden-Württemberg  ( ab 1.01.2020 )</v>
      </c>
      <c r="H26" s="498" t="str">
        <f>Umse!$D$19</f>
        <v>Bayern  ( ab 1.01.2020 )</v>
      </c>
      <c r="I26" s="498" t="str">
        <f>Umse!$E$19</f>
        <v>Berlin  ( ab 1.01.2020 )</v>
      </c>
      <c r="J26" s="498" t="str">
        <f>Umse!$F$19</f>
        <v>Bremen  ( ab 1.01.2020 )</v>
      </c>
      <c r="K26" s="498" t="str">
        <f>Umse!$G$19</f>
        <v>Hamburg  ( ab 1.01.2020 )</v>
      </c>
      <c r="L26" s="498" t="str">
        <f>Umse!$H$19</f>
        <v>Niedersachsen  ( ab 1.01.2020 )</v>
      </c>
      <c r="M26" s="498" t="str">
        <f>Umse!$I$19</f>
        <v>Nordrhein-Westfalen  ( ab 1.01.2020 )</v>
      </c>
      <c r="N26" s="498" t="str">
        <f>Umse!$J$19</f>
        <v>Rheinland-Pfalz  ( ab 1.01.2020 )</v>
      </c>
      <c r="O26" s="498" t="str">
        <f>Umse!$K$19</f>
        <v>Saarland  ( ab 1.01.2020 )</v>
      </c>
      <c r="P26" s="498" t="str">
        <f>Umse!$L$19</f>
        <v>Schleswig-Holstein  ( ab 1.01.2020 )</v>
      </c>
      <c r="Q26" s="498" t="str">
        <f>Umse!$M$19</f>
        <v>Tarifgebiet Ost  ( ab 1.01.2020 )</v>
      </c>
      <c r="R26" s="498" t="str">
        <f>Umse!$N$19</f>
        <v>Baden-Württemberg  ( ab 1.01.2021 )</v>
      </c>
      <c r="S26" s="498" t="str">
        <f>Umse!$O$19</f>
        <v>Bayern  ( ab 1.01.2021 )</v>
      </c>
      <c r="T26" s="498" t="str">
        <f>Umse!$P$19</f>
        <v>Berlin  ( ab 1.01.2021 )</v>
      </c>
      <c r="U26" s="498" t="str">
        <f>Umse!$Q$19</f>
        <v>Bremen  ( ab 1.01.2021 )</v>
      </c>
      <c r="V26" s="498" t="str">
        <f>Umse!$R$19</f>
        <v>Hamburg  ( ab 1.01.2021 )</v>
      </c>
      <c r="W26" s="498" t="str">
        <f>Umse!$S$19</f>
        <v>Niedersachsen  ( ab 1.01.2021 )</v>
      </c>
      <c r="X26" s="498" t="str">
        <f>Umse!$T$19</f>
        <v>Nordrhein-Westfalen  ( ab 1.01.2021 )</v>
      </c>
      <c r="Y26" s="498" t="str">
        <f>Umse!$U$19</f>
        <v>Rheinland-Pfalz  ( ab 1.01.2021 )</v>
      </c>
      <c r="Z26" s="498" t="str">
        <f>Umse!$V$19</f>
        <v>Saarland  ( ab 1.01.2021 )</v>
      </c>
      <c r="AA26" s="498" t="str">
        <f>Umse!$W$19</f>
        <v>Schleswig-Holstein  ( ab 1.01.2021 )</v>
      </c>
      <c r="AB26" s="498" t="str">
        <f>Umse!$X$19</f>
        <v>Tarifgebiet Ost  ( ab 1.01.2021 )</v>
      </c>
    </row>
    <row r="27" spans="1:39" ht="12.75" customHeight="1">
      <c r="A27" s="69">
        <v>8</v>
      </c>
      <c r="B27" s="120" t="s">
        <v>441</v>
      </c>
      <c r="C27" s="503" t="str">
        <f t="shared" si="0"/>
        <v/>
      </c>
      <c r="D27" s="23" t="str">
        <f>VLOOKUP($B$4,$F$20:$P$29,9)</f>
        <v/>
      </c>
      <c r="E27" s="18"/>
      <c r="F27" s="560">
        <v>8</v>
      </c>
      <c r="G27" s="561" t="str">
        <f>Umse!C20</f>
        <v>AVH ( ab 1.03.2020 )</v>
      </c>
      <c r="H27" s="561" t="str">
        <f>Umse!D20</f>
        <v>AVH ( ab 1.04.2021 )</v>
      </c>
      <c r="I27" s="561" t="str">
        <f>Umse!E20</f>
        <v>AVH ( ab 1.04.2022 )</v>
      </c>
      <c r="J27" s="496" t="str">
        <f>""</f>
        <v/>
      </c>
      <c r="K27" s="496" t="str">
        <f>""</f>
        <v/>
      </c>
      <c r="L27" s="496" t="str">
        <f>""</f>
        <v/>
      </c>
      <c r="M27" s="496" t="str">
        <f>""</f>
        <v/>
      </c>
      <c r="N27" s="496" t="str">
        <f>""</f>
        <v/>
      </c>
      <c r="O27" s="496" t="str">
        <f>""</f>
        <v/>
      </c>
      <c r="P27" s="496" t="str">
        <f>""</f>
        <v/>
      </c>
      <c r="Q27" s="496" t="str">
        <f>""</f>
        <v/>
      </c>
      <c r="R27" s="496" t="str">
        <f>""</f>
        <v/>
      </c>
      <c r="S27" s="496" t="str">
        <f>""</f>
        <v/>
      </c>
      <c r="T27" s="496" t="str">
        <f>""</f>
        <v/>
      </c>
      <c r="U27" s="496" t="str">
        <f>""</f>
        <v/>
      </c>
      <c r="V27" s="496" t="str">
        <f>""</f>
        <v/>
      </c>
      <c r="W27" s="496" t="str">
        <f>""</f>
        <v/>
      </c>
      <c r="X27" s="496" t="str">
        <f>""</f>
        <v/>
      </c>
      <c r="Y27" s="496" t="str">
        <f>""</f>
        <v/>
      </c>
      <c r="Z27" s="496" t="str">
        <f>""</f>
        <v/>
      </c>
      <c r="AA27" s="496" t="str">
        <f>""</f>
        <v/>
      </c>
      <c r="AB27" s="496" t="str">
        <f>""</f>
        <v/>
      </c>
      <c r="AC27" s="496" t="str">
        <f>""</f>
        <v/>
      </c>
      <c r="AD27" s="496" t="str">
        <f>""</f>
        <v/>
      </c>
      <c r="AE27" s="496" t="str">
        <f>""</f>
        <v/>
      </c>
      <c r="AF27" s="496" t="str">
        <f>""</f>
        <v/>
      </c>
      <c r="AG27" s="496" t="str">
        <f>""</f>
        <v/>
      </c>
      <c r="AH27" s="496" t="str">
        <f>""</f>
        <v/>
      </c>
      <c r="AI27" s="496" t="str">
        <f>""</f>
        <v/>
      </c>
      <c r="AJ27" s="496" t="str">
        <f>""</f>
        <v/>
      </c>
      <c r="AK27" s="496" t="str">
        <f>""</f>
        <v/>
      </c>
      <c r="AL27" s="496" t="str">
        <f>""</f>
        <v/>
      </c>
    </row>
    <row r="28" spans="1:39" ht="12.75" customHeight="1">
      <c r="A28" s="69">
        <v>9</v>
      </c>
      <c r="B28" s="120" t="s">
        <v>618</v>
      </c>
      <c r="C28" s="503" t="str">
        <f t="shared" si="0"/>
        <v/>
      </c>
      <c r="D28" s="23" t="str">
        <f>VLOOKUP($B$4,$F$20:$P$29,10)</f>
        <v/>
      </c>
      <c r="E28" s="18"/>
      <c r="F28" s="488">
        <v>9</v>
      </c>
      <c r="G28" s="491" t="str">
        <f>Umse!C21</f>
        <v>Hessen ( ab 1.03.2019 )</v>
      </c>
      <c r="H28" s="491" t="str">
        <f>Umse!D21</f>
        <v>Hessen ( ab 1.08.2019 )</v>
      </c>
      <c r="I28" s="491" t="str">
        <f>Umse!E21</f>
        <v>Hessen ( ab 1.02.2020 )</v>
      </c>
      <c r="J28" s="491" t="str">
        <f>Umse!F21</f>
        <v>Hessen ( ab 1.01.2021 )</v>
      </c>
      <c r="K28" s="496" t="str">
        <f>""</f>
        <v/>
      </c>
      <c r="L28" s="496" t="str">
        <f>""</f>
        <v/>
      </c>
      <c r="M28" s="496" t="str">
        <f>""</f>
        <v/>
      </c>
      <c r="N28" s="496" t="str">
        <f>""</f>
        <v/>
      </c>
      <c r="O28" s="496" t="str">
        <f>""</f>
        <v/>
      </c>
      <c r="P28" s="496" t="str">
        <f>""</f>
        <v/>
      </c>
      <c r="Q28" s="496" t="str">
        <f>""</f>
        <v/>
      </c>
      <c r="R28" s="496" t="str">
        <f>""</f>
        <v/>
      </c>
      <c r="S28" s="496" t="str">
        <f>""</f>
        <v/>
      </c>
      <c r="T28" s="496" t="str">
        <f>""</f>
        <v/>
      </c>
      <c r="U28" s="496" t="str">
        <f>""</f>
        <v/>
      </c>
      <c r="V28" s="496" t="str">
        <f>""</f>
        <v/>
      </c>
      <c r="W28" s="496" t="str">
        <f>""</f>
        <v/>
      </c>
      <c r="X28" s="496" t="str">
        <f>""</f>
        <v/>
      </c>
      <c r="Y28" s="496" t="str">
        <f>""</f>
        <v/>
      </c>
      <c r="Z28" s="496" t="str">
        <f>""</f>
        <v/>
      </c>
      <c r="AA28" s="496" t="str">
        <f>""</f>
        <v/>
      </c>
      <c r="AB28" s="496" t="str">
        <f>""</f>
        <v/>
      </c>
      <c r="AC28" s="496" t="str">
        <f>""</f>
        <v/>
      </c>
      <c r="AD28" s="496" t="str">
        <f>""</f>
        <v/>
      </c>
      <c r="AE28" s="496" t="str">
        <f>""</f>
        <v/>
      </c>
      <c r="AF28" s="496" t="str">
        <f>""</f>
        <v/>
      </c>
      <c r="AG28" s="496" t="str">
        <f>""</f>
        <v/>
      </c>
      <c r="AH28" s="496" t="str">
        <f>""</f>
        <v/>
      </c>
      <c r="AI28" s="496" t="str">
        <f>""</f>
        <v/>
      </c>
      <c r="AJ28" s="496" t="str">
        <f>""</f>
        <v/>
      </c>
      <c r="AK28" s="496" t="str">
        <f>""</f>
        <v/>
      </c>
      <c r="AL28" s="496" t="str">
        <f>""</f>
        <v/>
      </c>
    </row>
    <row r="29" spans="1:39" ht="12.75" customHeight="1">
      <c r="A29" s="70">
        <v>10</v>
      </c>
      <c r="B29" s="547" t="s">
        <v>541</v>
      </c>
      <c r="C29" s="503" t="str">
        <f>IF(D29=0,"",D29)</f>
        <v/>
      </c>
      <c r="D29" s="23" t="str">
        <f>VLOOKUP($B$4,$F$20:$P$29,11)</f>
        <v/>
      </c>
      <c r="E29" s="18"/>
      <c r="F29" s="490">
        <v>10</v>
      </c>
      <c r="G29" s="572" t="str">
        <f>Umse!C22</f>
        <v>dataport AöR ( ab 1.01.2019 )</v>
      </c>
      <c r="H29" s="572" t="str">
        <f>Umse!D22</f>
        <v>dataport AöR ( ab 1.01.2020 )</v>
      </c>
      <c r="I29" s="572" t="str">
        <f>Umse!E22</f>
        <v>dataport AöR ( ab 1.01.2021 )</v>
      </c>
      <c r="J29" s="24"/>
      <c r="K29" s="24"/>
      <c r="L29" s="24"/>
      <c r="M29" s="24"/>
      <c r="N29" s="24"/>
      <c r="O29" s="24"/>
      <c r="P29" s="24"/>
      <c r="Q29" s="24"/>
      <c r="R29" s="24"/>
      <c r="S29" s="24"/>
      <c r="T29" s="24"/>
      <c r="U29" s="24"/>
      <c r="V29" s="24"/>
      <c r="W29" s="24"/>
      <c r="X29" s="24"/>
      <c r="Y29" s="24"/>
    </row>
    <row r="30" spans="1:39" ht="12.75" customHeight="1">
      <c r="A30" s="18"/>
      <c r="B30" s="18"/>
      <c r="C30" s="503" t="str">
        <f>IF(D30=0,"",D30)</f>
        <v/>
      </c>
      <c r="D30" s="23" t="str">
        <f>VLOOKUP($B$4,$F$20:$AA$29,12)</f>
        <v/>
      </c>
      <c r="E30" s="18"/>
      <c r="F30" s="16"/>
      <c r="G30" s="24"/>
      <c r="H30" s="24"/>
      <c r="I30" s="24"/>
      <c r="J30" s="24"/>
      <c r="K30" s="24"/>
      <c r="L30" s="24"/>
      <c r="M30" s="24"/>
      <c r="N30" s="24"/>
      <c r="O30" s="24"/>
      <c r="P30" s="24"/>
      <c r="Q30" s="24"/>
      <c r="R30" s="24"/>
      <c r="S30" s="24"/>
      <c r="T30" s="24"/>
      <c r="U30" s="24"/>
      <c r="V30" s="24"/>
      <c r="W30" s="24"/>
      <c r="X30" s="24"/>
      <c r="Y30" s="24"/>
    </row>
    <row r="31" spans="1:39" ht="12.75" customHeight="1">
      <c r="A31" s="18"/>
      <c r="B31" s="18"/>
      <c r="C31" s="503" t="str">
        <f>IF(D31=0,"",D31)</f>
        <v/>
      </c>
      <c r="D31" s="23" t="str">
        <f>VLOOKUP($B$4,$F$20:$AA$29,13)</f>
        <v/>
      </c>
      <c r="E31" s="18"/>
      <c r="F31" s="16"/>
      <c r="G31" s="24"/>
      <c r="H31" s="24"/>
      <c r="I31" s="24"/>
      <c r="J31" s="24"/>
      <c r="K31" s="24"/>
      <c r="L31" s="24"/>
      <c r="M31" s="24"/>
      <c r="N31" s="24"/>
      <c r="O31" s="24"/>
      <c r="P31" s="24"/>
      <c r="Q31" s="24"/>
      <c r="R31" s="24"/>
      <c r="S31" s="24"/>
      <c r="T31" s="24"/>
      <c r="U31" s="24"/>
      <c r="V31" s="24"/>
      <c r="W31" s="24"/>
      <c r="X31" s="24"/>
      <c r="Y31" s="24"/>
    </row>
    <row r="32" spans="1:39" ht="12.75" customHeight="1">
      <c r="A32" s="18"/>
      <c r="B32" s="18"/>
      <c r="C32" s="503" t="str">
        <f t="shared" si="0"/>
        <v/>
      </c>
      <c r="D32" s="23" t="str">
        <f>VLOOKUP($B$4,$F$20:$AA$29,14)</f>
        <v/>
      </c>
      <c r="E32" s="18"/>
      <c r="F32" s="16"/>
      <c r="G32" s="24"/>
      <c r="H32" s="24"/>
      <c r="I32" s="24"/>
      <c r="J32" s="24"/>
      <c r="K32" s="24"/>
      <c r="L32" s="24"/>
      <c r="M32" s="24"/>
      <c r="N32" s="24"/>
      <c r="O32" s="24"/>
      <c r="P32" s="24"/>
      <c r="Q32" s="24"/>
      <c r="R32" s="24"/>
      <c r="S32" s="24"/>
      <c r="T32" s="24"/>
      <c r="U32" s="24"/>
      <c r="V32" s="24"/>
      <c r="W32" s="24"/>
      <c r="X32" s="24"/>
      <c r="Y32" s="24"/>
    </row>
    <row r="33" spans="1:32" ht="12.75" customHeight="1">
      <c r="A33" s="18"/>
      <c r="B33" s="18"/>
      <c r="C33" s="503" t="str">
        <f>IF(D33=0,"",D33)</f>
        <v/>
      </c>
      <c r="D33" s="23" t="str">
        <f>VLOOKUP($B$4,$F$20:$AA$29,15)</f>
        <v/>
      </c>
      <c r="E33" s="18"/>
      <c r="F33" s="16"/>
      <c r="G33" s="24"/>
      <c r="H33" s="24"/>
      <c r="I33" s="24"/>
      <c r="J33" s="24"/>
      <c r="K33" s="24"/>
      <c r="L33" s="24"/>
      <c r="M33" s="24"/>
      <c r="N33" s="24"/>
      <c r="O33" s="24"/>
      <c r="P33" s="24"/>
      <c r="Q33" s="24"/>
      <c r="R33" s="24"/>
      <c r="S33" s="24"/>
      <c r="T33" s="24"/>
      <c r="U33" s="24"/>
      <c r="V33" s="24"/>
      <c r="W33" s="24"/>
      <c r="X33" s="24"/>
      <c r="Y33" s="24"/>
    </row>
    <row r="34" spans="1:32" ht="12.75" customHeight="1">
      <c r="A34" s="18"/>
      <c r="B34" s="18"/>
      <c r="C34" s="503" t="str">
        <f>IF(D34=0,"",D34)</f>
        <v/>
      </c>
      <c r="D34" s="23" t="str">
        <f>VLOOKUP($B$4,$F$20:$AA$29,16)</f>
        <v/>
      </c>
      <c r="E34" s="18"/>
      <c r="F34" s="16"/>
      <c r="G34" s="24"/>
      <c r="H34" s="24"/>
      <c r="I34" s="24"/>
      <c r="J34" s="24"/>
      <c r="K34" s="24"/>
      <c r="L34" s="24"/>
      <c r="M34" s="24"/>
      <c r="N34" s="24"/>
      <c r="O34" s="24"/>
      <c r="P34" s="24"/>
      <c r="Q34" s="24"/>
      <c r="R34" s="24"/>
      <c r="S34" s="24"/>
      <c r="T34" s="24"/>
      <c r="U34" s="24"/>
      <c r="V34" s="24"/>
      <c r="W34" s="24"/>
      <c r="X34" s="24"/>
      <c r="Y34" s="24"/>
    </row>
    <row r="35" spans="1:32" ht="12.75" customHeight="1">
      <c r="A35" s="18"/>
      <c r="B35" s="18"/>
      <c r="C35" s="503" t="str">
        <f t="shared" si="0"/>
        <v/>
      </c>
      <c r="D35" s="23" t="str">
        <f>VLOOKUP($B$4,$F$20:$AA$29,17)</f>
        <v/>
      </c>
      <c r="E35" s="52">
        <v>1</v>
      </c>
      <c r="F35" s="82">
        <v>1</v>
      </c>
      <c r="G35" s="59">
        <v>39</v>
      </c>
      <c r="H35" s="59">
        <v>39</v>
      </c>
      <c r="I35" s="59">
        <v>39</v>
      </c>
      <c r="J35" s="59">
        <v>39</v>
      </c>
      <c r="K35" s="59">
        <v>39</v>
      </c>
      <c r="L35" s="59" t="str">
        <f>G20</f>
        <v>West und Ost ( ab 1.03.2020 )</v>
      </c>
      <c r="M35" s="26"/>
      <c r="N35" s="26"/>
      <c r="O35" s="18"/>
      <c r="P35" s="24"/>
      <c r="Q35" s="24"/>
      <c r="R35" s="18"/>
      <c r="S35" s="18"/>
      <c r="T35" s="18"/>
    </row>
    <row r="36" spans="1:32" ht="12.75" customHeight="1">
      <c r="A36" s="18"/>
      <c r="B36" s="18"/>
      <c r="C36" s="503" t="str">
        <f t="shared" si="0"/>
        <v/>
      </c>
      <c r="D36" s="23" t="str">
        <f>VLOOKUP($B$4,$F$20:$AA$29,18)</f>
        <v/>
      </c>
      <c r="E36" s="52"/>
      <c r="F36" s="43">
        <v>2</v>
      </c>
      <c r="G36" s="59">
        <v>39</v>
      </c>
      <c r="H36" s="59">
        <v>39</v>
      </c>
      <c r="I36" s="59">
        <v>39</v>
      </c>
      <c r="J36" s="59">
        <v>39</v>
      </c>
      <c r="K36" s="59">
        <v>39</v>
      </c>
      <c r="L36" s="59" t="str">
        <f>H20</f>
        <v>West und Ost ( ab 1.04.2021 )</v>
      </c>
      <c r="M36" s="27"/>
      <c r="N36" s="28"/>
      <c r="O36" s="23"/>
      <c r="P36" s="24"/>
      <c r="Q36" s="24"/>
      <c r="R36" s="29"/>
      <c r="S36" s="23"/>
      <c r="T36" s="18"/>
      <c r="U36" s="83"/>
      <c r="V36" s="84"/>
      <c r="W36" s="83"/>
      <c r="X36" s="84"/>
      <c r="Y36" s="83"/>
      <c r="Z36" s="84"/>
      <c r="AA36" s="83"/>
      <c r="AB36" s="84"/>
      <c r="AC36" s="83"/>
      <c r="AD36" s="84"/>
      <c r="AE36" s="83"/>
      <c r="AF36" s="84"/>
    </row>
    <row r="37" spans="1:32" ht="12.75" customHeight="1">
      <c r="A37" s="18"/>
      <c r="B37" s="18"/>
      <c r="C37" s="503" t="str">
        <f t="shared" si="0"/>
        <v/>
      </c>
      <c r="D37" s="23" t="str">
        <f>VLOOKUP($B$4,$F$20:$AA$29,19)</f>
        <v/>
      </c>
      <c r="E37" s="52"/>
      <c r="F37" s="43">
        <v>3</v>
      </c>
      <c r="G37" s="59">
        <v>39</v>
      </c>
      <c r="H37" s="59">
        <v>39</v>
      </c>
      <c r="I37" s="59">
        <v>39</v>
      </c>
      <c r="J37" s="59">
        <v>39</v>
      </c>
      <c r="K37" s="59">
        <v>39</v>
      </c>
      <c r="L37" s="59" t="str">
        <f>I20</f>
        <v>West und Ost ( ab 1.04.2022 )</v>
      </c>
      <c r="M37" s="27"/>
      <c r="N37" s="26"/>
      <c r="O37" s="18"/>
      <c r="P37" s="24"/>
      <c r="Q37" s="24"/>
      <c r="R37" s="18"/>
      <c r="S37" s="18"/>
      <c r="T37" s="18"/>
    </row>
    <row r="38" spans="1:32" ht="12.75" customHeight="1">
      <c r="A38" s="18"/>
      <c r="B38" s="18"/>
      <c r="C38" s="503" t="str">
        <f t="shared" si="0"/>
        <v/>
      </c>
      <c r="D38" s="23" t="str">
        <f>VLOOKUP($B$4,$F$20:$AA$29,20)</f>
        <v/>
      </c>
      <c r="E38" s="52"/>
      <c r="F38" s="44">
        <v>4</v>
      </c>
      <c r="G38" s="62"/>
      <c r="H38" s="62"/>
      <c r="I38" s="62"/>
      <c r="J38" s="62"/>
      <c r="K38" s="62"/>
      <c r="L38" s="62"/>
      <c r="M38" s="30"/>
      <c r="N38" s="26"/>
      <c r="O38" s="18"/>
      <c r="P38" s="24"/>
      <c r="Q38" s="24"/>
      <c r="R38" s="18"/>
      <c r="S38" s="18"/>
      <c r="T38" s="18"/>
    </row>
    <row r="39" spans="1:32" ht="12.75" customHeight="1">
      <c r="A39" s="18"/>
      <c r="B39" s="18"/>
      <c r="C39" s="503" t="str">
        <f t="shared" si="0"/>
        <v/>
      </c>
      <c r="D39" s="23" t="str">
        <f>VLOOKUP($B$4,$F$20:$AA$29,21)</f>
        <v/>
      </c>
      <c r="E39" s="52">
        <v>2</v>
      </c>
      <c r="F39" s="85">
        <v>5</v>
      </c>
      <c r="G39" s="61">
        <v>39</v>
      </c>
      <c r="H39" s="61">
        <v>39</v>
      </c>
      <c r="I39" s="61">
        <v>39</v>
      </c>
      <c r="J39" s="61">
        <v>39</v>
      </c>
      <c r="K39" s="61">
        <v>39</v>
      </c>
      <c r="L39" s="420" t="str">
        <f>G21</f>
        <v>West AT ( ab 1.03.2020 )</v>
      </c>
      <c r="M39" s="26"/>
      <c r="N39" s="26"/>
      <c r="O39" s="18"/>
      <c r="P39" s="24"/>
      <c r="Q39" s="24"/>
      <c r="R39" s="18"/>
      <c r="S39" s="18"/>
      <c r="T39" s="18"/>
    </row>
    <row r="40" spans="1:32" ht="12.75" customHeight="1">
      <c r="A40" s="18"/>
      <c r="B40" s="18"/>
      <c r="C40" s="503" t="str">
        <f t="shared" si="0"/>
        <v/>
      </c>
      <c r="D40" s="23" t="str">
        <f>VLOOKUP($B$4,$F$20:$AA$29,22)</f>
        <v/>
      </c>
      <c r="E40" s="52"/>
      <c r="F40" s="60">
        <v>6</v>
      </c>
      <c r="G40" s="61">
        <v>40</v>
      </c>
      <c r="H40" s="61">
        <v>40</v>
      </c>
      <c r="I40" s="61">
        <v>40</v>
      </c>
      <c r="J40" s="61">
        <v>40</v>
      </c>
      <c r="K40" s="61">
        <v>40</v>
      </c>
      <c r="L40" s="420" t="str">
        <f>H21</f>
        <v>Ost AT ( ab 1.03.2020 )</v>
      </c>
      <c r="M40" s="26"/>
      <c r="N40" s="26"/>
      <c r="O40" s="18"/>
      <c r="P40" s="24"/>
      <c r="Q40" s="24"/>
      <c r="R40" s="18"/>
      <c r="S40" s="18"/>
      <c r="T40" s="18"/>
    </row>
    <row r="41" spans="1:32" ht="12.75" customHeight="1">
      <c r="A41" s="18"/>
      <c r="B41" s="18"/>
      <c r="C41" s="503" t="str">
        <f t="shared" si="0"/>
        <v/>
      </c>
      <c r="D41" s="23" t="str">
        <f>VLOOKUP($B$4,$F$20:$AM$29,23)</f>
        <v/>
      </c>
      <c r="E41" s="52"/>
      <c r="F41" s="60">
        <v>7</v>
      </c>
      <c r="G41" s="61">
        <v>39</v>
      </c>
      <c r="H41" s="61">
        <v>38.5</v>
      </c>
      <c r="I41" s="61">
        <v>38.5</v>
      </c>
      <c r="J41" s="61">
        <v>38.5</v>
      </c>
      <c r="K41" s="61">
        <v>38.5</v>
      </c>
      <c r="L41" s="481" t="str">
        <f>I21</f>
        <v>West SuE ( ab 1.03.2020 )</v>
      </c>
      <c r="M41" s="26"/>
      <c r="N41" s="26"/>
      <c r="O41" s="18"/>
      <c r="P41" s="24"/>
      <c r="Q41" s="24"/>
      <c r="R41" s="18"/>
      <c r="S41" s="18"/>
      <c r="T41" s="18"/>
    </row>
    <row r="42" spans="1:32" ht="12.75" customHeight="1">
      <c r="A42" s="18"/>
      <c r="B42" s="18"/>
      <c r="C42" s="503" t="str">
        <f t="shared" si="0"/>
        <v/>
      </c>
      <c r="D42" s="23" t="str">
        <f>VLOOKUP($B$4,$F$20:$AM$29,24)</f>
        <v/>
      </c>
      <c r="E42" s="52"/>
      <c r="F42" s="60">
        <v>8</v>
      </c>
      <c r="G42" s="61">
        <v>40</v>
      </c>
      <c r="H42" s="61">
        <v>40</v>
      </c>
      <c r="I42" s="61">
        <v>40</v>
      </c>
      <c r="J42" s="61">
        <v>40</v>
      </c>
      <c r="K42" s="61">
        <v>40</v>
      </c>
      <c r="L42" s="420" t="str">
        <f>J21</f>
        <v>Ost SuE ( ab 1.03.2020 )</v>
      </c>
      <c r="M42" s="26"/>
      <c r="N42" s="26"/>
      <c r="O42" s="18"/>
      <c r="P42" s="24"/>
      <c r="Q42" s="24"/>
      <c r="R42" s="18"/>
      <c r="S42" s="18"/>
      <c r="T42" s="18"/>
    </row>
    <row r="43" spans="1:32" ht="12.75" customHeight="1">
      <c r="A43" s="18"/>
      <c r="B43" s="18"/>
      <c r="C43" s="503" t="str">
        <f t="shared" si="0"/>
        <v/>
      </c>
      <c r="D43" s="23" t="str">
        <f>VLOOKUP($B$4,$F$20:$AM$29,25)</f>
        <v/>
      </c>
      <c r="E43" s="52"/>
      <c r="F43" s="60">
        <v>9</v>
      </c>
      <c r="G43" s="61">
        <v>39</v>
      </c>
      <c r="H43" s="61">
        <v>39</v>
      </c>
      <c r="I43" s="61">
        <v>39</v>
      </c>
      <c r="J43" s="61">
        <v>39</v>
      </c>
      <c r="K43" s="61">
        <v>39</v>
      </c>
      <c r="L43" s="420" t="str">
        <f>K21</f>
        <v>West AT ( ab 1.04.2021 )</v>
      </c>
      <c r="M43" s="26"/>
      <c r="N43" s="26"/>
      <c r="O43" s="18"/>
      <c r="P43" s="24"/>
      <c r="Q43" s="24"/>
      <c r="R43" s="18"/>
      <c r="S43" s="18"/>
      <c r="T43" s="18"/>
    </row>
    <row r="44" spans="1:32" ht="12.75" customHeight="1">
      <c r="A44" s="18"/>
      <c r="B44" s="18"/>
      <c r="C44" s="503" t="str">
        <f t="shared" si="0"/>
        <v/>
      </c>
      <c r="D44" s="23" t="str">
        <f>VLOOKUP($B$4,$F$20:$AM$29,26)</f>
        <v/>
      </c>
      <c r="E44" s="52"/>
      <c r="F44" s="60">
        <v>10</v>
      </c>
      <c r="G44" s="61">
        <v>40</v>
      </c>
      <c r="H44" s="618">
        <v>39.5</v>
      </c>
      <c r="I44" s="618">
        <v>39.5</v>
      </c>
      <c r="J44" s="618">
        <v>39.5</v>
      </c>
      <c r="K44" s="618">
        <v>39.5</v>
      </c>
      <c r="L44" s="420" t="str">
        <f>L21</f>
        <v>Ost AT ( ab 1.04.2021 )</v>
      </c>
      <c r="M44" s="26"/>
      <c r="N44" s="26"/>
      <c r="O44" s="622" t="s">
        <v>174</v>
      </c>
      <c r="P44" s="24"/>
      <c r="Q44" s="24"/>
      <c r="R44" s="18"/>
      <c r="S44" s="18"/>
      <c r="T44" s="18"/>
    </row>
    <row r="45" spans="1:32" ht="12.75" customHeight="1">
      <c r="A45" s="18"/>
      <c r="B45" s="18"/>
      <c r="C45" s="503" t="str">
        <f t="shared" si="0"/>
        <v/>
      </c>
      <c r="D45" s="23" t="str">
        <f>VLOOKUP($B$4,$F$20:$AM$29,27)</f>
        <v/>
      </c>
      <c r="E45" s="52"/>
      <c r="F45" s="60">
        <v>11</v>
      </c>
      <c r="G45" s="61">
        <v>39</v>
      </c>
      <c r="H45" s="61">
        <v>38.5</v>
      </c>
      <c r="I45" s="61">
        <v>38.5</v>
      </c>
      <c r="J45" s="61">
        <v>38.5</v>
      </c>
      <c r="K45" s="61">
        <v>38.5</v>
      </c>
      <c r="L45" s="420" t="str">
        <f>M21</f>
        <v>West SuE ( ab 1.04.2021 )</v>
      </c>
      <c r="M45" s="26"/>
      <c r="N45" s="26"/>
      <c r="O45" s="622"/>
      <c r="P45" s="24"/>
      <c r="Q45" s="24"/>
      <c r="R45" s="18"/>
      <c r="S45" s="18"/>
      <c r="T45" s="18"/>
    </row>
    <row r="46" spans="1:32" ht="12.75" customHeight="1">
      <c r="A46" s="18"/>
      <c r="B46" s="18"/>
      <c r="C46" s="503" t="str">
        <f t="shared" si="0"/>
        <v/>
      </c>
      <c r="D46" s="23" t="str">
        <f>VLOOKUP($B$4,$F$20:$AM$29,28)</f>
        <v/>
      </c>
      <c r="E46" s="52"/>
      <c r="F46" s="60">
        <v>12</v>
      </c>
      <c r="G46" s="61">
        <v>40</v>
      </c>
      <c r="H46" s="618">
        <v>39.5</v>
      </c>
      <c r="I46" s="618">
        <v>39.5</v>
      </c>
      <c r="J46" s="618">
        <v>39.5</v>
      </c>
      <c r="K46" s="618">
        <v>39.5</v>
      </c>
      <c r="L46" s="420" t="str">
        <f>N21</f>
        <v>Ost SuE ( ab 1.04.2021 )</v>
      </c>
      <c r="M46" s="26"/>
      <c r="N46" s="26"/>
      <c r="O46" s="622" t="s">
        <v>176</v>
      </c>
      <c r="P46" s="24"/>
      <c r="Q46" s="24"/>
      <c r="R46" s="18"/>
      <c r="S46" s="18"/>
      <c r="T46" s="18"/>
    </row>
    <row r="47" spans="1:32" ht="12.75" customHeight="1">
      <c r="A47" s="18"/>
      <c r="B47" s="18"/>
      <c r="C47" s="503" t="str">
        <f t="shared" si="0"/>
        <v/>
      </c>
      <c r="D47" s="23" t="str">
        <f>VLOOKUP($B$4,$F$20:$AM$29,29)</f>
        <v/>
      </c>
      <c r="E47" s="52"/>
      <c r="F47" s="60">
        <v>13</v>
      </c>
      <c r="G47" s="61">
        <v>39</v>
      </c>
      <c r="H47" s="61">
        <v>39</v>
      </c>
      <c r="I47" s="61">
        <v>39</v>
      </c>
      <c r="J47" s="61">
        <v>39</v>
      </c>
      <c r="K47" s="61">
        <v>39</v>
      </c>
      <c r="L47" s="420" t="str">
        <f>O21</f>
        <v>West AT ( ab 1.04.2022 )</v>
      </c>
      <c r="M47" s="26"/>
      <c r="N47" s="26"/>
      <c r="O47" s="622"/>
      <c r="P47" s="24"/>
      <c r="Q47" s="24"/>
      <c r="R47" s="18"/>
      <c r="S47" s="18"/>
      <c r="T47" s="18"/>
    </row>
    <row r="48" spans="1:32" ht="12.75" customHeight="1">
      <c r="A48" s="18"/>
      <c r="B48" s="18"/>
      <c r="C48" s="503" t="str">
        <f t="shared" si="0"/>
        <v/>
      </c>
      <c r="D48" s="23" t="str">
        <f>VLOOKUP($B$4,$F$20:$AM$29,30)</f>
        <v/>
      </c>
      <c r="E48" s="52"/>
      <c r="F48" s="60">
        <v>14</v>
      </c>
      <c r="G48" s="618">
        <v>39.5</v>
      </c>
      <c r="H48" s="618">
        <v>39</v>
      </c>
      <c r="I48" s="618">
        <v>39</v>
      </c>
      <c r="J48" s="618">
        <v>39</v>
      </c>
      <c r="K48" s="618">
        <v>39</v>
      </c>
      <c r="L48" s="420" t="str">
        <f>P21</f>
        <v>Ost AT ( ab 1.04.2022 )</v>
      </c>
      <c r="M48" s="26"/>
      <c r="N48" s="26"/>
      <c r="O48" s="622" t="s">
        <v>178</v>
      </c>
      <c r="P48" s="24"/>
      <c r="Q48" s="24"/>
      <c r="R48" s="18"/>
      <c r="S48" s="18"/>
      <c r="T48" s="18"/>
    </row>
    <row r="49" spans="1:20" ht="12.75" customHeight="1">
      <c r="A49" s="18"/>
      <c r="B49" s="18"/>
      <c r="C49" s="503" t="str">
        <f t="shared" si="0"/>
        <v/>
      </c>
      <c r="D49" s="23" t="str">
        <f>VLOOKUP($B$4,$F$20:$AM$29,31)</f>
        <v/>
      </c>
      <c r="E49" s="52"/>
      <c r="F49" s="60">
        <v>15</v>
      </c>
      <c r="G49" s="61">
        <v>39</v>
      </c>
      <c r="H49" s="61">
        <v>38.5</v>
      </c>
      <c r="I49" s="61">
        <v>38.5</v>
      </c>
      <c r="J49" s="61">
        <v>38.5</v>
      </c>
      <c r="K49" s="61">
        <v>38.5</v>
      </c>
      <c r="L49" s="420" t="str">
        <f>Q21</f>
        <v>West SuE ( ab 1.04.2022 )</v>
      </c>
      <c r="M49" s="26"/>
      <c r="N49" s="26"/>
      <c r="O49" s="622"/>
      <c r="P49" s="24"/>
      <c r="Q49" s="24"/>
      <c r="R49" s="18"/>
      <c r="S49" s="18"/>
      <c r="T49" s="18"/>
    </row>
    <row r="50" spans="1:20" ht="12.75" customHeight="1">
      <c r="A50" s="18"/>
      <c r="B50" s="18"/>
      <c r="C50" s="503" t="str">
        <f t="shared" si="0"/>
        <v/>
      </c>
      <c r="D50" s="23" t="str">
        <f>VLOOKUP($B$4,$F$20:$AM$29,32)</f>
        <v/>
      </c>
      <c r="E50" s="52"/>
      <c r="F50" s="60">
        <v>16</v>
      </c>
      <c r="G50" s="618">
        <v>39.5</v>
      </c>
      <c r="H50" s="618">
        <v>39</v>
      </c>
      <c r="I50" s="618">
        <v>39</v>
      </c>
      <c r="J50" s="618">
        <v>39</v>
      </c>
      <c r="K50" s="618">
        <v>39</v>
      </c>
      <c r="L50" s="420" t="str">
        <f>R21</f>
        <v>Ost SuE ( ab 1.04.2022 )</v>
      </c>
      <c r="M50" s="26"/>
      <c r="N50" s="26"/>
      <c r="O50" s="622" t="s">
        <v>485</v>
      </c>
      <c r="P50" s="24"/>
      <c r="Q50" s="24"/>
      <c r="R50" s="18"/>
      <c r="S50" s="18"/>
      <c r="T50" s="18"/>
    </row>
    <row r="51" spans="1:20" ht="12.75" customHeight="1">
      <c r="A51" s="18"/>
      <c r="B51" s="18"/>
      <c r="C51" s="503" t="str">
        <f t="shared" si="0"/>
        <v/>
      </c>
      <c r="D51" s="23" t="str">
        <f>VLOOKUP($B$4,$F$20:$AM$29,33)</f>
        <v/>
      </c>
      <c r="E51" s="52"/>
      <c r="F51" s="60">
        <v>17</v>
      </c>
      <c r="G51" s="61"/>
      <c r="H51" s="61"/>
      <c r="I51" s="61"/>
      <c r="J51" s="61"/>
      <c r="K51" s="61"/>
      <c r="L51" s="420"/>
      <c r="M51" s="26"/>
      <c r="N51" s="26"/>
      <c r="O51" s="622"/>
      <c r="P51" s="24"/>
      <c r="Q51" s="24"/>
      <c r="R51" s="18"/>
      <c r="S51" s="18"/>
      <c r="T51" s="18"/>
    </row>
    <row r="52" spans="1:20" ht="12.75" customHeight="1" thickBot="1">
      <c r="A52" s="18"/>
      <c r="B52" s="18"/>
      <c r="C52" s="538" t="str">
        <f t="shared" si="0"/>
        <v/>
      </c>
      <c r="D52" s="23">
        <f>VLOOKUP($B$4,$F$20:$AM$29,34)</f>
        <v>0</v>
      </c>
      <c r="E52" s="52"/>
      <c r="F52" s="60">
        <v>18</v>
      </c>
      <c r="G52" s="61"/>
      <c r="H52" s="61"/>
      <c r="I52" s="61"/>
      <c r="J52" s="61"/>
      <c r="K52" s="61"/>
      <c r="L52" s="420"/>
      <c r="M52" s="26"/>
      <c r="N52" s="26"/>
      <c r="O52" s="622"/>
      <c r="P52" s="24"/>
      <c r="Q52" s="24"/>
      <c r="R52" s="18"/>
      <c r="S52" s="18"/>
      <c r="T52" s="18"/>
    </row>
    <row r="53" spans="1:20" ht="12.75" customHeight="1">
      <c r="A53" s="18"/>
      <c r="B53" s="18"/>
      <c r="C53" s="25"/>
      <c r="D53" s="18"/>
      <c r="E53" s="52"/>
      <c r="F53" s="64">
        <v>19</v>
      </c>
      <c r="G53" s="65"/>
      <c r="H53" s="65"/>
      <c r="I53" s="65"/>
      <c r="J53" s="65"/>
      <c r="K53" s="65"/>
      <c r="L53" s="482"/>
      <c r="M53" s="30"/>
      <c r="N53" s="26"/>
      <c r="O53" s="622"/>
      <c r="P53" s="24"/>
      <c r="Q53" s="24"/>
      <c r="R53" s="18"/>
      <c r="S53" s="18"/>
      <c r="T53" s="18"/>
    </row>
    <row r="54" spans="1:20" ht="12.75" customHeight="1">
      <c r="A54" s="18"/>
      <c r="B54" s="18"/>
      <c r="C54" s="26"/>
      <c r="D54" s="18"/>
      <c r="E54" s="52">
        <v>3</v>
      </c>
      <c r="F54" s="82">
        <v>20</v>
      </c>
      <c r="G54" s="59">
        <f>38.5</f>
        <v>38.5</v>
      </c>
      <c r="H54" s="428">
        <f>39</f>
        <v>39</v>
      </c>
      <c r="I54" s="428">
        <f>39</f>
        <v>39</v>
      </c>
      <c r="J54" s="428">
        <f>39</f>
        <v>39</v>
      </c>
      <c r="K54" s="428">
        <f>39</f>
        <v>39</v>
      </c>
      <c r="L54" s="483" t="str">
        <f>G22</f>
        <v>Pflege West ( ab 1.03.2020 )</v>
      </c>
      <c r="M54" s="26"/>
      <c r="N54" s="26"/>
      <c r="O54" s="622"/>
      <c r="P54" s="24"/>
      <c r="Q54" s="24"/>
      <c r="R54" s="18"/>
      <c r="S54" s="18"/>
      <c r="T54" s="18"/>
    </row>
    <row r="55" spans="1:20" ht="12.75" customHeight="1">
      <c r="A55" s="18"/>
      <c r="B55" s="18"/>
      <c r="C55" s="18"/>
      <c r="D55" s="18"/>
      <c r="E55" s="52"/>
      <c r="F55" s="43">
        <v>21</v>
      </c>
      <c r="G55" s="59">
        <v>40</v>
      </c>
      <c r="H55" s="59">
        <v>40</v>
      </c>
      <c r="I55" s="59">
        <v>40</v>
      </c>
      <c r="J55" s="59">
        <v>40</v>
      </c>
      <c r="K55" s="59">
        <v>40</v>
      </c>
      <c r="L55" s="483" t="str">
        <f>H22</f>
        <v>Pflege Ost ( ab 1.03.2020 )</v>
      </c>
      <c r="M55" s="26"/>
      <c r="N55" s="26"/>
      <c r="O55" s="622"/>
      <c r="P55" s="24"/>
      <c r="Q55" s="24"/>
      <c r="R55" s="18"/>
      <c r="S55" s="18"/>
      <c r="T55" s="18"/>
    </row>
    <row r="56" spans="1:20" ht="12.75" customHeight="1">
      <c r="A56" s="18"/>
      <c r="B56" s="18"/>
      <c r="C56" s="18"/>
      <c r="D56" s="18"/>
      <c r="E56" s="52"/>
      <c r="F56" s="43">
        <v>22</v>
      </c>
      <c r="G56" s="59">
        <f>38.5</f>
        <v>38.5</v>
      </c>
      <c r="H56" s="428">
        <f>39</f>
        <v>39</v>
      </c>
      <c r="I56" s="428">
        <f>39</f>
        <v>39</v>
      </c>
      <c r="J56" s="428">
        <f>39</f>
        <v>39</v>
      </c>
      <c r="K56" s="428">
        <f>39</f>
        <v>39</v>
      </c>
      <c r="L56" s="484" t="str">
        <f>I22</f>
        <v>außerhalb Pflege West ( ab 1.03.2020 )</v>
      </c>
      <c r="M56" s="26"/>
      <c r="N56" s="26"/>
      <c r="O56" s="622"/>
      <c r="P56" s="24"/>
      <c r="Q56" s="24"/>
      <c r="R56" s="18"/>
      <c r="S56" s="18"/>
      <c r="T56" s="18"/>
    </row>
    <row r="57" spans="1:20" ht="12.75" customHeight="1">
      <c r="A57" s="18"/>
      <c r="B57" s="18"/>
      <c r="C57" s="539"/>
      <c r="D57" s="24"/>
      <c r="E57" s="58"/>
      <c r="F57" s="43">
        <v>23</v>
      </c>
      <c r="G57" s="59">
        <v>40</v>
      </c>
      <c r="H57" s="59">
        <v>40</v>
      </c>
      <c r="I57" s="59">
        <v>40</v>
      </c>
      <c r="J57" s="59">
        <v>40</v>
      </c>
      <c r="K57" s="59">
        <v>40</v>
      </c>
      <c r="L57" s="484" t="str">
        <f>J22</f>
        <v>außerhalb Pflege Ost ( ab 1.03.2020 )</v>
      </c>
      <c r="M57" s="26"/>
      <c r="N57" s="26"/>
      <c r="O57" s="622"/>
      <c r="P57" s="24"/>
      <c r="Q57" s="24"/>
      <c r="R57" s="18"/>
      <c r="S57" s="18"/>
      <c r="T57" s="18"/>
    </row>
    <row r="58" spans="1:20" ht="12.75" customHeight="1">
      <c r="A58" s="18"/>
      <c r="B58" s="18"/>
      <c r="C58" s="24"/>
      <c r="D58" s="24"/>
      <c r="E58" s="58"/>
      <c r="F58" s="43">
        <v>24</v>
      </c>
      <c r="G58" s="59">
        <f>38.5</f>
        <v>38.5</v>
      </c>
      <c r="H58" s="428">
        <f>39</f>
        <v>39</v>
      </c>
      <c r="I58" s="428">
        <f>39</f>
        <v>39</v>
      </c>
      <c r="J58" s="428">
        <f>39</f>
        <v>39</v>
      </c>
      <c r="K58" s="428">
        <f>39</f>
        <v>39</v>
      </c>
      <c r="L58" s="428" t="str">
        <f>K22</f>
        <v>Pflege West ( ab 1.04.2021 )</v>
      </c>
      <c r="M58" s="26"/>
      <c r="N58" s="26"/>
      <c r="O58" s="622"/>
      <c r="P58" s="24"/>
      <c r="Q58" s="24"/>
      <c r="R58" s="18"/>
      <c r="S58" s="18"/>
      <c r="T58" s="18"/>
    </row>
    <row r="59" spans="1:20" ht="12.75" customHeight="1">
      <c r="A59" s="18"/>
      <c r="B59" s="18"/>
      <c r="C59" s="24"/>
      <c r="D59" s="24"/>
      <c r="E59" s="58"/>
      <c r="F59" s="43">
        <v>25</v>
      </c>
      <c r="G59" s="59">
        <v>40</v>
      </c>
      <c r="H59" s="59">
        <v>40</v>
      </c>
      <c r="I59" s="59">
        <v>40</v>
      </c>
      <c r="J59" s="59">
        <v>40</v>
      </c>
      <c r="K59" s="59">
        <v>40</v>
      </c>
      <c r="L59" s="428" t="str">
        <f>L22</f>
        <v>Pflege Ost ( ab 1.04.2021 )</v>
      </c>
      <c r="M59" s="26"/>
      <c r="N59" s="26"/>
      <c r="O59" s="622"/>
      <c r="P59" s="24"/>
      <c r="Q59" s="24"/>
      <c r="R59" s="18"/>
      <c r="S59" s="18"/>
      <c r="T59" s="18"/>
    </row>
    <row r="60" spans="1:20" ht="12.75" customHeight="1">
      <c r="A60" s="18"/>
      <c r="B60" s="18"/>
      <c r="C60" s="24"/>
      <c r="D60" s="24"/>
      <c r="E60" s="58"/>
      <c r="F60" s="43">
        <v>26</v>
      </c>
      <c r="G60" s="59">
        <f>38.5</f>
        <v>38.5</v>
      </c>
      <c r="H60" s="428">
        <f>39</f>
        <v>39</v>
      </c>
      <c r="I60" s="428">
        <f>39</f>
        <v>39</v>
      </c>
      <c r="J60" s="428">
        <f>39</f>
        <v>39</v>
      </c>
      <c r="K60" s="428">
        <f>39</f>
        <v>39</v>
      </c>
      <c r="L60" s="428" t="str">
        <f>M22</f>
        <v>außerhalb Pflege West ( ab 1.04.2021 )</v>
      </c>
      <c r="M60" s="26"/>
      <c r="N60" s="26"/>
      <c r="O60" s="622"/>
      <c r="P60" s="24"/>
      <c r="Q60" s="24"/>
      <c r="R60" s="18"/>
      <c r="S60" s="18"/>
      <c r="T60" s="18"/>
    </row>
    <row r="61" spans="1:20" ht="12.75" customHeight="1">
      <c r="A61" s="18"/>
      <c r="B61" s="18"/>
      <c r="C61" s="24"/>
      <c r="D61" s="24"/>
      <c r="E61" s="58"/>
      <c r="F61" s="43">
        <v>27</v>
      </c>
      <c r="G61" s="59">
        <v>40</v>
      </c>
      <c r="H61" s="59">
        <v>40</v>
      </c>
      <c r="I61" s="59">
        <v>40</v>
      </c>
      <c r="J61" s="59">
        <v>40</v>
      </c>
      <c r="K61" s="59">
        <v>40</v>
      </c>
      <c r="L61" s="428" t="str">
        <f>N22</f>
        <v>außerhalb Pflege Ost ( ab 1.04.2021 )</v>
      </c>
      <c r="M61" s="26"/>
      <c r="N61" s="26"/>
      <c r="O61" s="622"/>
      <c r="P61" s="24"/>
      <c r="Q61" s="24"/>
      <c r="R61" s="18"/>
      <c r="S61" s="18"/>
      <c r="T61" s="18"/>
    </row>
    <row r="62" spans="1:20" ht="12.75" customHeight="1">
      <c r="A62" s="18"/>
      <c r="B62" s="18"/>
      <c r="C62" s="24"/>
      <c r="D62" s="24"/>
      <c r="E62" s="58"/>
      <c r="F62" s="43">
        <v>28</v>
      </c>
      <c r="G62" s="59">
        <f>38.5</f>
        <v>38.5</v>
      </c>
      <c r="H62" s="428">
        <f>39</f>
        <v>39</v>
      </c>
      <c r="I62" s="428">
        <f>39</f>
        <v>39</v>
      </c>
      <c r="J62" s="428">
        <f>39</f>
        <v>39</v>
      </c>
      <c r="K62" s="428">
        <f>39</f>
        <v>39</v>
      </c>
      <c r="L62" s="59" t="str">
        <f>O22</f>
        <v>Pflege West ( ab 1.04.2022 )</v>
      </c>
      <c r="M62" s="26"/>
      <c r="N62" s="26"/>
      <c r="O62" s="622"/>
      <c r="P62" s="24"/>
      <c r="Q62" s="24"/>
      <c r="R62" s="18"/>
      <c r="S62" s="18"/>
      <c r="T62" s="18"/>
    </row>
    <row r="63" spans="1:20" ht="12.75" customHeight="1">
      <c r="A63" s="18"/>
      <c r="B63" s="18"/>
      <c r="C63" s="24"/>
      <c r="D63" s="24"/>
      <c r="E63" s="58"/>
      <c r="F63" s="43">
        <v>29</v>
      </c>
      <c r="G63" s="59">
        <v>40</v>
      </c>
      <c r="H63" s="621">
        <v>39.5</v>
      </c>
      <c r="I63" s="621">
        <v>39.5</v>
      </c>
      <c r="J63" s="621">
        <v>39.5</v>
      </c>
      <c r="K63" s="621">
        <v>39.5</v>
      </c>
      <c r="L63" s="59" t="str">
        <f>P22</f>
        <v>Pflege Ost ( ab 1.04.2022 )</v>
      </c>
      <c r="M63" s="26"/>
      <c r="N63" s="26"/>
      <c r="O63" s="622" t="s">
        <v>380</v>
      </c>
      <c r="P63" s="24"/>
      <c r="Q63" s="24"/>
      <c r="R63" s="18"/>
      <c r="S63" s="18"/>
      <c r="T63" s="18"/>
    </row>
    <row r="64" spans="1:20" ht="12.75" customHeight="1">
      <c r="A64" s="18"/>
      <c r="B64" s="18"/>
      <c r="C64" s="24"/>
      <c r="D64" s="24"/>
      <c r="E64" s="58"/>
      <c r="F64" s="43">
        <v>30</v>
      </c>
      <c r="G64" s="59">
        <f>38.5</f>
        <v>38.5</v>
      </c>
      <c r="H64" s="428">
        <f>39</f>
        <v>39</v>
      </c>
      <c r="I64" s="428">
        <f>39</f>
        <v>39</v>
      </c>
      <c r="J64" s="428">
        <f>39</f>
        <v>39</v>
      </c>
      <c r="K64" s="428">
        <f>39</f>
        <v>39</v>
      </c>
      <c r="L64" s="59" t="str">
        <f>Q22</f>
        <v>außerhalb Pflege West ( ab 1.04.2022 )</v>
      </c>
      <c r="M64" s="26"/>
      <c r="N64" s="26"/>
      <c r="O64" s="622"/>
      <c r="P64" s="24"/>
      <c r="Q64" s="24"/>
      <c r="R64" s="18"/>
      <c r="S64" s="18"/>
      <c r="T64" s="18"/>
    </row>
    <row r="65" spans="1:20" ht="12.75" customHeight="1">
      <c r="A65" s="18"/>
      <c r="B65" s="18"/>
      <c r="C65" s="24"/>
      <c r="D65" s="24"/>
      <c r="E65" s="58"/>
      <c r="F65" s="44">
        <v>31</v>
      </c>
      <c r="G65" s="62">
        <v>40</v>
      </c>
      <c r="H65" s="620">
        <v>39.5</v>
      </c>
      <c r="I65" s="620">
        <v>39.5</v>
      </c>
      <c r="J65" s="620">
        <v>39.5</v>
      </c>
      <c r="K65" s="620">
        <v>39.5</v>
      </c>
      <c r="L65" s="62" t="str">
        <f>R22</f>
        <v>außerhalb Pflege Ost ( ab 1.04.2022 )</v>
      </c>
      <c r="M65" s="30"/>
      <c r="N65" s="26"/>
      <c r="O65" s="622" t="s">
        <v>382</v>
      </c>
      <c r="P65" s="24"/>
      <c r="Q65" s="24"/>
      <c r="R65" s="18"/>
      <c r="S65" s="18"/>
      <c r="T65" s="18"/>
    </row>
    <row r="66" spans="1:20" ht="12.75" customHeight="1">
      <c r="E66" s="52">
        <v>4</v>
      </c>
      <c r="F66" s="85">
        <v>32</v>
      </c>
      <c r="G66" s="61">
        <v>39</v>
      </c>
      <c r="H66" s="61">
        <v>39</v>
      </c>
      <c r="I66" s="61">
        <v>39</v>
      </c>
      <c r="J66" s="61">
        <v>39</v>
      </c>
      <c r="K66" s="61">
        <v>39</v>
      </c>
      <c r="L66" s="420" t="str">
        <f>G23</f>
        <v>Pflege West ( ab 1.03.2020 )</v>
      </c>
      <c r="M66" s="88"/>
      <c r="N66" s="88"/>
      <c r="P66" s="24"/>
      <c r="Q66" s="24"/>
    </row>
    <row r="67" spans="1:20" ht="12.75" customHeight="1">
      <c r="E67" s="52"/>
      <c r="F67" s="60">
        <v>33</v>
      </c>
      <c r="G67" s="61">
        <v>40</v>
      </c>
      <c r="H67" s="61">
        <v>40</v>
      </c>
      <c r="I67" s="61">
        <v>40</v>
      </c>
      <c r="J67" s="61">
        <v>40</v>
      </c>
      <c r="K67" s="61">
        <v>40</v>
      </c>
      <c r="L67" s="420" t="str">
        <f>H23</f>
        <v>Pflege Ost ( ab 1.03.2020 )</v>
      </c>
      <c r="M67" s="88"/>
      <c r="N67" s="88"/>
      <c r="P67" s="24"/>
      <c r="Q67" s="24"/>
    </row>
    <row r="68" spans="1:20" ht="12.75" customHeight="1">
      <c r="E68" s="52"/>
      <c r="F68" s="60">
        <v>34</v>
      </c>
      <c r="G68" s="61">
        <v>39</v>
      </c>
      <c r="H68" s="61">
        <v>39</v>
      </c>
      <c r="I68" s="61">
        <v>39</v>
      </c>
      <c r="J68" s="61">
        <v>39</v>
      </c>
      <c r="K68" s="61">
        <v>39</v>
      </c>
      <c r="L68" s="420" t="str">
        <f>I23</f>
        <v>Pflege West ( ab 1.04.2021 )</v>
      </c>
      <c r="P68" s="24"/>
      <c r="Q68" s="24"/>
    </row>
    <row r="69" spans="1:20" ht="12.75" customHeight="1">
      <c r="E69" s="52"/>
      <c r="F69" s="60">
        <v>35</v>
      </c>
      <c r="G69" s="61">
        <v>40</v>
      </c>
      <c r="H69" s="618">
        <v>39.5</v>
      </c>
      <c r="I69" s="618">
        <v>39.5</v>
      </c>
      <c r="J69" s="618">
        <v>39.5</v>
      </c>
      <c r="K69" s="618">
        <v>39.5</v>
      </c>
      <c r="L69" s="420" t="str">
        <f>J23</f>
        <v>Pflege Ost ( ab 1.04.2021 )</v>
      </c>
      <c r="O69" s="622" t="s">
        <v>184</v>
      </c>
      <c r="P69" s="24"/>
      <c r="Q69" s="24"/>
    </row>
    <row r="70" spans="1:20" ht="12.75" customHeight="1">
      <c r="E70" s="52"/>
      <c r="F70" s="60">
        <v>36</v>
      </c>
      <c r="G70" s="61">
        <v>39</v>
      </c>
      <c r="H70" s="61">
        <v>39</v>
      </c>
      <c r="I70" s="61">
        <v>39</v>
      </c>
      <c r="J70" s="61">
        <v>39</v>
      </c>
      <c r="K70" s="61">
        <v>39</v>
      </c>
      <c r="L70" s="420" t="str">
        <f>K23</f>
        <v>Pflege West ( ab 1.04.2022 )</v>
      </c>
      <c r="P70" s="24"/>
      <c r="Q70" s="24"/>
    </row>
    <row r="71" spans="1:20" ht="12.75" customHeight="1">
      <c r="E71" s="52"/>
      <c r="F71" s="60">
        <v>37</v>
      </c>
      <c r="G71" s="618">
        <v>39.5</v>
      </c>
      <c r="H71" s="618">
        <v>39</v>
      </c>
      <c r="I71" s="618">
        <v>39</v>
      </c>
      <c r="J71" s="618">
        <v>39</v>
      </c>
      <c r="K71" s="618">
        <v>39</v>
      </c>
      <c r="L71" s="420" t="str">
        <f>L23</f>
        <v>Pflege Ost ( ab 1.04.2022 )</v>
      </c>
      <c r="O71" s="622" t="s">
        <v>384</v>
      </c>
      <c r="P71" s="24"/>
      <c r="Q71" s="24"/>
    </row>
    <row r="72" spans="1:20" ht="12.75" customHeight="1">
      <c r="E72" s="52"/>
      <c r="F72" s="60">
        <v>38</v>
      </c>
      <c r="G72" s="61"/>
      <c r="H72" s="61"/>
      <c r="I72" s="87"/>
      <c r="J72" s="63"/>
      <c r="K72" s="63"/>
      <c r="L72" s="61"/>
      <c r="P72" s="24"/>
      <c r="Q72" s="24"/>
    </row>
    <row r="73" spans="1:20" ht="12.75" customHeight="1">
      <c r="E73" s="52"/>
      <c r="F73" s="60">
        <v>39</v>
      </c>
      <c r="G73" s="61"/>
      <c r="H73" s="61"/>
      <c r="I73" s="87"/>
      <c r="J73" s="63"/>
      <c r="K73" s="63"/>
      <c r="L73" s="61"/>
      <c r="P73" s="24"/>
      <c r="Q73" s="24"/>
    </row>
    <row r="74" spans="1:20" ht="12.75" customHeight="1">
      <c r="E74" s="52"/>
      <c r="F74" s="60">
        <v>40</v>
      </c>
      <c r="G74" s="61"/>
      <c r="H74" s="61"/>
      <c r="I74" s="87"/>
      <c r="J74" s="63"/>
      <c r="K74" s="63"/>
      <c r="L74" s="61"/>
      <c r="P74" s="24"/>
      <c r="Q74" s="24"/>
    </row>
    <row r="75" spans="1:20" ht="12.75" customHeight="1">
      <c r="E75" s="52"/>
      <c r="F75" s="60">
        <v>41</v>
      </c>
      <c r="G75" s="61"/>
      <c r="H75" s="61"/>
      <c r="I75" s="61"/>
      <c r="J75" s="61"/>
      <c r="K75" s="61"/>
      <c r="L75" s="61"/>
      <c r="P75" s="24"/>
      <c r="Q75" s="24"/>
    </row>
    <row r="76" spans="1:20" ht="12.75" customHeight="1">
      <c r="E76" s="52"/>
      <c r="F76" s="60">
        <v>42</v>
      </c>
      <c r="G76" s="61"/>
      <c r="H76" s="61"/>
      <c r="I76" s="87"/>
      <c r="J76" s="63"/>
      <c r="K76" s="63"/>
      <c r="L76" s="61"/>
      <c r="P76" s="24"/>
      <c r="Q76" s="24"/>
    </row>
    <row r="77" spans="1:20" ht="12.75" customHeight="1">
      <c r="E77" s="52"/>
      <c r="F77" s="60">
        <v>43</v>
      </c>
      <c r="G77" s="61"/>
      <c r="H77" s="61"/>
      <c r="I77" s="87"/>
      <c r="J77" s="63"/>
      <c r="K77" s="63"/>
      <c r="L77" s="61"/>
      <c r="P77" s="24"/>
      <c r="Q77" s="24"/>
    </row>
    <row r="78" spans="1:20" ht="12.75" customHeight="1">
      <c r="E78" s="52"/>
      <c r="F78" s="60">
        <v>44</v>
      </c>
      <c r="G78" s="61"/>
      <c r="H78" s="61"/>
      <c r="I78" s="87"/>
      <c r="J78" s="63"/>
      <c r="K78" s="63"/>
      <c r="L78" s="61"/>
      <c r="P78" s="24"/>
      <c r="Q78" s="24"/>
    </row>
    <row r="79" spans="1:20" ht="12.75" customHeight="1">
      <c r="E79" s="52"/>
      <c r="F79" s="64">
        <v>45</v>
      </c>
      <c r="G79" s="65"/>
      <c r="H79" s="65"/>
      <c r="I79" s="86"/>
      <c r="J79" s="66"/>
      <c r="K79" s="66"/>
      <c r="L79" s="65"/>
      <c r="M79" s="89"/>
      <c r="P79" s="24"/>
      <c r="Q79" s="24"/>
    </row>
    <row r="80" spans="1:20" ht="12.75" customHeight="1">
      <c r="E80" s="52">
        <v>5</v>
      </c>
      <c r="F80" s="82">
        <v>46</v>
      </c>
      <c r="G80" s="59">
        <v>39.5</v>
      </c>
      <c r="H80" s="59">
        <v>38.5</v>
      </c>
      <c r="I80" s="59">
        <v>38.5</v>
      </c>
      <c r="J80" s="59">
        <v>38.5</v>
      </c>
      <c r="K80" s="59">
        <v>38.5</v>
      </c>
      <c r="L80" s="59" t="str">
        <f>G24</f>
        <v>Baden-Württemberg  ( ab 1.01.2019 )</v>
      </c>
      <c r="P80" s="24"/>
      <c r="Q80" s="24"/>
    </row>
    <row r="81" spans="5:17" ht="12.75" customHeight="1">
      <c r="E81" s="52"/>
      <c r="F81" s="43">
        <v>47</v>
      </c>
      <c r="G81" s="59">
        <v>40.1</v>
      </c>
      <c r="H81" s="59">
        <v>38.5</v>
      </c>
      <c r="I81" s="59">
        <v>38.5</v>
      </c>
      <c r="J81" s="59">
        <v>38.5</v>
      </c>
      <c r="K81" s="59">
        <v>38.5</v>
      </c>
      <c r="L81" s="59" t="str">
        <f>H24</f>
        <v>Bayern  ( ab 1.01.2019 )</v>
      </c>
      <c r="P81" s="24"/>
      <c r="Q81" s="24"/>
    </row>
    <row r="82" spans="5:17" ht="12.75" customHeight="1">
      <c r="E82" s="52"/>
      <c r="F82" s="540">
        <v>48</v>
      </c>
      <c r="G82" s="428">
        <v>39.4</v>
      </c>
      <c r="H82" s="428">
        <v>38.5</v>
      </c>
      <c r="I82" s="428">
        <v>38.5</v>
      </c>
      <c r="J82" s="428">
        <v>38.5</v>
      </c>
      <c r="K82" s="428">
        <v>38.5</v>
      </c>
      <c r="L82" s="428" t="str">
        <f>I24</f>
        <v>Berlin  ( ab 1.01.2019 )</v>
      </c>
      <c r="M82" s="527"/>
      <c r="P82" s="24"/>
      <c r="Q82" s="24"/>
    </row>
    <row r="83" spans="5:17" ht="12.75" customHeight="1">
      <c r="E83" s="52"/>
      <c r="F83" s="540">
        <v>49</v>
      </c>
      <c r="G83" s="428">
        <v>39.200000000000003</v>
      </c>
      <c r="H83" s="428">
        <v>38.5</v>
      </c>
      <c r="I83" s="428">
        <v>38.5</v>
      </c>
      <c r="J83" s="428">
        <v>38.5</v>
      </c>
      <c r="K83" s="428">
        <v>38.5</v>
      </c>
      <c r="L83" s="428" t="str">
        <f>J24</f>
        <v>Bremen  ( ab 1.01.2019 )</v>
      </c>
      <c r="P83" s="24"/>
      <c r="Q83" s="24"/>
    </row>
    <row r="84" spans="5:17" ht="12.75" customHeight="1">
      <c r="E84" s="52"/>
      <c r="F84" s="540">
        <v>50</v>
      </c>
      <c r="G84" s="428">
        <v>39</v>
      </c>
      <c r="H84" s="428">
        <v>38.5</v>
      </c>
      <c r="I84" s="428">
        <v>38.5</v>
      </c>
      <c r="J84" s="428">
        <v>38.5</v>
      </c>
      <c r="K84" s="428">
        <v>38.5</v>
      </c>
      <c r="L84" s="428" t="str">
        <f>K24</f>
        <v>Hamburg  ( ab 1.01.2019 )</v>
      </c>
      <c r="P84" s="24"/>
      <c r="Q84" s="24"/>
    </row>
    <row r="85" spans="5:17" ht="12.75" customHeight="1">
      <c r="E85" s="52"/>
      <c r="F85" s="540">
        <v>51</v>
      </c>
      <c r="G85" s="428">
        <v>39.799999999999997</v>
      </c>
      <c r="H85" s="428">
        <v>38.5</v>
      </c>
      <c r="I85" s="428">
        <v>38.5</v>
      </c>
      <c r="J85" s="428">
        <v>38.5</v>
      </c>
      <c r="K85" s="428">
        <v>38.5</v>
      </c>
      <c r="L85" s="428" t="str">
        <f>L24</f>
        <v>Niedersachsen  ( ab 1.01.2019 )</v>
      </c>
      <c r="P85" s="24"/>
      <c r="Q85" s="24"/>
    </row>
    <row r="86" spans="5:17" ht="12.75" customHeight="1">
      <c r="E86" s="52"/>
      <c r="F86" s="540">
        <v>52</v>
      </c>
      <c r="G86" s="428">
        <v>39.83</v>
      </c>
      <c r="H86" s="428">
        <v>38.5</v>
      </c>
      <c r="I86" s="428">
        <v>38.5</v>
      </c>
      <c r="J86" s="428">
        <v>38.5</v>
      </c>
      <c r="K86" s="428">
        <v>38.5</v>
      </c>
      <c r="L86" s="428" t="str">
        <f>M24</f>
        <v>Nordrhein-Westfalen  ( ab 1.01.2019 )</v>
      </c>
      <c r="P86" s="24"/>
      <c r="Q86" s="24"/>
    </row>
    <row r="87" spans="5:17" ht="12.75" customHeight="1">
      <c r="E87" s="52"/>
      <c r="F87" s="540">
        <v>53</v>
      </c>
      <c r="G87" s="428">
        <v>39</v>
      </c>
      <c r="H87" s="428">
        <v>38.5</v>
      </c>
      <c r="I87" s="428">
        <v>38.5</v>
      </c>
      <c r="J87" s="428">
        <v>38.5</v>
      </c>
      <c r="K87" s="428">
        <v>38.5</v>
      </c>
      <c r="L87" s="428" t="str">
        <f>N24</f>
        <v>Rheinland-Pfalz  ( ab 1.01.2019 )</v>
      </c>
      <c r="P87" s="24"/>
      <c r="Q87" s="24"/>
    </row>
    <row r="88" spans="5:17" ht="12.75" customHeight="1">
      <c r="E88" s="52"/>
      <c r="F88" s="540">
        <v>54</v>
      </c>
      <c r="G88" s="428">
        <v>39.5</v>
      </c>
      <c r="H88" s="428">
        <v>38.5</v>
      </c>
      <c r="I88" s="428">
        <v>38.5</v>
      </c>
      <c r="J88" s="428">
        <v>38.5</v>
      </c>
      <c r="K88" s="428">
        <v>38.5</v>
      </c>
      <c r="L88" s="428" t="str">
        <f>O24</f>
        <v>Saarland  ( ab 1.01.2019 )</v>
      </c>
      <c r="P88" s="24"/>
      <c r="Q88" s="24"/>
    </row>
    <row r="89" spans="5:17" ht="12.75" customHeight="1">
      <c r="E89" s="52"/>
      <c r="F89" s="540">
        <v>55</v>
      </c>
      <c r="G89" s="428">
        <v>38.700000000000003</v>
      </c>
      <c r="H89" s="428">
        <v>38.5</v>
      </c>
      <c r="I89" s="428">
        <v>38.5</v>
      </c>
      <c r="J89" s="428">
        <v>38.5</v>
      </c>
      <c r="K89" s="428">
        <v>38.5</v>
      </c>
      <c r="L89" s="428" t="str">
        <f>P24</f>
        <v>Schleswig-Holstein  ( ab 1.01.2019 )</v>
      </c>
      <c r="P89" s="24"/>
      <c r="Q89" s="24"/>
    </row>
    <row r="90" spans="5:17" ht="12.75" customHeight="1">
      <c r="E90" s="52"/>
      <c r="F90" s="540">
        <v>56</v>
      </c>
      <c r="G90" s="428">
        <v>40</v>
      </c>
      <c r="H90" s="428">
        <v>40</v>
      </c>
      <c r="I90" s="428">
        <v>40</v>
      </c>
      <c r="J90" s="428">
        <v>40</v>
      </c>
      <c r="K90" s="428">
        <v>40</v>
      </c>
      <c r="L90" s="428" t="str">
        <f>Q24</f>
        <v>Tarifgebiet Ost  ( ab 1.01.2019 )</v>
      </c>
      <c r="P90" s="24"/>
      <c r="Q90" s="24"/>
    </row>
    <row r="91" spans="5:17" ht="12.75" customHeight="1">
      <c r="E91" s="52"/>
      <c r="F91" s="540">
        <v>57</v>
      </c>
      <c r="G91" s="59">
        <v>39.5</v>
      </c>
      <c r="H91" s="59">
        <v>38.5</v>
      </c>
      <c r="I91" s="59">
        <v>38.5</v>
      </c>
      <c r="J91" s="59">
        <v>38.5</v>
      </c>
      <c r="K91" s="59">
        <v>38.5</v>
      </c>
      <c r="L91" s="428" t="str">
        <f>R24</f>
        <v>Baden-Württemberg  ( ab 1.01.2020 )</v>
      </c>
      <c r="P91" s="24"/>
      <c r="Q91" s="24"/>
    </row>
    <row r="92" spans="5:17" ht="12.75" customHeight="1">
      <c r="E92" s="52"/>
      <c r="F92" s="540">
        <v>58</v>
      </c>
      <c r="G92" s="59">
        <v>40.1</v>
      </c>
      <c r="H92" s="59">
        <v>38.5</v>
      </c>
      <c r="I92" s="59">
        <v>38.5</v>
      </c>
      <c r="J92" s="59">
        <v>38.5</v>
      </c>
      <c r="K92" s="59">
        <v>38.5</v>
      </c>
      <c r="L92" s="428" t="str">
        <f>S24</f>
        <v>Bayern  ( ab 1.01.2020 )</v>
      </c>
      <c r="P92" s="526"/>
      <c r="Q92" s="24"/>
    </row>
    <row r="93" spans="5:17" ht="12.75" customHeight="1">
      <c r="E93" s="52"/>
      <c r="F93" s="540">
        <v>59</v>
      </c>
      <c r="G93" s="428">
        <v>39.4</v>
      </c>
      <c r="H93" s="428">
        <v>38.5</v>
      </c>
      <c r="I93" s="428">
        <v>38.5</v>
      </c>
      <c r="J93" s="428">
        <v>38.5</v>
      </c>
      <c r="K93" s="428">
        <v>38.5</v>
      </c>
      <c r="L93" s="428" t="str">
        <f>T24</f>
        <v>Berlin  ( ab 1.01.2020 )</v>
      </c>
      <c r="P93" s="24"/>
      <c r="Q93" s="24"/>
    </row>
    <row r="94" spans="5:17" ht="12.75" customHeight="1">
      <c r="E94" s="52"/>
      <c r="F94" s="540">
        <v>60</v>
      </c>
      <c r="G94" s="428">
        <v>39.200000000000003</v>
      </c>
      <c r="H94" s="428">
        <v>38.5</v>
      </c>
      <c r="I94" s="428">
        <v>38.5</v>
      </c>
      <c r="J94" s="428">
        <v>38.5</v>
      </c>
      <c r="K94" s="428">
        <v>38.5</v>
      </c>
      <c r="L94" s="428" t="str">
        <f>U24</f>
        <v>Bremen  ( ab 1.01.2020 )</v>
      </c>
      <c r="P94" s="24"/>
      <c r="Q94" s="24"/>
    </row>
    <row r="95" spans="5:17" ht="12.75" customHeight="1">
      <c r="E95" s="52"/>
      <c r="F95" s="540">
        <v>61</v>
      </c>
      <c r="G95" s="428">
        <v>39</v>
      </c>
      <c r="H95" s="428">
        <v>38.5</v>
      </c>
      <c r="I95" s="428">
        <v>38.5</v>
      </c>
      <c r="J95" s="428">
        <v>38.5</v>
      </c>
      <c r="K95" s="428">
        <v>38.5</v>
      </c>
      <c r="L95" s="428" t="str">
        <f>V24</f>
        <v>Hamburg  ( ab 1.01.2020 )</v>
      </c>
      <c r="P95" s="24"/>
      <c r="Q95" s="24"/>
    </row>
    <row r="96" spans="5:17" ht="12.75" customHeight="1">
      <c r="E96" s="52"/>
      <c r="F96" s="540">
        <v>62</v>
      </c>
      <c r="G96" s="428">
        <v>39.799999999999997</v>
      </c>
      <c r="H96" s="428">
        <v>38.5</v>
      </c>
      <c r="I96" s="428">
        <v>38.5</v>
      </c>
      <c r="J96" s="428">
        <v>38.5</v>
      </c>
      <c r="K96" s="428">
        <v>38.5</v>
      </c>
      <c r="L96" s="428" t="str">
        <f>W24</f>
        <v>Niedersachsen  ( ab 1.01.2020 )</v>
      </c>
      <c r="P96" s="24"/>
      <c r="Q96" s="24"/>
    </row>
    <row r="97" spans="5:17" ht="12.75" customHeight="1">
      <c r="E97" s="52"/>
      <c r="F97" s="540">
        <v>63</v>
      </c>
      <c r="G97" s="428">
        <v>39.83</v>
      </c>
      <c r="H97" s="428">
        <v>38.5</v>
      </c>
      <c r="I97" s="428">
        <v>38.5</v>
      </c>
      <c r="J97" s="428">
        <v>38.5</v>
      </c>
      <c r="K97" s="428">
        <v>38.5</v>
      </c>
      <c r="L97" s="428" t="str">
        <f>X24</f>
        <v>Nordrhein-Westfalen  ( ab 1.01.2020 )</v>
      </c>
      <c r="P97" s="24"/>
      <c r="Q97" s="24"/>
    </row>
    <row r="98" spans="5:17" ht="12.75" customHeight="1">
      <c r="E98" s="52"/>
      <c r="F98" s="540">
        <v>64</v>
      </c>
      <c r="G98" s="428">
        <v>39</v>
      </c>
      <c r="H98" s="428">
        <v>38.5</v>
      </c>
      <c r="I98" s="428">
        <v>38.5</v>
      </c>
      <c r="J98" s="428">
        <v>38.5</v>
      </c>
      <c r="K98" s="428">
        <v>38.5</v>
      </c>
      <c r="L98" s="428" t="str">
        <f>Y24</f>
        <v>Rheinland-Pfalz  ( ab 1.01.2020 )</v>
      </c>
      <c r="M98" s="88"/>
      <c r="P98" s="24"/>
      <c r="Q98" s="24"/>
    </row>
    <row r="99" spans="5:17" ht="12.75" customHeight="1">
      <c r="E99" s="52"/>
      <c r="F99" s="540">
        <v>65</v>
      </c>
      <c r="G99" s="428">
        <v>39.5</v>
      </c>
      <c r="H99" s="428">
        <v>38.5</v>
      </c>
      <c r="I99" s="428">
        <v>38.5</v>
      </c>
      <c r="J99" s="428">
        <v>38.5</v>
      </c>
      <c r="K99" s="428">
        <v>38.5</v>
      </c>
      <c r="L99" s="428" t="str">
        <f>Z24</f>
        <v>Saarland  ( ab 1.01.2020 )</v>
      </c>
      <c r="M99" s="480"/>
      <c r="P99" s="24"/>
      <c r="Q99" s="24"/>
    </row>
    <row r="100" spans="5:17" ht="12.75" customHeight="1">
      <c r="E100" s="52"/>
      <c r="F100" s="540">
        <v>66</v>
      </c>
      <c r="G100" s="428">
        <v>38.700000000000003</v>
      </c>
      <c r="H100" s="428">
        <v>38.5</v>
      </c>
      <c r="I100" s="428">
        <v>38.5</v>
      </c>
      <c r="J100" s="428">
        <v>38.5</v>
      </c>
      <c r="K100" s="428">
        <v>38.5</v>
      </c>
      <c r="L100" s="428" t="str">
        <f>AA24</f>
        <v>Schleswig-Holstein  ( ab 1.01.2020 )</v>
      </c>
      <c r="P100" s="24"/>
      <c r="Q100" s="24"/>
    </row>
    <row r="101" spans="5:17" ht="12.75" customHeight="1">
      <c r="E101" s="52"/>
      <c r="F101" s="540">
        <v>67</v>
      </c>
      <c r="G101" s="428">
        <v>40</v>
      </c>
      <c r="H101" s="428">
        <v>40</v>
      </c>
      <c r="I101" s="428">
        <v>40</v>
      </c>
      <c r="J101" s="428">
        <v>40</v>
      </c>
      <c r="K101" s="428">
        <v>40</v>
      </c>
      <c r="L101" s="428" t="str">
        <f>AB24</f>
        <v>Tarifgebiet Ost  ( ab 1.01.2020 )</v>
      </c>
      <c r="P101" s="24"/>
      <c r="Q101" s="24"/>
    </row>
    <row r="102" spans="5:17" ht="12.75" customHeight="1">
      <c r="E102" s="52"/>
      <c r="F102" s="540">
        <v>68</v>
      </c>
      <c r="G102" s="59">
        <v>39.5</v>
      </c>
      <c r="H102" s="59">
        <v>38.5</v>
      </c>
      <c r="I102" s="59">
        <v>38.5</v>
      </c>
      <c r="J102" s="59">
        <v>38.5</v>
      </c>
      <c r="K102" s="59">
        <v>38.5</v>
      </c>
      <c r="L102" s="428" t="str">
        <f>AC24</f>
        <v>Baden-Württemberg  ( ab 1.01.2021 )</v>
      </c>
      <c r="P102" s="24"/>
      <c r="Q102" s="24"/>
    </row>
    <row r="103" spans="5:17" ht="12.75" customHeight="1">
      <c r="E103" s="52"/>
      <c r="F103" s="540">
        <v>69</v>
      </c>
      <c r="G103" s="59">
        <v>40.1</v>
      </c>
      <c r="H103" s="59">
        <v>38.5</v>
      </c>
      <c r="I103" s="59">
        <v>38.5</v>
      </c>
      <c r="J103" s="59">
        <v>38.5</v>
      </c>
      <c r="K103" s="59">
        <v>38.5</v>
      </c>
      <c r="L103" s="428" t="str">
        <f>AD24</f>
        <v>Bayern  ( ab 1.01.2021 )</v>
      </c>
      <c r="P103" s="24"/>
      <c r="Q103" s="24"/>
    </row>
    <row r="104" spans="5:17" ht="12.75" customHeight="1">
      <c r="E104" s="52"/>
      <c r="F104" s="540">
        <v>70</v>
      </c>
      <c r="G104" s="428">
        <v>39.4</v>
      </c>
      <c r="H104" s="428">
        <v>38.5</v>
      </c>
      <c r="I104" s="428">
        <v>38.5</v>
      </c>
      <c r="J104" s="428">
        <v>38.5</v>
      </c>
      <c r="K104" s="428">
        <v>38.5</v>
      </c>
      <c r="L104" s="428" t="str">
        <f>AE24</f>
        <v>Berlin  ( ab 1.01.2021 )</v>
      </c>
      <c r="P104" s="24"/>
      <c r="Q104" s="24"/>
    </row>
    <row r="105" spans="5:17" ht="12.75" customHeight="1">
      <c r="E105" s="52"/>
      <c r="F105" s="540">
        <v>71</v>
      </c>
      <c r="G105" s="428">
        <v>39.200000000000003</v>
      </c>
      <c r="H105" s="428">
        <v>38.5</v>
      </c>
      <c r="I105" s="428">
        <v>38.5</v>
      </c>
      <c r="J105" s="428">
        <v>38.5</v>
      </c>
      <c r="K105" s="428">
        <v>38.5</v>
      </c>
      <c r="L105" s="428" t="str">
        <f>AF24</f>
        <v>Bremen  ( ab 1.01.2021 )</v>
      </c>
      <c r="P105" s="24"/>
      <c r="Q105" s="24"/>
    </row>
    <row r="106" spans="5:17" ht="12.75" customHeight="1">
      <c r="E106" s="52"/>
      <c r="F106" s="540">
        <v>72</v>
      </c>
      <c r="G106" s="428">
        <v>39</v>
      </c>
      <c r="H106" s="428">
        <v>38.5</v>
      </c>
      <c r="I106" s="428">
        <v>38.5</v>
      </c>
      <c r="J106" s="428">
        <v>38.5</v>
      </c>
      <c r="K106" s="428">
        <v>38.5</v>
      </c>
      <c r="L106" s="428" t="str">
        <f>AG24</f>
        <v>Hamburg  ( ab 1.01.2021 )</v>
      </c>
      <c r="P106" s="24"/>
      <c r="Q106" s="24"/>
    </row>
    <row r="107" spans="5:17" ht="12.75" customHeight="1">
      <c r="E107" s="52"/>
      <c r="F107" s="540">
        <v>73</v>
      </c>
      <c r="G107" s="428">
        <v>39.799999999999997</v>
      </c>
      <c r="H107" s="428">
        <v>38.5</v>
      </c>
      <c r="I107" s="428">
        <v>38.5</v>
      </c>
      <c r="J107" s="428">
        <v>38.5</v>
      </c>
      <c r="K107" s="428">
        <v>38.5</v>
      </c>
      <c r="L107" s="428" t="str">
        <f>AH24</f>
        <v>Niedersachsen  ( ab 1.01.2021 )</v>
      </c>
      <c r="P107" s="24"/>
      <c r="Q107" s="24"/>
    </row>
    <row r="108" spans="5:17" ht="12.75" customHeight="1">
      <c r="E108" s="52"/>
      <c r="F108" s="540">
        <v>74</v>
      </c>
      <c r="G108" s="428">
        <v>39.83</v>
      </c>
      <c r="H108" s="428">
        <v>38.5</v>
      </c>
      <c r="I108" s="428">
        <v>38.5</v>
      </c>
      <c r="J108" s="428">
        <v>38.5</v>
      </c>
      <c r="K108" s="428">
        <v>38.5</v>
      </c>
      <c r="L108" s="428" t="str">
        <f>AI24</f>
        <v>Nordrhein-Westfalen  ( ab 1.01.2021 )</v>
      </c>
      <c r="P108" s="24"/>
      <c r="Q108" s="24"/>
    </row>
    <row r="109" spans="5:17" ht="12.75" customHeight="1">
      <c r="E109" s="52"/>
      <c r="F109" s="540">
        <v>75</v>
      </c>
      <c r="G109" s="428">
        <v>39</v>
      </c>
      <c r="H109" s="428">
        <v>38.5</v>
      </c>
      <c r="I109" s="428">
        <v>38.5</v>
      </c>
      <c r="J109" s="428">
        <v>38.5</v>
      </c>
      <c r="K109" s="428">
        <v>38.5</v>
      </c>
      <c r="L109" s="428" t="str">
        <f>AJ24</f>
        <v>Rheinland-Pfalz  ( ab 1.01.2021 )</v>
      </c>
      <c r="P109" s="24"/>
      <c r="Q109" s="24"/>
    </row>
    <row r="110" spans="5:17" ht="12.75" customHeight="1">
      <c r="E110" s="52"/>
      <c r="F110" s="540">
        <v>76</v>
      </c>
      <c r="G110" s="428">
        <v>39.5</v>
      </c>
      <c r="H110" s="428">
        <v>38.5</v>
      </c>
      <c r="I110" s="428">
        <v>38.5</v>
      </c>
      <c r="J110" s="428">
        <v>38.5</v>
      </c>
      <c r="K110" s="428">
        <v>38.5</v>
      </c>
      <c r="L110" s="428" t="str">
        <f>AK24</f>
        <v>Saarland  ( ab 1.01.2021 )</v>
      </c>
      <c r="P110" s="24"/>
      <c r="Q110" s="24"/>
    </row>
    <row r="111" spans="5:17" ht="12.75" customHeight="1">
      <c r="E111" s="52"/>
      <c r="F111" s="540">
        <v>77</v>
      </c>
      <c r="G111" s="428">
        <v>38.700000000000003</v>
      </c>
      <c r="H111" s="428">
        <v>38.5</v>
      </c>
      <c r="I111" s="428">
        <v>38.5</v>
      </c>
      <c r="J111" s="428">
        <v>38.5</v>
      </c>
      <c r="K111" s="428">
        <v>38.5</v>
      </c>
      <c r="L111" s="428" t="str">
        <f>AL24</f>
        <v>Schleswig-Holstein  ( ab 1.01.2021 )</v>
      </c>
      <c r="P111" s="24"/>
      <c r="Q111" s="24"/>
    </row>
    <row r="112" spans="5:17" ht="12.75" customHeight="1">
      <c r="E112" s="52"/>
      <c r="F112" s="541">
        <v>78</v>
      </c>
      <c r="G112" s="542">
        <v>40</v>
      </c>
      <c r="H112" s="542">
        <v>40</v>
      </c>
      <c r="I112" s="542">
        <v>40</v>
      </c>
      <c r="J112" s="542">
        <v>40</v>
      </c>
      <c r="K112" s="542">
        <v>40</v>
      </c>
      <c r="L112" s="542" t="str">
        <f>AM24</f>
        <v>Tarifgebiet Ost  ( ab 1.01.2021 )</v>
      </c>
      <c r="M112" s="30"/>
      <c r="P112" s="24"/>
      <c r="Q112" s="24"/>
    </row>
    <row r="113" spans="5:17" ht="12.75" customHeight="1">
      <c r="E113" s="52">
        <v>6</v>
      </c>
      <c r="F113" s="85">
        <v>79</v>
      </c>
      <c r="G113" s="61">
        <v>38.5</v>
      </c>
      <c r="H113" s="61">
        <v>38.5</v>
      </c>
      <c r="I113" s="61">
        <v>38.5</v>
      </c>
      <c r="J113" s="61">
        <v>38.5</v>
      </c>
      <c r="K113" s="61">
        <v>38.5</v>
      </c>
      <c r="L113" s="420" t="str">
        <f>G25</f>
        <v>Tarifgebiet West ( ab 1.01.2019 )</v>
      </c>
      <c r="P113" s="24"/>
      <c r="Q113" s="24"/>
    </row>
    <row r="114" spans="5:17" ht="12.75" customHeight="1">
      <c r="E114" s="52"/>
      <c r="F114" s="60">
        <v>80</v>
      </c>
      <c r="G114" s="61">
        <v>40</v>
      </c>
      <c r="H114" s="61">
        <v>40</v>
      </c>
      <c r="I114" s="61">
        <v>40</v>
      </c>
      <c r="J114" s="61">
        <v>40</v>
      </c>
      <c r="K114" s="61">
        <v>40</v>
      </c>
      <c r="L114" s="420" t="str">
        <f>H25</f>
        <v>Tarifgebiet Ost ( ab 1.01.2019 )</v>
      </c>
      <c r="P114" s="24"/>
      <c r="Q114" s="24"/>
    </row>
    <row r="115" spans="5:17" ht="12.75" customHeight="1">
      <c r="E115" s="52"/>
      <c r="F115" s="60">
        <v>81</v>
      </c>
      <c r="G115" s="61">
        <v>38.5</v>
      </c>
      <c r="H115" s="61">
        <v>38.5</v>
      </c>
      <c r="I115" s="61">
        <v>38.5</v>
      </c>
      <c r="J115" s="61">
        <v>38.5</v>
      </c>
      <c r="K115" s="61">
        <v>38.5</v>
      </c>
      <c r="L115" s="420" t="str">
        <f>I25</f>
        <v>Tarifgebiet West ( ab 1.01.2020 )</v>
      </c>
    </row>
    <row r="116" spans="5:17" ht="12.75" customHeight="1">
      <c r="E116" s="52"/>
      <c r="F116" s="60">
        <v>82</v>
      </c>
      <c r="G116" s="61">
        <v>40</v>
      </c>
      <c r="H116" s="61">
        <v>40</v>
      </c>
      <c r="I116" s="61">
        <v>40</v>
      </c>
      <c r="J116" s="61">
        <v>40</v>
      </c>
      <c r="K116" s="61">
        <v>40</v>
      </c>
      <c r="L116" s="420" t="str">
        <f>J25</f>
        <v>Tarifgebiet Ost ( ab 1.01.2020 )</v>
      </c>
    </row>
    <row r="117" spans="5:17" ht="12.75" customHeight="1">
      <c r="E117" s="52"/>
      <c r="F117" s="60">
        <v>83</v>
      </c>
      <c r="G117" s="61">
        <v>38.5</v>
      </c>
      <c r="H117" s="61">
        <v>38.5</v>
      </c>
      <c r="I117" s="61">
        <v>38.5</v>
      </c>
      <c r="J117" s="61">
        <v>38.5</v>
      </c>
      <c r="K117" s="61">
        <v>38.5</v>
      </c>
      <c r="L117" s="420" t="str">
        <f>K25</f>
        <v>Tarifgebiet West ( ab 1.01.2021 )</v>
      </c>
    </row>
    <row r="118" spans="5:17" ht="12.75" customHeight="1">
      <c r="E118" s="52"/>
      <c r="F118" s="64">
        <v>84</v>
      </c>
      <c r="G118" s="65">
        <v>40</v>
      </c>
      <c r="H118" s="65">
        <v>40</v>
      </c>
      <c r="I118" s="65">
        <v>40</v>
      </c>
      <c r="J118" s="65">
        <v>40</v>
      </c>
      <c r="K118" s="65">
        <v>40</v>
      </c>
      <c r="L118" s="482" t="str">
        <f>L25</f>
        <v>Tarifgebiet Ost ( ab 1.01.2021 )</v>
      </c>
      <c r="M118" s="89"/>
    </row>
    <row r="119" spans="5:17" ht="12.75" customHeight="1">
      <c r="E119" s="52">
        <v>7</v>
      </c>
      <c r="F119" s="82">
        <v>85</v>
      </c>
      <c r="G119" s="59">
        <v>39.5</v>
      </c>
      <c r="H119" s="59">
        <v>38.5</v>
      </c>
      <c r="I119" s="59">
        <v>38.5</v>
      </c>
      <c r="J119" s="59">
        <v>38.5</v>
      </c>
      <c r="K119" s="59">
        <v>38.5</v>
      </c>
      <c r="L119" s="59" t="str">
        <f>G26</f>
        <v>Baden-Württemberg  ( ab 1.01.2020 )</v>
      </c>
      <c r="M119" s="478"/>
    </row>
    <row r="120" spans="5:17" ht="12.75" customHeight="1">
      <c r="E120" s="52"/>
      <c r="F120" s="43">
        <v>86</v>
      </c>
      <c r="G120" s="59">
        <v>40.1</v>
      </c>
      <c r="H120" s="59">
        <v>38.5</v>
      </c>
      <c r="I120" s="59">
        <v>38.5</v>
      </c>
      <c r="J120" s="59">
        <v>38.5</v>
      </c>
      <c r="K120" s="59">
        <v>38.5</v>
      </c>
      <c r="L120" s="59" t="str">
        <f>H26</f>
        <v>Bayern  ( ab 1.01.2020 )</v>
      </c>
      <c r="M120" s="88"/>
    </row>
    <row r="121" spans="5:17" ht="12.75" customHeight="1">
      <c r="E121" s="52"/>
      <c r="F121" s="43">
        <v>87</v>
      </c>
      <c r="G121" s="428">
        <v>39.4</v>
      </c>
      <c r="H121" s="428">
        <v>38.5</v>
      </c>
      <c r="I121" s="428">
        <v>38.5</v>
      </c>
      <c r="J121" s="428">
        <v>38.5</v>
      </c>
      <c r="K121" s="428">
        <v>38.5</v>
      </c>
      <c r="L121" s="59" t="str">
        <f>I26</f>
        <v>Berlin  ( ab 1.01.2020 )</v>
      </c>
      <c r="M121" s="88"/>
    </row>
    <row r="122" spans="5:17" ht="12.75" customHeight="1">
      <c r="E122" s="52"/>
      <c r="F122" s="43">
        <v>88</v>
      </c>
      <c r="G122" s="428">
        <v>39.200000000000003</v>
      </c>
      <c r="H122" s="428">
        <v>38.5</v>
      </c>
      <c r="I122" s="428">
        <v>38.5</v>
      </c>
      <c r="J122" s="428">
        <v>38.5</v>
      </c>
      <c r="K122" s="428">
        <v>38.5</v>
      </c>
      <c r="L122" s="59" t="str">
        <f>J26</f>
        <v>Bremen  ( ab 1.01.2020 )</v>
      </c>
      <c r="M122" s="88"/>
    </row>
    <row r="123" spans="5:17" ht="12.75" customHeight="1">
      <c r="E123" s="52"/>
      <c r="F123" s="43">
        <v>89</v>
      </c>
      <c r="G123" s="428">
        <v>39</v>
      </c>
      <c r="H123" s="428">
        <v>38.5</v>
      </c>
      <c r="I123" s="428">
        <v>38.5</v>
      </c>
      <c r="J123" s="428">
        <v>38.5</v>
      </c>
      <c r="K123" s="428">
        <v>38.5</v>
      </c>
      <c r="L123" s="59" t="str">
        <f>K26</f>
        <v>Hamburg  ( ab 1.01.2020 )</v>
      </c>
      <c r="M123" s="88"/>
    </row>
    <row r="124" spans="5:17" ht="12.75" customHeight="1">
      <c r="E124" s="52"/>
      <c r="F124" s="43">
        <v>90</v>
      </c>
      <c r="G124" s="428">
        <v>39.799999999999997</v>
      </c>
      <c r="H124" s="428">
        <v>38.5</v>
      </c>
      <c r="I124" s="428">
        <v>38.5</v>
      </c>
      <c r="J124" s="428">
        <v>38.5</v>
      </c>
      <c r="K124" s="428">
        <v>38.5</v>
      </c>
      <c r="L124" s="59" t="str">
        <f>L26</f>
        <v>Niedersachsen  ( ab 1.01.2020 )</v>
      </c>
      <c r="M124" s="88"/>
    </row>
    <row r="125" spans="5:17" ht="12.75" customHeight="1">
      <c r="E125" s="52"/>
      <c r="F125" s="43">
        <v>91</v>
      </c>
      <c r="G125" s="428">
        <v>39.83</v>
      </c>
      <c r="H125" s="428">
        <v>38.5</v>
      </c>
      <c r="I125" s="428">
        <v>38.5</v>
      </c>
      <c r="J125" s="428">
        <v>38.5</v>
      </c>
      <c r="K125" s="428">
        <v>38.5</v>
      </c>
      <c r="L125" s="59" t="str">
        <f>M26</f>
        <v>Nordrhein-Westfalen  ( ab 1.01.2020 )</v>
      </c>
      <c r="M125" s="88"/>
    </row>
    <row r="126" spans="5:17" ht="12.75" customHeight="1">
      <c r="E126" s="52"/>
      <c r="F126" s="43">
        <v>92</v>
      </c>
      <c r="G126" s="428">
        <v>39</v>
      </c>
      <c r="H126" s="428">
        <v>38.5</v>
      </c>
      <c r="I126" s="428">
        <v>38.5</v>
      </c>
      <c r="J126" s="428">
        <v>38.5</v>
      </c>
      <c r="K126" s="428">
        <v>38.5</v>
      </c>
      <c r="L126" s="59" t="str">
        <f>N26</f>
        <v>Rheinland-Pfalz  ( ab 1.01.2020 )</v>
      </c>
      <c r="M126" s="88"/>
    </row>
    <row r="127" spans="5:17" ht="12.75" customHeight="1">
      <c r="E127" s="52"/>
      <c r="F127" s="43">
        <v>93</v>
      </c>
      <c r="G127" s="428">
        <v>39.5</v>
      </c>
      <c r="H127" s="428">
        <v>38.5</v>
      </c>
      <c r="I127" s="428">
        <v>38.5</v>
      </c>
      <c r="J127" s="428">
        <v>38.5</v>
      </c>
      <c r="K127" s="428">
        <v>38.5</v>
      </c>
      <c r="L127" s="59" t="str">
        <f>O26</f>
        <v>Saarland  ( ab 1.01.2020 )</v>
      </c>
      <c r="M127" s="88"/>
    </row>
    <row r="128" spans="5:17" ht="12.75" customHeight="1">
      <c r="E128" s="52"/>
      <c r="F128" s="43">
        <v>94</v>
      </c>
      <c r="G128" s="428">
        <v>38.700000000000003</v>
      </c>
      <c r="H128" s="428">
        <v>38.5</v>
      </c>
      <c r="I128" s="428">
        <v>38.5</v>
      </c>
      <c r="J128" s="428">
        <v>38.5</v>
      </c>
      <c r="K128" s="428">
        <v>38.5</v>
      </c>
      <c r="L128" s="59" t="str">
        <f>P26</f>
        <v>Schleswig-Holstein  ( ab 1.01.2020 )</v>
      </c>
      <c r="M128" s="88"/>
    </row>
    <row r="129" spans="5:13" ht="12.75" customHeight="1">
      <c r="E129" s="52"/>
      <c r="F129" s="43">
        <v>95</v>
      </c>
      <c r="G129" s="428">
        <v>40</v>
      </c>
      <c r="H129" s="428">
        <v>40</v>
      </c>
      <c r="I129" s="428">
        <v>40</v>
      </c>
      <c r="J129" s="428">
        <v>40</v>
      </c>
      <c r="K129" s="428">
        <v>40</v>
      </c>
      <c r="L129" s="59" t="str">
        <f>Q26</f>
        <v>Tarifgebiet Ost  ( ab 1.01.2020 )</v>
      </c>
      <c r="M129" s="88"/>
    </row>
    <row r="130" spans="5:13" ht="12.75" customHeight="1">
      <c r="E130" s="52"/>
      <c r="F130" s="43">
        <v>96</v>
      </c>
      <c r="G130" s="59">
        <v>39.5</v>
      </c>
      <c r="H130" s="59">
        <v>38.5</v>
      </c>
      <c r="I130" s="59">
        <v>38.5</v>
      </c>
      <c r="J130" s="59">
        <v>38.5</v>
      </c>
      <c r="K130" s="59">
        <v>38.5</v>
      </c>
      <c r="L130" s="59" t="str">
        <f>R26</f>
        <v>Baden-Württemberg  ( ab 1.01.2021 )</v>
      </c>
      <c r="M130" s="88"/>
    </row>
    <row r="131" spans="5:13" ht="12.75" customHeight="1">
      <c r="E131" s="52"/>
      <c r="F131" s="43">
        <v>97</v>
      </c>
      <c r="G131" s="59">
        <v>40.1</v>
      </c>
      <c r="H131" s="59">
        <v>38.5</v>
      </c>
      <c r="I131" s="59">
        <v>38.5</v>
      </c>
      <c r="J131" s="59">
        <v>38.5</v>
      </c>
      <c r="K131" s="59">
        <v>38.5</v>
      </c>
      <c r="L131" s="59" t="str">
        <f>S26</f>
        <v>Bayern  ( ab 1.01.2021 )</v>
      </c>
      <c r="M131" s="88"/>
    </row>
    <row r="132" spans="5:13" ht="12.75" customHeight="1">
      <c r="E132" s="52"/>
      <c r="F132" s="43">
        <v>98</v>
      </c>
      <c r="G132" s="428">
        <v>39.4</v>
      </c>
      <c r="H132" s="428">
        <v>38.5</v>
      </c>
      <c r="I132" s="428">
        <v>38.5</v>
      </c>
      <c r="J132" s="428">
        <v>38.5</v>
      </c>
      <c r="K132" s="428">
        <v>38.5</v>
      </c>
      <c r="L132" s="59" t="str">
        <f>T26</f>
        <v>Berlin  ( ab 1.01.2021 )</v>
      </c>
      <c r="M132" s="88"/>
    </row>
    <row r="133" spans="5:13" ht="12.75" customHeight="1">
      <c r="E133" s="52"/>
      <c r="F133" s="43">
        <v>99</v>
      </c>
      <c r="G133" s="428">
        <v>39.200000000000003</v>
      </c>
      <c r="H133" s="428">
        <v>38.5</v>
      </c>
      <c r="I133" s="428">
        <v>38.5</v>
      </c>
      <c r="J133" s="428">
        <v>38.5</v>
      </c>
      <c r="K133" s="428">
        <v>38.5</v>
      </c>
      <c r="L133" s="59" t="str">
        <f>U26</f>
        <v>Bremen  ( ab 1.01.2021 )</v>
      </c>
      <c r="M133" s="88"/>
    </row>
    <row r="134" spans="5:13" ht="12.75" customHeight="1">
      <c r="E134" s="52"/>
      <c r="F134" s="43">
        <v>100</v>
      </c>
      <c r="G134" s="428">
        <v>39</v>
      </c>
      <c r="H134" s="428">
        <v>38.5</v>
      </c>
      <c r="I134" s="428">
        <v>38.5</v>
      </c>
      <c r="J134" s="428">
        <v>38.5</v>
      </c>
      <c r="K134" s="428">
        <v>38.5</v>
      </c>
      <c r="L134" s="59" t="str">
        <f>V26</f>
        <v>Hamburg  ( ab 1.01.2021 )</v>
      </c>
      <c r="M134" s="88"/>
    </row>
    <row r="135" spans="5:13" ht="12.75" customHeight="1">
      <c r="E135" s="52"/>
      <c r="F135" s="43">
        <v>101</v>
      </c>
      <c r="G135" s="428">
        <v>39.799999999999997</v>
      </c>
      <c r="H135" s="428">
        <v>38.5</v>
      </c>
      <c r="I135" s="428">
        <v>38.5</v>
      </c>
      <c r="J135" s="428">
        <v>38.5</v>
      </c>
      <c r="K135" s="428">
        <v>38.5</v>
      </c>
      <c r="L135" s="59" t="str">
        <f>W26</f>
        <v>Niedersachsen  ( ab 1.01.2021 )</v>
      </c>
      <c r="M135" s="88"/>
    </row>
    <row r="136" spans="5:13" ht="12.75" customHeight="1">
      <c r="E136" s="52"/>
      <c r="F136" s="43">
        <v>102</v>
      </c>
      <c r="G136" s="428">
        <v>39.83</v>
      </c>
      <c r="H136" s="428">
        <v>38.5</v>
      </c>
      <c r="I136" s="428">
        <v>38.5</v>
      </c>
      <c r="J136" s="428">
        <v>38.5</v>
      </c>
      <c r="K136" s="428">
        <v>38.5</v>
      </c>
      <c r="L136" s="59" t="str">
        <f>X26</f>
        <v>Nordrhein-Westfalen  ( ab 1.01.2021 )</v>
      </c>
      <c r="M136" s="88"/>
    </row>
    <row r="137" spans="5:13" ht="12.75" customHeight="1">
      <c r="E137" s="52"/>
      <c r="F137" s="43">
        <v>103</v>
      </c>
      <c r="G137" s="428">
        <v>39</v>
      </c>
      <c r="H137" s="428">
        <v>38.5</v>
      </c>
      <c r="I137" s="428">
        <v>38.5</v>
      </c>
      <c r="J137" s="428">
        <v>38.5</v>
      </c>
      <c r="K137" s="428">
        <v>38.5</v>
      </c>
      <c r="L137" s="59" t="str">
        <f>Y26</f>
        <v>Rheinland-Pfalz  ( ab 1.01.2021 )</v>
      </c>
      <c r="M137" s="88"/>
    </row>
    <row r="138" spans="5:13" ht="12.75" customHeight="1">
      <c r="E138" s="52"/>
      <c r="F138" s="43">
        <v>104</v>
      </c>
      <c r="G138" s="428">
        <v>39.5</v>
      </c>
      <c r="H138" s="428">
        <v>38.5</v>
      </c>
      <c r="I138" s="428">
        <v>38.5</v>
      </c>
      <c r="J138" s="428">
        <v>38.5</v>
      </c>
      <c r="K138" s="428">
        <v>38.5</v>
      </c>
      <c r="L138" s="59" t="str">
        <f>Z26</f>
        <v>Saarland  ( ab 1.01.2021 )</v>
      </c>
      <c r="M138" s="88"/>
    </row>
    <row r="139" spans="5:13" ht="12.75" customHeight="1">
      <c r="E139" s="52"/>
      <c r="F139" s="43">
        <v>105</v>
      </c>
      <c r="G139" s="428">
        <v>38.700000000000003</v>
      </c>
      <c r="H139" s="428">
        <v>38.5</v>
      </c>
      <c r="I139" s="428">
        <v>38.5</v>
      </c>
      <c r="J139" s="428">
        <v>38.5</v>
      </c>
      <c r="K139" s="428">
        <v>38.5</v>
      </c>
      <c r="L139" s="59" t="str">
        <f>AA26</f>
        <v>Schleswig-Holstein  ( ab 1.01.2021 )</v>
      </c>
      <c r="M139" s="88"/>
    </row>
    <row r="140" spans="5:13" ht="12.75" customHeight="1">
      <c r="E140" s="52"/>
      <c r="F140" s="43">
        <v>106</v>
      </c>
      <c r="G140" s="428">
        <v>40</v>
      </c>
      <c r="H140" s="428">
        <v>40</v>
      </c>
      <c r="I140" s="428">
        <v>40</v>
      </c>
      <c r="J140" s="428">
        <v>40</v>
      </c>
      <c r="K140" s="428">
        <v>40</v>
      </c>
      <c r="L140" s="59" t="str">
        <f>AB26</f>
        <v>Tarifgebiet Ost  ( ab 1.01.2021 )</v>
      </c>
      <c r="M140" s="88"/>
    </row>
    <row r="141" spans="5:13" ht="12.75" customHeight="1">
      <c r="E141" s="52"/>
      <c r="F141" s="43">
        <v>107</v>
      </c>
      <c r="G141" s="59"/>
      <c r="H141" s="59"/>
      <c r="I141" s="59"/>
      <c r="J141" s="59"/>
      <c r="K141" s="59"/>
      <c r="L141" s="59"/>
      <c r="M141" s="88"/>
    </row>
    <row r="142" spans="5:13" ht="12.75" customHeight="1">
      <c r="E142" s="52"/>
      <c r="F142" s="43">
        <v>108</v>
      </c>
      <c r="G142" s="59"/>
      <c r="H142" s="59"/>
      <c r="I142" s="59"/>
      <c r="J142" s="59"/>
      <c r="K142" s="59"/>
      <c r="L142" s="59"/>
      <c r="M142" s="88"/>
    </row>
    <row r="143" spans="5:13" ht="12.75" customHeight="1">
      <c r="E143" s="52"/>
      <c r="F143" s="43">
        <v>109</v>
      </c>
      <c r="G143" s="59"/>
      <c r="H143" s="59"/>
      <c r="I143" s="59"/>
      <c r="J143" s="59"/>
      <c r="K143" s="59"/>
      <c r="L143" s="59"/>
      <c r="M143" s="88"/>
    </row>
    <row r="144" spans="5:13" ht="12.75" customHeight="1">
      <c r="E144" s="52"/>
      <c r="F144" s="43">
        <v>110</v>
      </c>
      <c r="G144" s="59"/>
      <c r="H144" s="59"/>
      <c r="I144" s="59"/>
      <c r="J144" s="59"/>
      <c r="K144" s="59"/>
      <c r="L144" s="59"/>
      <c r="M144" s="88"/>
    </row>
    <row r="145" spans="5:13" ht="12.75" customHeight="1">
      <c r="E145" s="52"/>
      <c r="F145" s="43">
        <v>111</v>
      </c>
      <c r="G145" s="59"/>
      <c r="H145" s="59"/>
      <c r="I145" s="59"/>
      <c r="J145" s="59"/>
      <c r="K145" s="59"/>
      <c r="L145" s="59"/>
      <c r="M145" s="88"/>
    </row>
    <row r="146" spans="5:13" ht="12.75" customHeight="1">
      <c r="E146" s="52"/>
      <c r="F146" s="43">
        <v>112</v>
      </c>
      <c r="G146" s="59"/>
      <c r="H146" s="59"/>
      <c r="I146" s="59"/>
      <c r="J146" s="59"/>
      <c r="K146" s="59"/>
      <c r="L146" s="59"/>
      <c r="M146" s="88"/>
    </row>
    <row r="147" spans="5:13" ht="12.75" customHeight="1">
      <c r="E147" s="52"/>
      <c r="F147" s="43">
        <v>113</v>
      </c>
      <c r="G147" s="59"/>
      <c r="H147" s="59"/>
      <c r="I147" s="59"/>
      <c r="J147" s="59"/>
      <c r="K147" s="59"/>
      <c r="L147" s="59"/>
      <c r="M147" s="88"/>
    </row>
    <row r="148" spans="5:13" ht="12.75" customHeight="1">
      <c r="E148" s="52"/>
      <c r="F148" s="43">
        <v>114</v>
      </c>
      <c r="G148" s="59"/>
      <c r="H148" s="59"/>
      <c r="I148" s="59"/>
      <c r="J148" s="59"/>
      <c r="K148" s="59"/>
      <c r="L148" s="59"/>
      <c r="M148" s="88"/>
    </row>
    <row r="149" spans="5:13" ht="12.75" customHeight="1">
      <c r="E149" s="52"/>
      <c r="F149" s="43">
        <v>115</v>
      </c>
      <c r="G149" s="59"/>
      <c r="H149" s="59"/>
      <c r="I149" s="59"/>
      <c r="J149" s="59"/>
      <c r="K149" s="59"/>
      <c r="L149" s="59"/>
      <c r="M149" s="88"/>
    </row>
    <row r="150" spans="5:13" ht="12.75" customHeight="1">
      <c r="E150" s="52"/>
      <c r="F150" s="43">
        <v>116</v>
      </c>
      <c r="G150" s="59"/>
      <c r="H150" s="59"/>
      <c r="I150" s="59"/>
      <c r="J150" s="59"/>
      <c r="K150" s="59"/>
      <c r="L150" s="59"/>
      <c r="M150" s="88"/>
    </row>
    <row r="151" spans="5:13" ht="12.75" customHeight="1">
      <c r="E151" s="52"/>
      <c r="F151" s="43">
        <v>117</v>
      </c>
      <c r="G151" s="59"/>
      <c r="H151" s="59"/>
      <c r="I151" s="59"/>
      <c r="J151" s="59"/>
      <c r="K151" s="59"/>
      <c r="L151" s="59"/>
      <c r="M151" s="30"/>
    </row>
    <row r="152" spans="5:13" ht="12.75" customHeight="1">
      <c r="E152" s="52">
        <v>8</v>
      </c>
      <c r="F152" s="90">
        <v>118</v>
      </c>
      <c r="G152" s="71">
        <v>39</v>
      </c>
      <c r="H152" s="71">
        <v>38.5</v>
      </c>
      <c r="I152" s="71">
        <v>38</v>
      </c>
      <c r="J152" s="71">
        <v>39.5</v>
      </c>
      <c r="K152" s="71">
        <v>40</v>
      </c>
      <c r="L152" s="71" t="str">
        <f>G27</f>
        <v>AVH ( ab 1.03.2020 )</v>
      </c>
    </row>
    <row r="153" spans="5:13" ht="12.75" customHeight="1">
      <c r="E153" s="52"/>
      <c r="F153" s="60">
        <v>119</v>
      </c>
      <c r="G153" s="61">
        <v>39</v>
      </c>
      <c r="H153" s="61">
        <v>38.5</v>
      </c>
      <c r="I153" s="61">
        <v>38</v>
      </c>
      <c r="J153" s="61">
        <v>39.5</v>
      </c>
      <c r="K153" s="61">
        <v>40</v>
      </c>
      <c r="L153" s="61" t="str">
        <f>H27</f>
        <v>AVH ( ab 1.04.2021 )</v>
      </c>
    </row>
    <row r="154" spans="5:13" ht="12.75" customHeight="1">
      <c r="E154" s="52"/>
      <c r="F154" s="60">
        <v>120</v>
      </c>
      <c r="G154" s="61">
        <v>39</v>
      </c>
      <c r="H154" s="61">
        <v>38.5</v>
      </c>
      <c r="I154" s="61">
        <v>38</v>
      </c>
      <c r="J154" s="61">
        <v>39.5</v>
      </c>
      <c r="K154" s="61">
        <v>40</v>
      </c>
      <c r="L154" s="61" t="str">
        <f>I27</f>
        <v>AVH ( ab 1.04.2022 )</v>
      </c>
      <c r="M154" s="479"/>
    </row>
    <row r="155" spans="5:13" ht="12.75" customHeight="1">
      <c r="E155" s="52"/>
      <c r="F155" s="60">
        <v>121</v>
      </c>
      <c r="G155" s="61">
        <v>39</v>
      </c>
      <c r="H155" s="61">
        <v>38.5</v>
      </c>
      <c r="I155" s="61">
        <v>38</v>
      </c>
      <c r="J155" s="61">
        <v>39.5</v>
      </c>
      <c r="K155" s="61">
        <v>40</v>
      </c>
      <c r="L155" s="61" t="str">
        <f>J27</f>
        <v/>
      </c>
      <c r="M155" s="88"/>
    </row>
    <row r="156" spans="5:13" ht="12.75" customHeight="1">
      <c r="E156" s="52"/>
      <c r="F156" s="60">
        <v>122</v>
      </c>
      <c r="G156" s="61"/>
      <c r="H156" s="61"/>
      <c r="I156" s="61"/>
      <c r="J156" s="61"/>
      <c r="K156" s="61"/>
      <c r="L156" s="61"/>
      <c r="M156" s="88"/>
    </row>
    <row r="157" spans="5:13" ht="12.75" customHeight="1">
      <c r="E157" s="52"/>
      <c r="F157" s="64">
        <v>123</v>
      </c>
      <c r="G157" s="65"/>
      <c r="H157" s="65"/>
      <c r="I157" s="65"/>
      <c r="J157" s="65"/>
      <c r="K157" s="65"/>
      <c r="L157" s="65"/>
      <c r="M157" s="89"/>
    </row>
    <row r="158" spans="5:13" ht="12.75" customHeight="1">
      <c r="E158" s="52">
        <v>9</v>
      </c>
      <c r="F158" s="82">
        <v>124</v>
      </c>
      <c r="G158" s="428">
        <v>40</v>
      </c>
      <c r="H158" s="428">
        <v>38.5</v>
      </c>
      <c r="I158" s="428">
        <v>38.5</v>
      </c>
      <c r="J158" s="428">
        <v>38.5</v>
      </c>
      <c r="K158" s="428">
        <v>38.5</v>
      </c>
      <c r="L158" s="428" t="str">
        <f>G28</f>
        <v>Hessen ( ab 1.03.2019 )</v>
      </c>
    </row>
    <row r="159" spans="5:13" ht="12.75" customHeight="1">
      <c r="E159" s="52"/>
      <c r="F159" s="43">
        <v>125</v>
      </c>
      <c r="G159" s="428">
        <v>40</v>
      </c>
      <c r="H159" s="428">
        <v>38.5</v>
      </c>
      <c r="I159" s="428">
        <v>38.5</v>
      </c>
      <c r="J159" s="428">
        <v>38.5</v>
      </c>
      <c r="K159" s="428">
        <v>38.5</v>
      </c>
      <c r="L159" s="428" t="str">
        <f>H28</f>
        <v>Hessen ( ab 1.08.2019 )</v>
      </c>
    </row>
    <row r="160" spans="5:13" ht="12.75" customHeight="1">
      <c r="E160" s="52"/>
      <c r="F160" s="43">
        <v>126</v>
      </c>
      <c r="G160" s="428">
        <v>40</v>
      </c>
      <c r="H160" s="428">
        <v>38.5</v>
      </c>
      <c r="I160" s="428">
        <v>38.5</v>
      </c>
      <c r="J160" s="428">
        <v>38.5</v>
      </c>
      <c r="K160" s="428">
        <v>38.5</v>
      </c>
      <c r="L160" s="59" t="str">
        <f>I28</f>
        <v>Hessen ( ab 1.02.2020 )</v>
      </c>
    </row>
    <row r="161" spans="5:13" ht="12.75" customHeight="1">
      <c r="E161" s="52"/>
      <c r="F161" s="43">
        <v>127</v>
      </c>
      <c r="G161" s="59">
        <v>40</v>
      </c>
      <c r="H161" s="59">
        <v>38.5</v>
      </c>
      <c r="I161" s="59">
        <v>38.5</v>
      </c>
      <c r="J161" s="59">
        <v>38.5</v>
      </c>
      <c r="K161" s="59">
        <v>38.5</v>
      </c>
      <c r="L161" s="59" t="str">
        <f>J28</f>
        <v>Hessen ( ab 1.01.2021 )</v>
      </c>
    </row>
    <row r="162" spans="5:13" ht="12.75" customHeight="1">
      <c r="E162" s="52"/>
      <c r="F162" s="43">
        <v>128</v>
      </c>
      <c r="G162" s="59"/>
      <c r="H162" s="59"/>
      <c r="I162" s="59"/>
      <c r="J162" s="59"/>
      <c r="K162" s="59"/>
      <c r="L162" s="59"/>
    </row>
    <row r="163" spans="5:13" ht="12.75" customHeight="1">
      <c r="E163" s="52"/>
      <c r="F163" s="44">
        <v>129</v>
      </c>
      <c r="G163" s="62"/>
      <c r="H163" s="62"/>
      <c r="I163" s="62"/>
      <c r="J163" s="62"/>
      <c r="K163" s="62"/>
      <c r="L163" s="62"/>
      <c r="M163" s="89"/>
    </row>
    <row r="164" spans="5:13" ht="12.75" customHeight="1">
      <c r="E164" s="52">
        <v>10</v>
      </c>
      <c r="F164" s="568">
        <v>130</v>
      </c>
      <c r="G164" s="569">
        <v>38.700000000000003</v>
      </c>
      <c r="H164" s="569">
        <v>38.5</v>
      </c>
      <c r="I164" s="569">
        <v>38.5</v>
      </c>
      <c r="J164" s="569">
        <v>38.5</v>
      </c>
      <c r="K164" s="569">
        <v>38.5</v>
      </c>
      <c r="L164" s="569" t="str">
        <f>G29</f>
        <v>dataport AöR ( ab 1.01.2019 )</v>
      </c>
    </row>
    <row r="165" spans="5:13" ht="12.75" customHeight="1">
      <c r="E165" s="52"/>
      <c r="F165" s="570">
        <v>131</v>
      </c>
      <c r="G165" s="569">
        <v>38.700000000000003</v>
      </c>
      <c r="H165" s="569">
        <v>38.5</v>
      </c>
      <c r="I165" s="569">
        <v>38.5</v>
      </c>
      <c r="J165" s="569">
        <v>38.5</v>
      </c>
      <c r="K165" s="569">
        <v>38.5</v>
      </c>
      <c r="L165" s="569" t="str">
        <f>H29</f>
        <v>dataport AöR ( ab 1.01.2020 )</v>
      </c>
    </row>
    <row r="166" spans="5:13" ht="12.75" customHeight="1">
      <c r="E166" s="52"/>
      <c r="F166" s="570">
        <v>132</v>
      </c>
      <c r="G166" s="569">
        <v>38.700000000000003</v>
      </c>
      <c r="H166" s="569">
        <v>38.5</v>
      </c>
      <c r="I166" s="569">
        <v>38.5</v>
      </c>
      <c r="J166" s="569">
        <v>38.5</v>
      </c>
      <c r="K166" s="569">
        <v>38.5</v>
      </c>
      <c r="L166" s="571" t="str">
        <f>I29</f>
        <v>dataport AöR ( ab 1.01.2021 )</v>
      </c>
    </row>
    <row r="167" spans="5:13" ht="12.75" customHeight="1">
      <c r="E167" s="52"/>
      <c r="F167" s="570">
        <v>133</v>
      </c>
      <c r="G167" s="571"/>
      <c r="H167" s="571"/>
      <c r="I167" s="571"/>
      <c r="J167" s="571"/>
      <c r="K167" s="571"/>
      <c r="L167" s="571"/>
    </row>
    <row r="168" spans="5:13" ht="12.75" customHeight="1">
      <c r="E168" s="52"/>
      <c r="F168" s="570">
        <v>134</v>
      </c>
      <c r="G168" s="571"/>
      <c r="H168" s="571"/>
      <c r="I168" s="571"/>
      <c r="J168" s="571"/>
      <c r="K168" s="571"/>
      <c r="L168" s="571"/>
    </row>
    <row r="169" spans="5:13" ht="12.75" customHeight="1">
      <c r="E169" s="52"/>
      <c r="F169" s="570">
        <v>135</v>
      </c>
      <c r="G169" s="571"/>
      <c r="H169" s="571"/>
      <c r="I169" s="571"/>
      <c r="J169" s="571"/>
      <c r="K169" s="571"/>
      <c r="L169" s="571"/>
    </row>
  </sheetData>
  <sheetProtection selectLockedCells="1" selectUnlockedCells="1"/>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locked="0" defaultSize="0" autoLine="0" autoPict="0">
                <anchor moveWithCells="1">
                  <from>
                    <xdr:col>1</xdr:col>
                    <xdr:colOff>9525</xdr:colOff>
                    <xdr:row>3</xdr:row>
                    <xdr:rowOff>0</xdr:rowOff>
                  </from>
                  <to>
                    <xdr:col>2</xdr:col>
                    <xdr:colOff>0</xdr:colOff>
                    <xdr:row>4</xdr:row>
                    <xdr:rowOff>38100</xdr:rowOff>
                  </to>
                </anchor>
              </controlPr>
            </control>
          </mc:Choice>
        </mc:AlternateContent>
        <mc:AlternateContent xmlns:mc="http://schemas.openxmlformats.org/markup-compatibility/2006">
          <mc:Choice Requires="x14">
            <control shapeId="8194" r:id="rId5" name="Drop Down 2">
              <controlPr locked="0" defaultSize="0" autoLine="0" autoPict="0">
                <anchor moveWithCells="1">
                  <from>
                    <xdr:col>2</xdr:col>
                    <xdr:colOff>9525</xdr:colOff>
                    <xdr:row>3</xdr:row>
                    <xdr:rowOff>0</xdr:rowOff>
                  </from>
                  <to>
                    <xdr:col>3</xdr:col>
                    <xdr:colOff>0</xdr:colOff>
                    <xdr:row>4</xdr:row>
                    <xdr:rowOff>38100</xdr:rowOff>
                  </to>
                </anchor>
              </controlPr>
            </control>
          </mc:Choice>
        </mc:AlternateContent>
        <mc:AlternateContent xmlns:mc="http://schemas.openxmlformats.org/markup-compatibility/2006">
          <mc:Choice Requires="x14">
            <control shapeId="8195" r:id="rId6" name="Drop Down 3">
              <controlPr locked="0" defaultSize="0" autoLine="0" autoPict="0">
                <anchor moveWithCells="1">
                  <from>
                    <xdr:col>3</xdr:col>
                    <xdr:colOff>9525</xdr:colOff>
                    <xdr:row>3</xdr:row>
                    <xdr:rowOff>0</xdr:rowOff>
                  </from>
                  <to>
                    <xdr:col>5</xdr:col>
                    <xdr:colOff>0</xdr:colOff>
                    <xdr:row>4</xdr:row>
                    <xdr:rowOff>38100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6"/>
  </sheetPr>
  <dimension ref="A1:AA57"/>
  <sheetViews>
    <sheetView workbookViewId="0">
      <selection activeCell="Q1" sqref="Q1"/>
    </sheetView>
  </sheetViews>
  <sheetFormatPr baseColWidth="10" defaultColWidth="8.5703125" defaultRowHeight="11.25" customHeight="1"/>
  <cols>
    <col min="1" max="1" width="23.140625" style="329" customWidth="1"/>
    <col min="2" max="3" width="6.42578125" style="329" customWidth="1"/>
    <col min="4" max="9" width="8.5703125" style="329" customWidth="1"/>
    <col min="10" max="10" width="17.85546875" style="328" customWidth="1"/>
    <col min="11" max="12" width="6.42578125" style="329" customWidth="1"/>
    <col min="13" max="19" width="8.5703125" style="329"/>
    <col min="20" max="23" width="5.7109375" style="329" customWidth="1"/>
    <col min="24" max="16384" width="8.5703125" style="329"/>
  </cols>
  <sheetData>
    <row r="1" spans="1:27" ht="11.25" customHeight="1">
      <c r="A1" s="323" t="str">
        <f>Umse!B11</f>
        <v>1.2.</v>
      </c>
      <c r="B1" s="324"/>
      <c r="C1" s="325"/>
      <c r="D1" s="326" t="str">
        <f>IF(A1=0,"","Stundenentgelt  ( Vollzeit )")</f>
        <v>Stundenentgelt  ( Vollzeit )</v>
      </c>
      <c r="E1" s="325"/>
      <c r="F1" s="325"/>
      <c r="G1" s="325"/>
      <c r="H1" s="325"/>
      <c r="I1" s="327"/>
      <c r="K1" s="324"/>
      <c r="L1" s="325"/>
      <c r="M1" s="525" t="str">
        <f>IF(A1=0,"",IF(OR(A1="8.1.",A1="8.2.",A1="8.3.",A1="8.3.",A1="8.4."),"Anlage A",""))</f>
        <v/>
      </c>
      <c r="N1" s="325"/>
      <c r="O1" s="325"/>
      <c r="P1" s="325"/>
      <c r="Q1" s="525" t="str">
        <f>IF(OR(Umse!$C$24=0,Kalk!B4=1,Kalk!B4=2,Kalk!B4=3,Kalk!B4=4,Kalk!B4=5,Kalk!B4=6,Kalk!B4=7,Kalk!B4=9,Kalk!B4=10),"",IF(A1="8.1.",'AVH Tab'!BF34,IF(A1="8.2.",'AVH Tab'!BN34,IF(A1="8.3.",'AVH Tab'!BV34,IF(A1="8.4.",'AVH Tab'!BV34,"")))))</f>
        <v/>
      </c>
      <c r="R1" s="327"/>
    </row>
    <row r="2" spans="1:27" ht="21" customHeight="1">
      <c r="A2" s="330" t="str">
        <f>VLOOKUP(Kalk!B5,Kalk!A20:B29,2)</f>
        <v>TVöD ( Bund )</v>
      </c>
      <c r="B2" s="367" t="str">
        <f>K2</f>
        <v/>
      </c>
      <c r="C2" s="331"/>
      <c r="D2" s="332" t="s">
        <v>7</v>
      </c>
      <c r="E2" s="332" t="s">
        <v>8</v>
      </c>
      <c r="F2" s="332" t="s">
        <v>9</v>
      </c>
      <c r="G2" s="332" t="s">
        <v>10</v>
      </c>
      <c r="H2" s="332" t="s">
        <v>11</v>
      </c>
      <c r="I2" s="332" t="s">
        <v>12</v>
      </c>
      <c r="J2" s="333" t="str">
        <f>""</f>
        <v/>
      </c>
      <c r="K2" s="367" t="str">
        <f>IF(Umse!$C$24=0,"",IF(OR($A$1="8.1.",$A$1="8.2.",$A$1="8.3.",$A$1="8.4."),Z2,""))</f>
        <v/>
      </c>
      <c r="L2" s="331"/>
      <c r="M2" s="332" t="s">
        <v>7</v>
      </c>
      <c r="N2" s="332" t="s">
        <v>8</v>
      </c>
      <c r="O2" s="332" t="s">
        <v>9</v>
      </c>
      <c r="P2" s="332" t="s">
        <v>10</v>
      </c>
      <c r="Q2" s="332" t="s">
        <v>11</v>
      </c>
      <c r="R2" s="332" t="s">
        <v>12</v>
      </c>
      <c r="T2" s="355"/>
      <c r="V2" s="355"/>
      <c r="X2" s="430"/>
      <c r="Y2" s="430"/>
      <c r="Z2" s="430" t="s">
        <v>278</v>
      </c>
      <c r="AA2" s="430"/>
    </row>
    <row r="3" spans="1:27" ht="11.25" customHeight="1">
      <c r="A3" s="323" t="str">
        <f>Umse!B23</f>
        <v>West und Ost ( ab 1.04.2021 )</v>
      </c>
      <c r="B3" s="332" t="str">
        <f>K3</f>
        <v/>
      </c>
      <c r="C3" s="367" t="str">
        <f>L3</f>
        <v/>
      </c>
      <c r="D3" s="343" t="str">
        <f t="shared" ref="D3:I18" si="0">IF(M3=0,0,IF(M3="-","-",IF(M3="","",FIXED(ROUND(M3/$A$5,2),2))))</f>
        <v/>
      </c>
      <c r="E3" s="343" t="str">
        <f t="shared" si="0"/>
        <v/>
      </c>
      <c r="F3" s="343" t="str">
        <f t="shared" si="0"/>
        <v/>
      </c>
      <c r="G3" s="343" t="str">
        <f t="shared" si="0"/>
        <v/>
      </c>
      <c r="H3" s="343" t="str">
        <f t="shared" si="0"/>
        <v/>
      </c>
      <c r="I3" s="343" t="str">
        <f t="shared" si="0"/>
        <v/>
      </c>
      <c r="J3" s="333" t="str">
        <f>""</f>
        <v/>
      </c>
      <c r="K3" s="331" t="str">
        <f>IF(Umse!$C$24=0,"",IF(OR($A$1="8.1.",$A$1="8.2.",$A$1="8.3.",$A$1="8.4."),Z3,""))</f>
        <v/>
      </c>
      <c r="L3" s="363" t="str">
        <f>IF(Umse!$C$24=0,"",IF(OR($A$1="8.1.",$A$1="8.2.",$A$1="8.3.",$A$1="8.4."),AA3,""))</f>
        <v/>
      </c>
      <c r="M3" s="335" t="str">
        <f>IF(Umse!$C$24=0,"",IF($A$1="8.1.",'AVH Tab'!BG2,IF($A$1="8.2.",'AVH Tab'!BO2,IF($A$1="8.3.",'AVH Tab'!BW2,IF($A$1="8.4.",'AVH Tab'!BW2,"")))))</f>
        <v/>
      </c>
      <c r="N3" s="335" t="str">
        <f>IF(Umse!$C$24=0,"",IF($A$1="8.1.",'AVH Tab'!BH2,IF($A$1="8.2.",'AVH Tab'!BP2,IF($A$1="8.3.",'AVH Tab'!BX2,IF($A$1="8.4.",'AVH Tab'!BX2,"")))))</f>
        <v/>
      </c>
      <c r="O3" s="335" t="str">
        <f>IF(Umse!$C$24=0,"",IF($A$1="8.1.",'AVH Tab'!BI2,IF($A$1="8.2.",'AVH Tab'!BQ2,IF($A$1="8.3.",'AVH Tab'!BY2,IF($A$1="8.4.",'AVH Tab'!BY2,"")))))</f>
        <v/>
      </c>
      <c r="P3" s="335" t="str">
        <f>IF(Umse!$C$24=0,"",IF($A$1="8.1.",'AVH Tab'!BJ2,IF($A$1="8.2.",'AVH Tab'!BR2,IF($A$1="8.3.",'AVH Tab'!BZ2,IF($A$1="8.4.",'AVH Tab'!BZ2,"")))))</f>
        <v/>
      </c>
      <c r="Q3" s="335" t="str">
        <f>IF(Umse!$C$24=0,"",IF($A$1="8.1.",'AVH Tab'!BK2,IF($A$1="8.2.",'AVH Tab'!BS2,IF($A$1="8.3.",'AVH Tab'!CA2,IF($A$1="8.4.",'AVH Tab'!CA2,"")))))</f>
        <v/>
      </c>
      <c r="R3" s="335" t="str">
        <f>IF(Umse!$C$24=0,"",IF($A$1="8.1.",'AVH Tab'!BL2,IF($A$1="8.2.",'AVH Tab'!BT2,IF($A$1="8.3.",'AVH Tab'!CB2,IF($A$1="8.4.",'AVH Tab'!CB2,"")))))</f>
        <v/>
      </c>
      <c r="T3" s="323"/>
      <c r="U3" s="367"/>
      <c r="V3" s="332"/>
      <c r="W3" s="363"/>
      <c r="X3" s="431"/>
      <c r="Y3" s="431"/>
      <c r="Z3" s="431" t="s">
        <v>6</v>
      </c>
      <c r="AA3" s="431" t="s">
        <v>13</v>
      </c>
    </row>
    <row r="4" spans="1:27" ht="11.25" customHeight="1">
      <c r="A4" s="336">
        <f>Umse!B24</f>
        <v>39</v>
      </c>
      <c r="B4" s="332" t="str">
        <f t="shared" ref="B4:C23" si="1">K4</f>
        <v/>
      </c>
      <c r="C4" s="367" t="str">
        <f t="shared" si="1"/>
        <v/>
      </c>
      <c r="D4" s="343" t="str">
        <f t="shared" si="0"/>
        <v/>
      </c>
      <c r="E4" s="343" t="str">
        <f t="shared" si="0"/>
        <v/>
      </c>
      <c r="F4" s="343" t="str">
        <f t="shared" si="0"/>
        <v/>
      </c>
      <c r="G4" s="343" t="str">
        <f t="shared" si="0"/>
        <v/>
      </c>
      <c r="H4" s="343" t="str">
        <f t="shared" si="0"/>
        <v/>
      </c>
      <c r="I4" s="343" t="str">
        <f t="shared" si="0"/>
        <v/>
      </c>
      <c r="J4" s="333" t="str">
        <f>""</f>
        <v/>
      </c>
      <c r="K4" s="331" t="str">
        <f>IF(Umse!$C$24=0,"",IF(OR($A$1="8.1.",$A$1="8.2.",$A$1="8.3.",$A$1="8.4."),Z4,""))</f>
        <v/>
      </c>
      <c r="L4" s="363" t="str">
        <f>IF(Umse!$C$24=0,"",IF(OR($A$1="8.1.",$A$1="8.2.",$A$1="8.3.",$A$1="8.4."),AA4,""))</f>
        <v/>
      </c>
      <c r="M4" s="335" t="str">
        <f>IF(Umse!$C$24=0,"",IF($A$1="8.1.",'AVH Tab'!BG3,IF($A$1="8.2.",'AVH Tab'!BO3,IF($A$1="8.3.",'AVH Tab'!BW3,IF($A$1="8.4.",'AVH Tab'!BW3,"")))))</f>
        <v/>
      </c>
      <c r="N4" s="335" t="str">
        <f>IF(Umse!$C$24=0,"",IF($A$1="8.1.",'AVH Tab'!BH3,IF($A$1="8.2.",'AVH Tab'!BP3,IF($A$1="8.3.",'AVH Tab'!BX3,IF($A$1="8.4.",'AVH Tab'!BX3,"")))))</f>
        <v/>
      </c>
      <c r="O4" s="335" t="str">
        <f>IF(Umse!$C$24=0,"",IF($A$1="8.1.",'AVH Tab'!BI3,IF($A$1="8.2.",'AVH Tab'!BQ3,IF($A$1="8.3.",'AVH Tab'!BY3,IF($A$1="8.4.",'AVH Tab'!BY3,"")))))</f>
        <v/>
      </c>
      <c r="P4" s="335" t="str">
        <f>IF(Umse!$C$24=0,"",IF($A$1="8.1.",'AVH Tab'!BJ3,IF($A$1="8.2.",'AVH Tab'!BR3,IF($A$1="8.3.",'AVH Tab'!BZ3,IF($A$1="8.4.",'AVH Tab'!BZ3,"")))))</f>
        <v/>
      </c>
      <c r="Q4" s="335" t="str">
        <f>IF(Umse!$C$24=0,"",IF($A$1="8.1.",'AVH Tab'!BK3,IF($A$1="8.2.",'AVH Tab'!BS3,IF($A$1="8.3.",'AVH Tab'!CA3,IF($A$1="8.4.",'AVH Tab'!CA3,"")))))</f>
        <v/>
      </c>
      <c r="R4" s="335" t="str">
        <f>IF(Umse!$C$24=0,"",IF($A$1="8.1.",'AVH Tab'!BL3,IF($A$1="8.2.",'AVH Tab'!BT3,IF($A$1="8.3.",'AVH Tab'!CB3,IF($A$1="8.4.",'AVH Tab'!CB3,"")))))</f>
        <v/>
      </c>
      <c r="T4" s="323"/>
      <c r="U4" s="367"/>
      <c r="V4" s="332"/>
      <c r="W4" s="363"/>
      <c r="X4" s="431"/>
      <c r="Y4" s="431"/>
      <c r="Z4" s="431" t="s">
        <v>6</v>
      </c>
      <c r="AA4" s="431">
        <v>15</v>
      </c>
    </row>
    <row r="5" spans="1:27" ht="11.25" customHeight="1">
      <c r="A5" s="337">
        <f>Umse!C24</f>
        <v>169.57</v>
      </c>
      <c r="B5" s="332" t="str">
        <f t="shared" si="1"/>
        <v/>
      </c>
      <c r="C5" s="367" t="str">
        <f t="shared" si="1"/>
        <v/>
      </c>
      <c r="D5" s="343" t="str">
        <f t="shared" si="0"/>
        <v/>
      </c>
      <c r="E5" s="343" t="str">
        <f t="shared" si="0"/>
        <v/>
      </c>
      <c r="F5" s="343" t="str">
        <f t="shared" si="0"/>
        <v/>
      </c>
      <c r="G5" s="343" t="str">
        <f t="shared" si="0"/>
        <v/>
      </c>
      <c r="H5" s="343" t="str">
        <f t="shared" si="0"/>
        <v/>
      </c>
      <c r="I5" s="343" t="str">
        <f t="shared" si="0"/>
        <v/>
      </c>
      <c r="J5" s="333" t="str">
        <f>""</f>
        <v/>
      </c>
      <c r="K5" s="331" t="str">
        <f>IF(Umse!$C$24=0,"",IF(OR($A$1="8.1.",$A$1="8.2.",$A$1="8.3.",$A$1="8.4."),Z5,""))</f>
        <v/>
      </c>
      <c r="L5" s="363" t="str">
        <f>IF(Umse!$C$24=0,"",IF(OR($A$1="8.1.",$A$1="8.2.",$A$1="8.3.",$A$1="8.4."),AA5,""))</f>
        <v/>
      </c>
      <c r="M5" s="335" t="str">
        <f>IF(Umse!$C$24=0,"",IF($A$1="8.1.",'AVH Tab'!BG4,IF($A$1="8.2.",'AVH Tab'!BO4,IF($A$1="8.3.",'AVH Tab'!BW4,IF($A$1="8.4.",'AVH Tab'!BW4,"")))))</f>
        <v/>
      </c>
      <c r="N5" s="335" t="str">
        <f>IF(Umse!$C$24=0,"",IF($A$1="8.1.",'AVH Tab'!BH4,IF($A$1="8.2.",'AVH Tab'!BP4,IF($A$1="8.3.",'AVH Tab'!BX4,IF($A$1="8.4.",'AVH Tab'!BX4,"")))))</f>
        <v/>
      </c>
      <c r="O5" s="335" t="str">
        <f>IF(Umse!$C$24=0,"",IF($A$1="8.1.",'AVH Tab'!BI4,IF($A$1="8.2.",'AVH Tab'!BQ4,IF($A$1="8.3.",'AVH Tab'!BY4,IF($A$1="8.4.",'AVH Tab'!BY4,"")))))</f>
        <v/>
      </c>
      <c r="P5" s="335" t="str">
        <f>IF(Umse!$C$24=0,"",IF($A$1="8.1.",'AVH Tab'!BJ4,IF($A$1="8.2.",'AVH Tab'!BR4,IF($A$1="8.3.",'AVH Tab'!BZ4,IF($A$1="8.4.",'AVH Tab'!BZ4,"")))))</f>
        <v/>
      </c>
      <c r="Q5" s="335" t="str">
        <f>IF(Umse!$C$24=0,"",IF($A$1="8.1.",'AVH Tab'!BK4,IF($A$1="8.2.",'AVH Tab'!BS4,IF($A$1="8.3.",'AVH Tab'!CA4,IF($A$1="8.4.",'AVH Tab'!CA4,"")))))</f>
        <v/>
      </c>
      <c r="R5" s="335" t="str">
        <f>IF(Umse!$C$24=0,"",IF($A$1="8.1.",'AVH Tab'!BL4,IF($A$1="8.2.",'AVH Tab'!BT4,IF($A$1="8.3.",'AVH Tab'!CB4,IF($A$1="8.4.",'AVH Tab'!CB4,"")))))</f>
        <v/>
      </c>
      <c r="T5" s="323"/>
      <c r="U5" s="367"/>
      <c r="V5" s="332"/>
      <c r="W5" s="363"/>
      <c r="X5" s="431"/>
      <c r="Y5" s="431"/>
      <c r="Z5" s="431" t="s">
        <v>6</v>
      </c>
      <c r="AA5" s="431">
        <v>14</v>
      </c>
    </row>
    <row r="6" spans="1:27" ht="11.25" customHeight="1">
      <c r="A6" s="374" t="str">
        <f>IF(OR($A$1="2.4.",$A$1="2.5.",$A$1="2.9.",$A$1="2.10.",$A$1="2.14.",$A$1="2.15."),"SuE","")</f>
        <v/>
      </c>
      <c r="B6" s="332" t="str">
        <f t="shared" si="1"/>
        <v/>
      </c>
      <c r="C6" s="367" t="str">
        <f t="shared" si="1"/>
        <v/>
      </c>
      <c r="D6" s="343" t="str">
        <f t="shared" si="0"/>
        <v/>
      </c>
      <c r="E6" s="343" t="str">
        <f t="shared" si="0"/>
        <v/>
      </c>
      <c r="F6" s="343" t="str">
        <f t="shared" si="0"/>
        <v/>
      </c>
      <c r="G6" s="343" t="str">
        <f t="shared" si="0"/>
        <v/>
      </c>
      <c r="H6" s="343" t="str">
        <f t="shared" si="0"/>
        <v/>
      </c>
      <c r="I6" s="343" t="str">
        <f t="shared" si="0"/>
        <v/>
      </c>
      <c r="J6" s="333" t="str">
        <f>""</f>
        <v/>
      </c>
      <c r="K6" s="331" t="str">
        <f>IF(Umse!$C$24=0,"",IF(OR($A$1="8.1.",$A$1="8.2.",$A$1="8.3.",$A$1="8.4."),Z6,""))</f>
        <v/>
      </c>
      <c r="L6" s="363" t="str">
        <f>IF(Umse!$C$24=0,"",IF(OR($A$1="8.1.",$A$1="8.2.",$A$1="8.3.",$A$1="8.4."),AA6,""))</f>
        <v/>
      </c>
      <c r="M6" s="335" t="str">
        <f>IF(Umse!$C$24=0,"",IF($A$1="8.1.",'AVH Tab'!BG5,IF($A$1="8.2.",'AVH Tab'!BO5,IF($A$1="8.3.",'AVH Tab'!BW5,IF($A$1="8.4.",'AVH Tab'!BW5,"")))))</f>
        <v/>
      </c>
      <c r="N6" s="335" t="str">
        <f>IF(Umse!$C$24=0,"",IF($A$1="8.1.",'AVH Tab'!BH5,IF($A$1="8.2.",'AVH Tab'!BP5,IF($A$1="8.3.",'AVH Tab'!BX5,IF($A$1="8.4.",'AVH Tab'!BX5,"")))))</f>
        <v/>
      </c>
      <c r="O6" s="335" t="str">
        <f>IF(Umse!$C$24=0,"",IF($A$1="8.1.",'AVH Tab'!BI5,IF($A$1="8.2.",'AVH Tab'!BQ5,IF($A$1="8.3.",'AVH Tab'!BY5,IF($A$1="8.4.",'AVH Tab'!BY5,"")))))</f>
        <v/>
      </c>
      <c r="P6" s="335" t="str">
        <f>IF(Umse!$C$24=0,"",IF($A$1="8.1.",'AVH Tab'!BJ5,IF($A$1="8.2.",'AVH Tab'!BR5,IF($A$1="8.3.",'AVH Tab'!BZ5,IF($A$1="8.4.",'AVH Tab'!BZ5,"")))))</f>
        <v/>
      </c>
      <c r="Q6" s="335" t="str">
        <f>IF(Umse!$C$24=0,"",IF($A$1="8.1.",'AVH Tab'!BK5,IF($A$1="8.2.",'AVH Tab'!BS5,IF($A$1="8.3.",'AVH Tab'!CA5,IF($A$1="8.4.",'AVH Tab'!CA5,"")))))</f>
        <v/>
      </c>
      <c r="R6" s="335" t="str">
        <f>IF(Umse!$C$24=0,"",IF($A$1="8.1.",'AVH Tab'!BL5,IF($A$1="8.2.",'AVH Tab'!BT5,IF($A$1="8.3.",'AVH Tab'!CB5,IF($A$1="8.4.",'AVH Tab'!CB5,"")))))</f>
        <v/>
      </c>
      <c r="T6" s="323"/>
      <c r="U6" s="367"/>
      <c r="V6" s="332"/>
      <c r="W6" s="363"/>
      <c r="X6" s="431"/>
      <c r="Y6" s="431"/>
      <c r="Z6" s="431" t="s">
        <v>6</v>
      </c>
      <c r="AA6" s="431">
        <v>13</v>
      </c>
    </row>
    <row r="7" spans="1:27" ht="11.25" customHeight="1">
      <c r="A7" s="338"/>
      <c r="B7" s="332" t="str">
        <f t="shared" si="1"/>
        <v/>
      </c>
      <c r="C7" s="367" t="str">
        <f t="shared" si="1"/>
        <v/>
      </c>
      <c r="D7" s="343" t="str">
        <f t="shared" si="0"/>
        <v/>
      </c>
      <c r="E7" s="343" t="str">
        <f t="shared" si="0"/>
        <v/>
      </c>
      <c r="F7" s="343" t="str">
        <f t="shared" si="0"/>
        <v/>
      </c>
      <c r="G7" s="343" t="str">
        <f t="shared" si="0"/>
        <v/>
      </c>
      <c r="H7" s="343" t="str">
        <f t="shared" si="0"/>
        <v/>
      </c>
      <c r="I7" s="343" t="str">
        <f t="shared" si="0"/>
        <v/>
      </c>
      <c r="J7" s="333" t="str">
        <f>""</f>
        <v/>
      </c>
      <c r="K7" s="331" t="str">
        <f>IF(Umse!$C$24=0,"",IF(OR($A$1="8.1.",$A$1="8.2.",$A$1="8.3.",$A$1="8.4."),Z7,""))</f>
        <v/>
      </c>
      <c r="L7" s="363" t="str">
        <f>IF(Umse!$C$24=0,"",IF(OR($A$1="8.1.",$A$1="8.2.",$A$1="8.3.",$A$1="8.4."),AA7,""))</f>
        <v/>
      </c>
      <c r="M7" s="335" t="str">
        <f>IF(Umse!$C$24=0,"",IF($A$1="8.1.",'AVH Tab'!BG6,IF($A$1="8.2.",'AVH Tab'!BO6,IF($A$1="8.3.",'AVH Tab'!BW6,IF($A$1="8.4.",'AVH Tab'!BW6,"")))))</f>
        <v/>
      </c>
      <c r="N7" s="335" t="str">
        <f>IF(Umse!$C$24=0,"",IF($A$1="8.1.",'AVH Tab'!BH6,IF($A$1="8.2.",'AVH Tab'!BP6,IF($A$1="8.3.",'AVH Tab'!BX6,IF($A$1="8.4.",'AVH Tab'!BX6,"")))))</f>
        <v/>
      </c>
      <c r="O7" s="335" t="str">
        <f>IF(Umse!$C$24=0,"",IF($A$1="8.1.",'AVH Tab'!BI6,IF($A$1="8.2.",'AVH Tab'!BQ6,IF($A$1="8.3.",'AVH Tab'!BY6,IF($A$1="8.4.",'AVH Tab'!BY6,"")))))</f>
        <v/>
      </c>
      <c r="P7" s="335" t="str">
        <f>IF(Umse!$C$24=0,"",IF($A$1="8.1.",'AVH Tab'!BJ6,IF($A$1="8.2.",'AVH Tab'!BR6,IF($A$1="8.3.",'AVH Tab'!BZ6,IF($A$1="8.4.",'AVH Tab'!BZ6,"")))))</f>
        <v/>
      </c>
      <c r="Q7" s="335" t="str">
        <f>IF(Umse!$C$24=0,"",IF($A$1="8.1.",'AVH Tab'!BK6,IF($A$1="8.2.",'AVH Tab'!BS6,IF($A$1="8.3.",'AVH Tab'!CA6,IF($A$1="8.4.",'AVH Tab'!CA6,"")))))</f>
        <v/>
      </c>
      <c r="R7" s="335" t="str">
        <f>IF(Umse!$C$24=0,"",IF($A$1="8.1.",'AVH Tab'!BL6,IF($A$1="8.2.",'AVH Tab'!BT6,IF($A$1="8.3.",'AVH Tab'!CB6,IF($A$1="8.4.",'AVH Tab'!CB6,"")))))</f>
        <v/>
      </c>
      <c r="T7" s="323"/>
      <c r="U7" s="367"/>
      <c r="V7" s="332"/>
      <c r="W7" s="363"/>
      <c r="X7" s="431"/>
      <c r="Y7" s="431"/>
      <c r="Z7" s="431" t="s">
        <v>6</v>
      </c>
      <c r="AA7" s="431">
        <v>12</v>
      </c>
    </row>
    <row r="8" spans="1:27" ht="11.25" customHeight="1">
      <c r="A8" s="338"/>
      <c r="B8" s="332" t="str">
        <f t="shared" si="1"/>
        <v/>
      </c>
      <c r="C8" s="367" t="str">
        <f t="shared" si="1"/>
        <v/>
      </c>
      <c r="D8" s="343" t="str">
        <f t="shared" si="0"/>
        <v/>
      </c>
      <c r="E8" s="343" t="str">
        <f t="shared" si="0"/>
        <v/>
      </c>
      <c r="F8" s="343" t="str">
        <f t="shared" si="0"/>
        <v/>
      </c>
      <c r="G8" s="343" t="str">
        <f t="shared" si="0"/>
        <v/>
      </c>
      <c r="H8" s="343" t="str">
        <f t="shared" si="0"/>
        <v/>
      </c>
      <c r="I8" s="343" t="str">
        <f t="shared" si="0"/>
        <v/>
      </c>
      <c r="J8" s="333" t="str">
        <f>""</f>
        <v/>
      </c>
      <c r="K8" s="331" t="str">
        <f>IF(Umse!$C$24=0,"",IF(OR($A$1="8.1.",$A$1="8.2.",$A$1="8.3.",$A$1="8.4."),Z8,""))</f>
        <v/>
      </c>
      <c r="L8" s="363" t="str">
        <f>IF(Umse!$C$24=0,"",IF(OR($A$1="8.1.",$A$1="8.2.",$A$1="8.3.",$A$1="8.4."),AA8,""))</f>
        <v/>
      </c>
      <c r="M8" s="335" t="str">
        <f>IF(Umse!$C$24=0,"",IF($A$1="8.1.",'AVH Tab'!BG7,IF($A$1="8.2.",'AVH Tab'!BO7,IF($A$1="8.3.",'AVH Tab'!BW7,IF($A$1="8.4.",'AVH Tab'!BW7,"")))))</f>
        <v/>
      </c>
      <c r="N8" s="335" t="str">
        <f>IF(Umse!$C$24=0,"",IF($A$1="8.1.",'AVH Tab'!BH7,IF($A$1="8.2.",'AVH Tab'!BP7,IF($A$1="8.3.",'AVH Tab'!BX7,IF($A$1="8.4.",'AVH Tab'!BX7,"")))))</f>
        <v/>
      </c>
      <c r="O8" s="335" t="str">
        <f>IF(Umse!$C$24=0,"",IF($A$1="8.1.",'AVH Tab'!BI7,IF($A$1="8.2.",'AVH Tab'!BQ7,IF($A$1="8.3.",'AVH Tab'!BY7,IF($A$1="8.4.",'AVH Tab'!BY7,"")))))</f>
        <v/>
      </c>
      <c r="P8" s="335" t="str">
        <f>IF(Umse!$C$24=0,"",IF($A$1="8.1.",'AVH Tab'!BJ7,IF($A$1="8.2.",'AVH Tab'!BR7,IF($A$1="8.3.",'AVH Tab'!BZ7,IF($A$1="8.4.",'AVH Tab'!BZ7,"")))))</f>
        <v/>
      </c>
      <c r="Q8" s="335" t="str">
        <f>IF(Umse!$C$24=0,"",IF($A$1="8.1.",'AVH Tab'!BK7,IF($A$1="8.2.",'AVH Tab'!BS7,IF($A$1="8.3.",'AVH Tab'!CA7,IF($A$1="8.4.",'AVH Tab'!CA7,"")))))</f>
        <v/>
      </c>
      <c r="R8" s="335" t="str">
        <f>IF(Umse!$C$24=0,"",IF($A$1="8.1.",'AVH Tab'!BL7,IF($A$1="8.2.",'AVH Tab'!BT7,IF($A$1="8.3.",'AVH Tab'!CB7,IF($A$1="8.4.",'AVH Tab'!CB7,"")))))</f>
        <v/>
      </c>
      <c r="S8" s="358"/>
      <c r="T8" s="323"/>
      <c r="U8" s="367"/>
      <c r="V8" s="332"/>
      <c r="W8" s="363"/>
      <c r="X8" s="431"/>
      <c r="Y8" s="431"/>
      <c r="Z8" s="431" t="s">
        <v>6</v>
      </c>
      <c r="AA8" s="431">
        <v>11</v>
      </c>
    </row>
    <row r="9" spans="1:27" ht="11.25" customHeight="1">
      <c r="B9" s="332" t="str">
        <f t="shared" si="1"/>
        <v/>
      </c>
      <c r="C9" s="367" t="str">
        <f t="shared" si="1"/>
        <v/>
      </c>
      <c r="D9" s="343" t="str">
        <f t="shared" si="0"/>
        <v/>
      </c>
      <c r="E9" s="343" t="str">
        <f t="shared" si="0"/>
        <v/>
      </c>
      <c r="F9" s="343" t="str">
        <f t="shared" si="0"/>
        <v/>
      </c>
      <c r="G9" s="343" t="str">
        <f t="shared" si="0"/>
        <v/>
      </c>
      <c r="H9" s="343" t="str">
        <f t="shared" si="0"/>
        <v/>
      </c>
      <c r="I9" s="343" t="str">
        <f t="shared" si="0"/>
        <v/>
      </c>
      <c r="J9" s="333" t="str">
        <f>""</f>
        <v/>
      </c>
      <c r="K9" s="331" t="str">
        <f>IF(Umse!$C$24=0,"",IF(OR($A$1="8.1.",$A$1="8.2.",$A$1="8.3.",$A$1="8.4."),Z9,""))</f>
        <v/>
      </c>
      <c r="L9" s="363" t="str">
        <f>IF(Umse!$C$24=0,"",IF(OR($A$1="8.1.",$A$1="8.2.",$A$1="8.3.",$A$1="8.4."),AA9,""))</f>
        <v/>
      </c>
      <c r="M9" s="335" t="str">
        <f>IF(Umse!$C$24=0,"",IF($A$1="8.1.",'AVH Tab'!BG8,IF($A$1="8.2.",'AVH Tab'!BO8,IF($A$1="8.3.",'AVH Tab'!BW8,IF($A$1="8.4.",'AVH Tab'!BW8,"")))))</f>
        <v/>
      </c>
      <c r="N9" s="335" t="str">
        <f>IF(Umse!$C$24=0,"",IF($A$1="8.1.",'AVH Tab'!BH8,IF($A$1="8.2.",'AVH Tab'!BP8,IF($A$1="8.3.",'AVH Tab'!BX8,IF($A$1="8.4.",'AVH Tab'!BX8,"")))))</f>
        <v/>
      </c>
      <c r="O9" s="335" t="str">
        <f>IF(Umse!$C$24=0,"",IF($A$1="8.1.",'AVH Tab'!BI8,IF($A$1="8.2.",'AVH Tab'!BQ8,IF($A$1="8.3.",'AVH Tab'!BY8,IF($A$1="8.4.",'AVH Tab'!BY8,"")))))</f>
        <v/>
      </c>
      <c r="P9" s="335" t="str">
        <f>IF(Umse!$C$24=0,"",IF($A$1="8.1.",'AVH Tab'!BJ8,IF($A$1="8.2.",'AVH Tab'!BR8,IF($A$1="8.3.",'AVH Tab'!BZ8,IF($A$1="8.4.",'AVH Tab'!BZ8,"")))))</f>
        <v/>
      </c>
      <c r="Q9" s="335" t="str">
        <f>IF(Umse!$C$24=0,"",IF($A$1="8.1.",'AVH Tab'!BK8,IF($A$1="8.2.",'AVH Tab'!BS8,IF($A$1="8.3.",'AVH Tab'!CA8,IF($A$1="8.4.",'AVH Tab'!CA8,"")))))</f>
        <v/>
      </c>
      <c r="R9" s="335" t="str">
        <f>IF(Umse!$C$24=0,"",IF($A$1="8.1.",'AVH Tab'!BL8,IF($A$1="8.2.",'AVH Tab'!BT8,IF($A$1="8.3.",'AVH Tab'!CB8,IF($A$1="8.4.",'AVH Tab'!CB8,"")))))</f>
        <v/>
      </c>
      <c r="S9" s="358"/>
      <c r="T9" s="323"/>
      <c r="U9" s="367"/>
      <c r="V9" s="332"/>
      <c r="W9" s="363"/>
      <c r="X9" s="431"/>
      <c r="Y9" s="431"/>
      <c r="Z9" s="431" t="s">
        <v>6</v>
      </c>
      <c r="AA9" s="431">
        <v>10</v>
      </c>
    </row>
    <row r="10" spans="1:27" ht="11.25" customHeight="1">
      <c r="B10" s="332" t="str">
        <f t="shared" si="1"/>
        <v/>
      </c>
      <c r="C10" s="367" t="str">
        <f t="shared" si="1"/>
        <v/>
      </c>
      <c r="D10" s="343" t="str">
        <f t="shared" si="0"/>
        <v/>
      </c>
      <c r="E10" s="343" t="str">
        <f t="shared" si="0"/>
        <v/>
      </c>
      <c r="F10" s="343" t="str">
        <f t="shared" si="0"/>
        <v/>
      </c>
      <c r="G10" s="343" t="str">
        <f t="shared" si="0"/>
        <v/>
      </c>
      <c r="H10" s="343" t="str">
        <f t="shared" si="0"/>
        <v/>
      </c>
      <c r="I10" s="343" t="str">
        <f t="shared" si="0"/>
        <v/>
      </c>
      <c r="J10" s="333" t="str">
        <f>""</f>
        <v/>
      </c>
      <c r="K10" s="331" t="str">
        <f>IF(Umse!$C$24=0,"",IF(OR($A$1="8.1.",$A$1="8.2.",$A$1="8.3.",$A$1="8.4."),Z10,""))</f>
        <v/>
      </c>
      <c r="L10" s="363" t="str">
        <f>IF(Umse!$C$24=0,"",IF(OR($A$1="8.1.",$A$1="8.2.",$A$1="8.3.",$A$1="8.4."),AA10,""))</f>
        <v/>
      </c>
      <c r="M10" s="335" t="str">
        <f>IF(Umse!$C$24=0,"",IF($A$1="8.1.",'AVH Tab'!BG9,IF($A$1="8.2.",'AVH Tab'!BO9,IF($A$1="8.3.",'AVH Tab'!BW9,IF($A$1="8.4.",'AVH Tab'!BW9,"")))))</f>
        <v/>
      </c>
      <c r="N10" s="335" t="str">
        <f>IF(Umse!$C$24=0,"",IF($A$1="8.1.",'AVH Tab'!BH9,IF($A$1="8.2.",'AVH Tab'!BP9,IF($A$1="8.3.",'AVH Tab'!BX9,IF($A$1="8.4.",'AVH Tab'!BX9,"")))))</f>
        <v/>
      </c>
      <c r="O10" s="335" t="str">
        <f>IF(Umse!$C$24=0,"",IF($A$1="8.1.",'AVH Tab'!BI9,IF($A$1="8.2.",'AVH Tab'!BQ9,IF($A$1="8.3.",'AVH Tab'!BY9,IF($A$1="8.4.",'AVH Tab'!BY9,"")))))</f>
        <v/>
      </c>
      <c r="P10" s="335" t="str">
        <f>IF(Umse!$C$24=0,"",IF($A$1="8.1.",'AVH Tab'!BJ9,IF($A$1="8.2.",'AVH Tab'!BR9,IF($A$1="8.3.",'AVH Tab'!BZ9,IF($A$1="8.4.",'AVH Tab'!BZ9,"")))))</f>
        <v/>
      </c>
      <c r="Q10" s="335" t="str">
        <f>IF(Umse!$C$24=0,"",IF($A$1="8.1.",'AVH Tab'!BK9,IF($A$1="8.2.",'AVH Tab'!BS9,IF($A$1="8.3.",'AVH Tab'!CA9,IF($A$1="8.4.",'AVH Tab'!CA9,"")))))</f>
        <v/>
      </c>
      <c r="R10" s="335" t="str">
        <f>IF(Umse!$C$24=0,"",IF($A$1="8.1.",'AVH Tab'!BL9,IF($A$1="8.2.",'AVH Tab'!BT9,IF($A$1="8.3.",'AVH Tab'!CB9,IF($A$1="8.4.",'AVH Tab'!CB9,"")))))</f>
        <v/>
      </c>
      <c r="S10" s="346"/>
      <c r="T10" s="323"/>
      <c r="U10" s="367"/>
      <c r="V10" s="332"/>
      <c r="W10" s="363"/>
      <c r="X10" s="431"/>
      <c r="Y10" s="431"/>
      <c r="Z10" s="431" t="s">
        <v>6</v>
      </c>
      <c r="AA10" s="431" t="s">
        <v>284</v>
      </c>
    </row>
    <row r="11" spans="1:27" ht="11.25" customHeight="1">
      <c r="B11" s="332" t="str">
        <f t="shared" si="1"/>
        <v/>
      </c>
      <c r="C11" s="367" t="str">
        <f t="shared" si="1"/>
        <v/>
      </c>
      <c r="D11" s="343" t="str">
        <f t="shared" si="0"/>
        <v/>
      </c>
      <c r="E11" s="343" t="str">
        <f t="shared" si="0"/>
        <v/>
      </c>
      <c r="F11" s="343" t="str">
        <f t="shared" si="0"/>
        <v/>
      </c>
      <c r="G11" s="343" t="str">
        <f t="shared" si="0"/>
        <v/>
      </c>
      <c r="H11" s="343" t="str">
        <f t="shared" si="0"/>
        <v/>
      </c>
      <c r="I11" s="343" t="str">
        <f t="shared" si="0"/>
        <v/>
      </c>
      <c r="J11" s="333" t="str">
        <f>""</f>
        <v/>
      </c>
      <c r="K11" s="331" t="str">
        <f>IF(Umse!$C$24=0,"",IF(OR($A$1="8.1.",$A$1="8.2.",$A$1="8.3.",$A$1="8.4."),Z11,""))</f>
        <v/>
      </c>
      <c r="L11" s="363" t="str">
        <f>IF(Umse!$C$24=0,"",IF(OR($A$1="8.1.",$A$1="8.2.",$A$1="8.3.",$A$1="8.4."),AA11,""))</f>
        <v/>
      </c>
      <c r="M11" s="335" t="str">
        <f>IF(Umse!$C$24=0,"",IF($A$1="8.1.",'AVH Tab'!BG10,IF($A$1="8.2.",'AVH Tab'!BO10,IF($A$1="8.3.",'AVH Tab'!BW10,IF($A$1="8.4.",'AVH Tab'!BW10,"")))))</f>
        <v/>
      </c>
      <c r="N11" s="335" t="str">
        <f>IF(Umse!$C$24=0,"",IF($A$1="8.1.",'AVH Tab'!BH10,IF($A$1="8.2.",'AVH Tab'!BP10,IF($A$1="8.3.",'AVH Tab'!BX10,IF($A$1="8.4.",'AVH Tab'!BX10,"")))))</f>
        <v/>
      </c>
      <c r="O11" s="335" t="str">
        <f>IF(Umse!$C$24=0,"",IF($A$1="8.1.",'AVH Tab'!BI10,IF($A$1="8.2.",'AVH Tab'!BQ10,IF($A$1="8.3.",'AVH Tab'!BY10,IF($A$1="8.4.",'AVH Tab'!BY10,"")))))</f>
        <v/>
      </c>
      <c r="P11" s="335" t="str">
        <f>IF(Umse!$C$24=0,"",IF($A$1="8.1.",'AVH Tab'!BJ10,IF($A$1="8.2.",'AVH Tab'!BR10,IF($A$1="8.3.",'AVH Tab'!BZ10,IF($A$1="8.4.",'AVH Tab'!BZ10,"")))))</f>
        <v/>
      </c>
      <c r="Q11" s="335" t="str">
        <f>IF(Umse!$C$24=0,"",IF($A$1="8.1.",'AVH Tab'!BK10,IF($A$1="8.2.",'AVH Tab'!BS10,IF($A$1="8.3.",'AVH Tab'!CA10,IF($A$1="8.4.",'AVH Tab'!CA10,"")))))</f>
        <v/>
      </c>
      <c r="R11" s="335" t="str">
        <f>IF(Umse!$C$24=0,"",IF($A$1="8.1.",'AVH Tab'!BL10,IF($A$1="8.2.",'AVH Tab'!BT10,IF($A$1="8.3.",'AVH Tab'!CB10,IF($A$1="8.4.",'AVH Tab'!CB10,"")))))</f>
        <v/>
      </c>
      <c r="S11" s="359"/>
      <c r="T11" s="323"/>
      <c r="U11" s="367"/>
      <c r="V11" s="332"/>
      <c r="W11" s="363"/>
      <c r="X11" s="431"/>
      <c r="Y11" s="431"/>
      <c r="Z11" s="431" t="s">
        <v>6</v>
      </c>
      <c r="AA11" s="431" t="s">
        <v>251</v>
      </c>
    </row>
    <row r="12" spans="1:27" ht="11.25" customHeight="1">
      <c r="B12" s="332" t="str">
        <f t="shared" si="1"/>
        <v/>
      </c>
      <c r="C12" s="367" t="str">
        <f t="shared" si="1"/>
        <v/>
      </c>
      <c r="D12" s="343" t="str">
        <f t="shared" si="0"/>
        <v/>
      </c>
      <c r="E12" s="343" t="str">
        <f t="shared" si="0"/>
        <v/>
      </c>
      <c r="F12" s="343" t="str">
        <f t="shared" si="0"/>
        <v/>
      </c>
      <c r="G12" s="343" t="str">
        <f t="shared" si="0"/>
        <v/>
      </c>
      <c r="H12" s="343" t="str">
        <f t="shared" si="0"/>
        <v/>
      </c>
      <c r="I12" s="343" t="str">
        <f t="shared" si="0"/>
        <v/>
      </c>
      <c r="J12" s="333" t="str">
        <f>""</f>
        <v/>
      </c>
      <c r="K12" s="331" t="str">
        <f>IF(Umse!$C$24=0,"",IF(OR($A$1="8.1.",$A$1="8.2.",$A$1="8.3.",$A$1="8.4."),Z12,""))</f>
        <v/>
      </c>
      <c r="L12" s="363" t="str">
        <f>IF(Umse!$C$24=0,"",IF(OR($A$1="8.1.",$A$1="8.2.",$A$1="8.3.",$A$1="8.4."),AA12,""))</f>
        <v/>
      </c>
      <c r="M12" s="335" t="str">
        <f>IF(Umse!$C$24=0,"",IF($A$1="8.1.",'AVH Tab'!BG11,IF($A$1="8.2.",'AVH Tab'!BO11,IF($A$1="8.3.",'AVH Tab'!BW11,IF($A$1="8.4.",'AVH Tab'!BW11,"")))))</f>
        <v/>
      </c>
      <c r="N12" s="335" t="str">
        <f>IF(Umse!$C$24=0,"",IF($A$1="8.1.",'AVH Tab'!BH11,IF($A$1="8.2.",'AVH Tab'!BP11,IF($A$1="8.3.",'AVH Tab'!BX11,IF($A$1="8.4.",'AVH Tab'!BX11,"")))))</f>
        <v/>
      </c>
      <c r="O12" s="335" t="str">
        <f>IF(Umse!$C$24=0,"",IF($A$1="8.1.",'AVH Tab'!BI11,IF($A$1="8.2.",'AVH Tab'!BQ11,IF($A$1="8.3.",'AVH Tab'!BY11,IF($A$1="8.4.",'AVH Tab'!BY11,"")))))</f>
        <v/>
      </c>
      <c r="P12" s="335" t="str">
        <f>IF(Umse!$C$24=0,"",IF($A$1="8.1.",'AVH Tab'!BJ11,IF($A$1="8.2.",'AVH Tab'!BR11,IF($A$1="8.3.",'AVH Tab'!BZ11,IF($A$1="8.4.",'AVH Tab'!BZ11,"")))))</f>
        <v/>
      </c>
      <c r="Q12" s="335" t="str">
        <f>IF(Umse!$C$24=0,"",IF($A$1="8.1.",'AVH Tab'!BK11,IF($A$1="8.2.",'AVH Tab'!BS11,IF($A$1="8.3.",'AVH Tab'!CA11,IF($A$1="8.4.",'AVH Tab'!CA11,"")))))</f>
        <v/>
      </c>
      <c r="R12" s="335" t="str">
        <f>IF(Umse!$C$24=0,"",IF($A$1="8.1.",'AVH Tab'!BL11,IF($A$1="8.2.",'AVH Tab'!BT11,IF($A$1="8.3.",'AVH Tab'!CB11,IF($A$1="8.4.",'AVH Tab'!CB11,"")))))</f>
        <v/>
      </c>
      <c r="S12" s="359"/>
      <c r="T12" s="323"/>
      <c r="U12" s="367"/>
      <c r="V12" s="332"/>
      <c r="W12" s="363"/>
      <c r="X12" s="431"/>
      <c r="Y12" s="431"/>
      <c r="Z12" s="431" t="s">
        <v>6</v>
      </c>
      <c r="AA12" s="431" t="s">
        <v>252</v>
      </c>
    </row>
    <row r="13" spans="1:27" ht="11.25" customHeight="1">
      <c r="B13" s="332" t="str">
        <f t="shared" si="1"/>
        <v/>
      </c>
      <c r="C13" s="367" t="str">
        <f t="shared" si="1"/>
        <v/>
      </c>
      <c r="D13" s="343" t="str">
        <f t="shared" si="0"/>
        <v/>
      </c>
      <c r="E13" s="343" t="str">
        <f t="shared" si="0"/>
        <v/>
      </c>
      <c r="F13" s="343" t="str">
        <f t="shared" si="0"/>
        <v/>
      </c>
      <c r="G13" s="343" t="str">
        <f t="shared" si="0"/>
        <v/>
      </c>
      <c r="H13" s="343" t="str">
        <f t="shared" si="0"/>
        <v/>
      </c>
      <c r="I13" s="343" t="str">
        <f t="shared" si="0"/>
        <v/>
      </c>
      <c r="J13" s="333" t="str">
        <f>""</f>
        <v/>
      </c>
      <c r="K13" s="331" t="str">
        <f>IF(Umse!$C$24=0,"",IF(OR($A$1="8.1.",$A$1="8.2.",$A$1="8.3.",$A$1="8.4."),Z13,""))</f>
        <v/>
      </c>
      <c r="L13" s="363" t="str">
        <f>IF(Umse!$C$24=0,"",IF(OR($A$1="8.1.",$A$1="8.2.",$A$1="8.3.",$A$1="8.4."),AA13,""))</f>
        <v/>
      </c>
      <c r="M13" s="335" t="str">
        <f>IF(Umse!$C$24=0,"",IF($A$1="8.1.",'AVH Tab'!BG12,IF($A$1="8.2.",'AVH Tab'!BO12,IF($A$1="8.3.",'AVH Tab'!BW12,IF($A$1="8.4.",'AVH Tab'!BW12,"")))))</f>
        <v/>
      </c>
      <c r="N13" s="335" t="str">
        <f>IF(Umse!$C$24=0,"",IF($A$1="8.1.",'AVH Tab'!BH12,IF($A$1="8.2.",'AVH Tab'!BP12,IF($A$1="8.3.",'AVH Tab'!BX12,IF($A$1="8.4.",'AVH Tab'!BX12,"")))))</f>
        <v/>
      </c>
      <c r="O13" s="335" t="str">
        <f>IF(Umse!$C$24=0,"",IF($A$1="8.1.",'AVH Tab'!BI12,IF($A$1="8.2.",'AVH Tab'!BQ12,IF($A$1="8.3.",'AVH Tab'!BY12,IF($A$1="8.4.",'AVH Tab'!BY12,"")))))</f>
        <v/>
      </c>
      <c r="P13" s="335" t="str">
        <f>IF(Umse!$C$24=0,"",IF($A$1="8.1.",'AVH Tab'!BJ12,IF($A$1="8.2.",'AVH Tab'!BR12,IF($A$1="8.3.",'AVH Tab'!BZ12,IF($A$1="8.4.",'AVH Tab'!BZ12,"")))))</f>
        <v/>
      </c>
      <c r="Q13" s="335" t="str">
        <f>IF(Umse!$C$24=0,"",IF($A$1="8.1.",'AVH Tab'!BK12,IF($A$1="8.2.",'AVH Tab'!BS12,IF($A$1="8.3.",'AVH Tab'!CA12,IF($A$1="8.4.",'AVH Tab'!CA12,"")))))</f>
        <v/>
      </c>
      <c r="R13" s="335" t="str">
        <f>IF(Umse!$C$24=0,"",IF($A$1="8.1.",'AVH Tab'!BL12,IF($A$1="8.2.",'AVH Tab'!BT12,IF($A$1="8.3.",'AVH Tab'!CB12,IF($A$1="8.4.",'AVH Tab'!CB12,"")))))</f>
        <v/>
      </c>
      <c r="S13" s="359"/>
      <c r="T13" s="323"/>
      <c r="U13" s="367"/>
      <c r="V13" s="332"/>
      <c r="W13" s="363"/>
      <c r="X13" s="431"/>
      <c r="Y13" s="431"/>
      <c r="Z13" s="431" t="s">
        <v>6</v>
      </c>
      <c r="AA13" s="431">
        <v>8</v>
      </c>
    </row>
    <row r="14" spans="1:27" ht="11.25" customHeight="1">
      <c r="B14" s="332" t="str">
        <f t="shared" si="1"/>
        <v/>
      </c>
      <c r="C14" s="367" t="str">
        <f t="shared" si="1"/>
        <v/>
      </c>
      <c r="D14" s="343" t="str">
        <f t="shared" si="0"/>
        <v/>
      </c>
      <c r="E14" s="343" t="str">
        <f t="shared" si="0"/>
        <v/>
      </c>
      <c r="F14" s="343" t="str">
        <f t="shared" si="0"/>
        <v/>
      </c>
      <c r="G14" s="343" t="str">
        <f t="shared" si="0"/>
        <v/>
      </c>
      <c r="H14" s="343" t="str">
        <f t="shared" si="0"/>
        <v/>
      </c>
      <c r="I14" s="343" t="str">
        <f t="shared" si="0"/>
        <v/>
      </c>
      <c r="J14" s="333" t="str">
        <f>""</f>
        <v/>
      </c>
      <c r="K14" s="331" t="str">
        <f>IF(Umse!$C$24=0,"",IF(OR($A$1="8.1.",$A$1="8.2.",$A$1="8.3.",$A$1="8.4."),Z14,""))</f>
        <v/>
      </c>
      <c r="L14" s="363" t="str">
        <f>IF(Umse!$C$24=0,"",IF(OR($A$1="8.1.",$A$1="8.2.",$A$1="8.3.",$A$1="8.4."),AA14,""))</f>
        <v/>
      </c>
      <c r="M14" s="335" t="str">
        <f>IF(Umse!$C$24=0,"",IF($A$1="8.1.",'AVH Tab'!BG13,IF($A$1="8.2.",'AVH Tab'!BO13,IF($A$1="8.3.",'AVH Tab'!BW13,IF($A$1="8.4.",'AVH Tab'!BW13,"")))))</f>
        <v/>
      </c>
      <c r="N14" s="335" t="str">
        <f>IF(Umse!$C$24=0,"",IF($A$1="8.1.",'AVH Tab'!BH13,IF($A$1="8.2.",'AVH Tab'!BP13,IF($A$1="8.3.",'AVH Tab'!BX13,IF($A$1="8.4.",'AVH Tab'!BX13,"")))))</f>
        <v/>
      </c>
      <c r="O14" s="335" t="str">
        <f>IF(Umse!$C$24=0,"",IF($A$1="8.1.",'AVH Tab'!BI13,IF($A$1="8.2.",'AVH Tab'!BQ13,IF($A$1="8.3.",'AVH Tab'!BY13,IF($A$1="8.4.",'AVH Tab'!BY13,"")))))</f>
        <v/>
      </c>
      <c r="P14" s="335" t="str">
        <f>IF(Umse!$C$24=0,"",IF($A$1="8.1.",'AVH Tab'!BJ13,IF($A$1="8.2.",'AVH Tab'!BR13,IF($A$1="8.3.",'AVH Tab'!BZ13,IF($A$1="8.4.",'AVH Tab'!BZ13,"")))))</f>
        <v/>
      </c>
      <c r="Q14" s="335" t="str">
        <f>IF(Umse!$C$24=0,"",IF($A$1="8.1.",'AVH Tab'!BK13,IF($A$1="8.2.",'AVH Tab'!BS13,IF($A$1="8.3.",'AVH Tab'!CA13,IF($A$1="8.4.",'AVH Tab'!CA13,"")))))</f>
        <v/>
      </c>
      <c r="R14" s="335" t="str">
        <f>IF(Umse!$C$24=0,"",IF($A$1="8.1.",'AVH Tab'!BL13,IF($A$1="8.2.",'AVH Tab'!BT13,IF($A$1="8.3.",'AVH Tab'!CB13,IF($A$1="8.4.",'AVH Tab'!CB13,"")))))</f>
        <v/>
      </c>
      <c r="S14" s="359"/>
      <c r="T14" s="323"/>
      <c r="U14" s="367"/>
      <c r="V14" s="332"/>
      <c r="W14" s="363"/>
      <c r="X14" s="431"/>
      <c r="Y14" s="431"/>
      <c r="Z14" s="431" t="s">
        <v>6</v>
      </c>
      <c r="AA14" s="431">
        <v>7</v>
      </c>
    </row>
    <row r="15" spans="1:27" ht="11.25" customHeight="1">
      <c r="B15" s="332" t="str">
        <f t="shared" si="1"/>
        <v/>
      </c>
      <c r="C15" s="367" t="str">
        <f t="shared" si="1"/>
        <v/>
      </c>
      <c r="D15" s="343" t="str">
        <f t="shared" si="0"/>
        <v/>
      </c>
      <c r="E15" s="343" t="str">
        <f t="shared" si="0"/>
        <v/>
      </c>
      <c r="F15" s="343" t="str">
        <f t="shared" si="0"/>
        <v/>
      </c>
      <c r="G15" s="343" t="str">
        <f t="shared" si="0"/>
        <v/>
      </c>
      <c r="H15" s="343" t="str">
        <f t="shared" si="0"/>
        <v/>
      </c>
      <c r="I15" s="343" t="str">
        <f t="shared" si="0"/>
        <v/>
      </c>
      <c r="J15" s="333" t="str">
        <f>""</f>
        <v/>
      </c>
      <c r="K15" s="331" t="str">
        <f>IF(Umse!$C$24=0,"",IF(OR($A$1="8.1.",$A$1="8.2.",$A$1="8.3.",$A$1="8.4."),Z15,""))</f>
        <v/>
      </c>
      <c r="L15" s="363" t="str">
        <f>IF(Umse!$C$24=0,"",IF(OR($A$1="8.1.",$A$1="8.2.",$A$1="8.3.",$A$1="8.4."),AA15,""))</f>
        <v/>
      </c>
      <c r="M15" s="335" t="str">
        <f>IF(Umse!$C$24=0,"",IF($A$1="8.1.",'AVH Tab'!BG14,IF($A$1="8.2.",'AVH Tab'!BO14,IF($A$1="8.3.",'AVH Tab'!BW14,IF($A$1="8.4.",'AVH Tab'!BW14,"")))))</f>
        <v/>
      </c>
      <c r="N15" s="335" t="str">
        <f>IF(Umse!$C$24=0,"",IF($A$1="8.1.",'AVH Tab'!BH14,IF($A$1="8.2.",'AVH Tab'!BP14,IF($A$1="8.3.",'AVH Tab'!BX14,IF($A$1="8.4.",'AVH Tab'!BX14,"")))))</f>
        <v/>
      </c>
      <c r="O15" s="335" t="str">
        <f>IF(Umse!$C$24=0,"",IF($A$1="8.1.",'AVH Tab'!BI14,IF($A$1="8.2.",'AVH Tab'!BQ14,IF($A$1="8.3.",'AVH Tab'!BY14,IF($A$1="8.4.",'AVH Tab'!BY14,"")))))</f>
        <v/>
      </c>
      <c r="P15" s="335" t="str">
        <f>IF(Umse!$C$24=0,"",IF($A$1="8.1.",'AVH Tab'!BJ14,IF($A$1="8.2.",'AVH Tab'!BR14,IF($A$1="8.3.",'AVH Tab'!BZ14,IF($A$1="8.4.",'AVH Tab'!BZ14,"")))))</f>
        <v/>
      </c>
      <c r="Q15" s="335" t="str">
        <f>IF(Umse!$C$24=0,"",IF($A$1="8.1.",'AVH Tab'!BK14,IF($A$1="8.2.",'AVH Tab'!BS14,IF($A$1="8.3.",'AVH Tab'!CA14,IF($A$1="8.4.",'AVH Tab'!CA14,"")))))</f>
        <v/>
      </c>
      <c r="R15" s="335" t="str">
        <f>IF(Umse!$C$24=0,"",IF($A$1="8.1.",'AVH Tab'!BL14,IF($A$1="8.2.",'AVH Tab'!BT14,IF($A$1="8.3.",'AVH Tab'!CB14,IF($A$1="8.4.",'AVH Tab'!CB14,"")))))</f>
        <v/>
      </c>
      <c r="S15" s="359"/>
      <c r="T15" s="323"/>
      <c r="U15" s="367"/>
      <c r="V15" s="332"/>
      <c r="W15" s="363"/>
      <c r="X15" s="431"/>
      <c r="Y15" s="431"/>
      <c r="Z15" s="431" t="s">
        <v>6</v>
      </c>
      <c r="AA15" s="431">
        <v>6</v>
      </c>
    </row>
    <row r="16" spans="1:27" ht="11.25" customHeight="1">
      <c r="B16" s="332" t="str">
        <f t="shared" si="1"/>
        <v/>
      </c>
      <c r="C16" s="367" t="str">
        <f t="shared" si="1"/>
        <v/>
      </c>
      <c r="D16" s="343" t="str">
        <f t="shared" si="0"/>
        <v/>
      </c>
      <c r="E16" s="343" t="str">
        <f t="shared" si="0"/>
        <v/>
      </c>
      <c r="F16" s="343" t="str">
        <f t="shared" si="0"/>
        <v/>
      </c>
      <c r="G16" s="343" t="str">
        <f t="shared" si="0"/>
        <v/>
      </c>
      <c r="H16" s="343" t="str">
        <f t="shared" si="0"/>
        <v/>
      </c>
      <c r="I16" s="343" t="str">
        <f t="shared" si="0"/>
        <v/>
      </c>
      <c r="J16" s="333" t="str">
        <f>""</f>
        <v/>
      </c>
      <c r="K16" s="331" t="str">
        <f>IF(Umse!$C$24=0,"",IF(OR($A$1="8.1.",$A$1="8.2.",$A$1="8.3.",$A$1="8.4."),Z16,""))</f>
        <v/>
      </c>
      <c r="L16" s="363" t="str">
        <f>IF(Umse!$C$24=0,"",IF(OR($A$1="8.1.",$A$1="8.2.",$A$1="8.3.",$A$1="8.4."),AA16,""))</f>
        <v/>
      </c>
      <c r="M16" s="335" t="str">
        <f>IF(Umse!$C$24=0,"",IF($A$1="8.1.",'AVH Tab'!BG15,IF($A$1="8.2.",'AVH Tab'!BO15,IF($A$1="8.3.",'AVH Tab'!BW15,IF($A$1="8.4.",'AVH Tab'!BW15,"")))))</f>
        <v/>
      </c>
      <c r="N16" s="335" t="str">
        <f>IF(Umse!$C$24=0,"",IF($A$1="8.1.",'AVH Tab'!BH15,IF($A$1="8.2.",'AVH Tab'!BP15,IF($A$1="8.3.",'AVH Tab'!BX15,IF($A$1="8.4.",'AVH Tab'!BX15,"")))))</f>
        <v/>
      </c>
      <c r="O16" s="335" t="str">
        <f>IF(Umse!$C$24=0,"",IF($A$1="8.1.",'AVH Tab'!BI15,IF($A$1="8.2.",'AVH Tab'!BQ15,IF($A$1="8.3.",'AVH Tab'!BY15,IF($A$1="8.4.",'AVH Tab'!BY15,"")))))</f>
        <v/>
      </c>
      <c r="P16" s="335" t="str">
        <f>IF(Umse!$C$24=0,"",IF($A$1="8.1.",'AVH Tab'!BJ15,IF($A$1="8.2.",'AVH Tab'!BR15,IF($A$1="8.3.",'AVH Tab'!BZ15,IF($A$1="8.4.",'AVH Tab'!BZ15,"")))))</f>
        <v/>
      </c>
      <c r="Q16" s="335" t="str">
        <f>IF(Umse!$C$24=0,"",IF($A$1="8.1.",'AVH Tab'!BK15,IF($A$1="8.2.",'AVH Tab'!BS15,IF($A$1="8.3.",'AVH Tab'!CA15,IF($A$1="8.4.",'AVH Tab'!CA15,"")))))</f>
        <v/>
      </c>
      <c r="R16" s="335" t="str">
        <f>IF(Umse!$C$24=0,"",IF($A$1="8.1.",'AVH Tab'!BL15,IF($A$1="8.2.",'AVH Tab'!BT15,IF($A$1="8.3.",'AVH Tab'!CB15,IF($A$1="8.4.",'AVH Tab'!CB15,"")))))</f>
        <v/>
      </c>
      <c r="S16" s="359"/>
      <c r="T16" s="323"/>
      <c r="U16" s="367"/>
      <c r="V16" s="332"/>
      <c r="W16" s="363"/>
      <c r="X16" s="431"/>
      <c r="Y16" s="431"/>
      <c r="Z16" s="431" t="s">
        <v>6</v>
      </c>
      <c r="AA16" s="431">
        <v>5</v>
      </c>
    </row>
    <row r="17" spans="2:27" ht="11.25" customHeight="1">
      <c r="B17" s="332" t="str">
        <f t="shared" si="1"/>
        <v/>
      </c>
      <c r="C17" s="367" t="str">
        <f t="shared" si="1"/>
        <v/>
      </c>
      <c r="D17" s="343" t="str">
        <f t="shared" si="0"/>
        <v/>
      </c>
      <c r="E17" s="343" t="str">
        <f t="shared" si="0"/>
        <v/>
      </c>
      <c r="F17" s="343" t="str">
        <f t="shared" si="0"/>
        <v/>
      </c>
      <c r="G17" s="343" t="str">
        <f t="shared" si="0"/>
        <v/>
      </c>
      <c r="H17" s="343" t="str">
        <f t="shared" si="0"/>
        <v/>
      </c>
      <c r="I17" s="343" t="str">
        <f t="shared" si="0"/>
        <v/>
      </c>
      <c r="J17" s="333" t="str">
        <f>""</f>
        <v/>
      </c>
      <c r="K17" s="331" t="str">
        <f>IF(Umse!$C$24=0,"",IF(OR($A$1="8.1.",$A$1="8.2.",$A$1="8.3.",$A$1="8.4."),Z17,""))</f>
        <v/>
      </c>
      <c r="L17" s="363" t="str">
        <f>IF(Umse!$C$24=0,"",IF(OR($A$1="8.1.",$A$1="8.2.",$A$1="8.3.",$A$1="8.4."),AA17,""))</f>
        <v/>
      </c>
      <c r="M17" s="335" t="str">
        <f>IF(Umse!$C$24=0,"",IF($A$1="8.1.",'AVH Tab'!BG16,IF($A$1="8.2.",'AVH Tab'!BO16,IF($A$1="8.3.",'AVH Tab'!BW16,IF($A$1="8.4.",'AVH Tab'!BW16,"")))))</f>
        <v/>
      </c>
      <c r="N17" s="335" t="str">
        <f>IF(Umse!$C$24=0,"",IF($A$1="8.1.",'AVH Tab'!BH16,IF($A$1="8.2.",'AVH Tab'!BP16,IF($A$1="8.3.",'AVH Tab'!BX16,IF($A$1="8.4.",'AVH Tab'!BX16,"")))))</f>
        <v/>
      </c>
      <c r="O17" s="335" t="str">
        <f>IF(Umse!$C$24=0,"",IF($A$1="8.1.",'AVH Tab'!BI16,IF($A$1="8.2.",'AVH Tab'!BQ16,IF($A$1="8.3.",'AVH Tab'!BY16,IF($A$1="8.4.",'AVH Tab'!BY16,"")))))</f>
        <v/>
      </c>
      <c r="P17" s="335" t="str">
        <f>IF(Umse!$C$24=0,"",IF($A$1="8.1.",'AVH Tab'!BJ16,IF($A$1="8.2.",'AVH Tab'!BR16,IF($A$1="8.3.",'AVH Tab'!BZ16,IF($A$1="8.4.",'AVH Tab'!BZ16,"")))))</f>
        <v/>
      </c>
      <c r="Q17" s="335" t="str">
        <f>IF(Umse!$C$24=0,"",IF($A$1="8.1.",'AVH Tab'!BK16,IF($A$1="8.2.",'AVH Tab'!BS16,IF($A$1="8.3.",'AVH Tab'!CA16,IF($A$1="8.4.",'AVH Tab'!CA16,"")))))</f>
        <v/>
      </c>
      <c r="R17" s="335" t="str">
        <f>IF(Umse!$C$24=0,"",IF($A$1="8.1.",'AVH Tab'!BL16,IF($A$1="8.2.",'AVH Tab'!BT16,IF($A$1="8.3.",'AVH Tab'!CB16,IF($A$1="8.4.",'AVH Tab'!CB16,"")))))</f>
        <v/>
      </c>
      <c r="S17" s="359"/>
      <c r="T17" s="323"/>
      <c r="U17" s="367"/>
      <c r="V17" s="332"/>
      <c r="W17" s="363"/>
      <c r="X17" s="431"/>
      <c r="Y17" s="431"/>
      <c r="Z17" s="431" t="s">
        <v>6</v>
      </c>
      <c r="AA17" s="431">
        <v>4</v>
      </c>
    </row>
    <row r="18" spans="2:27" ht="11.25" customHeight="1">
      <c r="B18" s="332" t="str">
        <f t="shared" si="1"/>
        <v/>
      </c>
      <c r="C18" s="367" t="str">
        <f t="shared" si="1"/>
        <v/>
      </c>
      <c r="D18" s="343" t="str">
        <f t="shared" si="0"/>
        <v/>
      </c>
      <c r="E18" s="343" t="str">
        <f t="shared" si="0"/>
        <v/>
      </c>
      <c r="F18" s="343" t="str">
        <f t="shared" si="0"/>
        <v/>
      </c>
      <c r="G18" s="343" t="str">
        <f t="shared" si="0"/>
        <v/>
      </c>
      <c r="H18" s="343" t="str">
        <f t="shared" si="0"/>
        <v/>
      </c>
      <c r="I18" s="343" t="str">
        <f t="shared" si="0"/>
        <v/>
      </c>
      <c r="J18" s="333" t="str">
        <f>""</f>
        <v/>
      </c>
      <c r="K18" s="331" t="str">
        <f>IF(Umse!$C$24=0,"",IF(OR($A$1="8.1.",$A$1="8.2.",$A$1="8.3.",$A$1="8.4."),Z18,""))</f>
        <v/>
      </c>
      <c r="L18" s="363" t="str">
        <f>IF(Umse!$C$24=0,"",IF(OR($A$1="8.1.",$A$1="8.2.",$A$1="8.3.",$A$1="8.4."),AA18,""))</f>
        <v/>
      </c>
      <c r="M18" s="335" t="str">
        <f>IF(Umse!$C$24=0,"",IF($A$1="8.1.",'AVH Tab'!BG17,IF($A$1="8.2.",'AVH Tab'!BO17,IF($A$1="8.3.",'AVH Tab'!BW17,IF($A$1="8.4.",'AVH Tab'!BW17,"")))))</f>
        <v/>
      </c>
      <c r="N18" s="335" t="str">
        <f>IF(Umse!$C$24=0,"",IF($A$1="8.1.",'AVH Tab'!BH17,IF($A$1="8.2.",'AVH Tab'!BP17,IF($A$1="8.3.",'AVH Tab'!BX17,IF($A$1="8.4.",'AVH Tab'!BX17,"")))))</f>
        <v/>
      </c>
      <c r="O18" s="335" t="str">
        <f>IF(Umse!$C$24=0,"",IF($A$1="8.1.",'AVH Tab'!BI17,IF($A$1="8.2.",'AVH Tab'!BQ17,IF($A$1="8.3.",'AVH Tab'!BY17,IF($A$1="8.4.",'AVH Tab'!BY17,"")))))</f>
        <v/>
      </c>
      <c r="P18" s="335" t="str">
        <f>IF(Umse!$C$24=0,"",IF($A$1="8.1.",'AVH Tab'!BJ17,IF($A$1="8.2.",'AVH Tab'!BR17,IF($A$1="8.3.",'AVH Tab'!BZ17,IF($A$1="8.4.",'AVH Tab'!BZ17,"")))))</f>
        <v/>
      </c>
      <c r="Q18" s="335" t="str">
        <f>IF(Umse!$C$24=0,"",IF($A$1="8.1.",'AVH Tab'!BK17,IF($A$1="8.2.",'AVH Tab'!BS17,IF($A$1="8.3.",'AVH Tab'!CA17,IF($A$1="8.4.",'AVH Tab'!CA17,"")))))</f>
        <v/>
      </c>
      <c r="R18" s="335" t="str">
        <f>IF(Umse!$C$24=0,"",IF($A$1="8.1.",'AVH Tab'!BL17,IF($A$1="8.2.",'AVH Tab'!BT17,IF($A$1="8.3.",'AVH Tab'!CB17,IF($A$1="8.4.",'AVH Tab'!CB17,"")))))</f>
        <v/>
      </c>
      <c r="S18" s="328"/>
      <c r="T18" s="323"/>
      <c r="U18" s="367"/>
      <c r="V18" s="332"/>
      <c r="W18" s="363"/>
      <c r="X18" s="431"/>
      <c r="Y18" s="431"/>
      <c r="Z18" s="431" t="s">
        <v>6</v>
      </c>
      <c r="AA18" s="431">
        <v>3</v>
      </c>
    </row>
    <row r="19" spans="2:27" ht="11.25" customHeight="1">
      <c r="B19" s="332" t="str">
        <f t="shared" si="1"/>
        <v/>
      </c>
      <c r="C19" s="367" t="str">
        <f t="shared" si="1"/>
        <v/>
      </c>
      <c r="D19" s="343" t="str">
        <f t="shared" ref="D19:I23" si="2">IF(M19=0,0,IF(M19="-","-",IF(M19="","",FIXED(ROUND(M19/$A$5,2),2))))</f>
        <v/>
      </c>
      <c r="E19" s="343" t="str">
        <f t="shared" si="2"/>
        <v/>
      </c>
      <c r="F19" s="343" t="str">
        <f t="shared" si="2"/>
        <v/>
      </c>
      <c r="G19" s="343" t="str">
        <f t="shared" si="2"/>
        <v/>
      </c>
      <c r="H19" s="343" t="str">
        <f t="shared" si="2"/>
        <v/>
      </c>
      <c r="I19" s="343" t="str">
        <f t="shared" si="2"/>
        <v/>
      </c>
      <c r="J19" s="333" t="str">
        <f>""</f>
        <v/>
      </c>
      <c r="K19" s="331" t="str">
        <f>IF(Umse!$C$24=0,"",IF(OR($A$1="8.1.",$A$1="8.2.",$A$1="8.3.",$A$1="8.4."),Z19,""))</f>
        <v/>
      </c>
      <c r="L19" s="363" t="str">
        <f>IF(Umse!$C$24=0,"",IF(OR($A$1="8.1.",$A$1="8.2.",$A$1="8.3.",$A$1="8.4."),AA19,""))</f>
        <v/>
      </c>
      <c r="M19" s="335" t="str">
        <f>IF(Umse!$C$24=0,"",IF($A$1="8.1.",'AVH Tab'!BG18,IF($A$1="8.2.",'AVH Tab'!BO18,IF($A$1="8.3.",'AVH Tab'!BW18,IF($A$1="8.4.",'AVH Tab'!BW18,"")))))</f>
        <v/>
      </c>
      <c r="N19" s="335" t="str">
        <f>IF(Umse!$C$24=0,"",IF($A$1="8.1.",'AVH Tab'!BH18,IF($A$1="8.2.",'AVH Tab'!BP18,IF($A$1="8.3.",'AVH Tab'!BX18,IF($A$1="8.4.",'AVH Tab'!BX18,"")))))</f>
        <v/>
      </c>
      <c r="O19" s="335" t="str">
        <f>IF(Umse!$C$24=0,"",IF($A$1="8.1.",'AVH Tab'!BI18,IF($A$1="8.2.",'AVH Tab'!BQ18,IF($A$1="8.3.",'AVH Tab'!BY18,IF($A$1="8.4.",'AVH Tab'!BY18,"")))))</f>
        <v/>
      </c>
      <c r="P19" s="335" t="str">
        <f>IF(Umse!$C$24=0,"",IF($A$1="8.1.",'AVH Tab'!BJ18,IF($A$1="8.2.",'AVH Tab'!BR18,IF($A$1="8.3.",'AVH Tab'!BZ18,IF($A$1="8.4.",'AVH Tab'!BZ18,"")))))</f>
        <v/>
      </c>
      <c r="Q19" s="335" t="str">
        <f>IF(Umse!$C$24=0,"",IF($A$1="8.1.",'AVH Tab'!BK18,IF($A$1="8.2.",'AVH Tab'!BS18,IF($A$1="8.3.",'AVH Tab'!CA18,IF($A$1="8.4.",'AVH Tab'!CA18,"")))))</f>
        <v/>
      </c>
      <c r="R19" s="335" t="str">
        <f>IF(Umse!$C$24=0,"",IF($A$1="8.1.",'AVH Tab'!BL18,IF($A$1="8.2.",'AVH Tab'!BT18,IF($A$1="8.3.",'AVH Tab'!CB18,IF($A$1="8.4.",'AVH Tab'!CB18,"")))))</f>
        <v/>
      </c>
      <c r="T19" s="323"/>
      <c r="U19" s="367"/>
      <c r="V19" s="332"/>
      <c r="W19" s="363"/>
      <c r="X19" s="431"/>
      <c r="Y19" s="431"/>
      <c r="Z19" s="431" t="s">
        <v>6</v>
      </c>
      <c r="AA19" s="431" t="s">
        <v>14</v>
      </c>
    </row>
    <row r="20" spans="2:27" ht="11.25" customHeight="1">
      <c r="B20" s="332" t="str">
        <f t="shared" si="1"/>
        <v/>
      </c>
      <c r="C20" s="367" t="str">
        <f t="shared" si="1"/>
        <v/>
      </c>
      <c r="D20" s="343" t="str">
        <f t="shared" si="2"/>
        <v/>
      </c>
      <c r="E20" s="343" t="str">
        <f t="shared" si="2"/>
        <v/>
      </c>
      <c r="F20" s="343" t="str">
        <f t="shared" si="2"/>
        <v/>
      </c>
      <c r="G20" s="343" t="str">
        <f t="shared" si="2"/>
        <v/>
      </c>
      <c r="H20" s="343" t="str">
        <f t="shared" si="2"/>
        <v/>
      </c>
      <c r="I20" s="343" t="str">
        <f t="shared" si="2"/>
        <v/>
      </c>
      <c r="J20" s="333" t="str">
        <f>""</f>
        <v/>
      </c>
      <c r="K20" s="331" t="str">
        <f>IF(Umse!$C$24=0,"",IF(OR($A$1="8.1.",$A$1="8.2.",$A$1="8.3.",$A$1="8.4."),Z20,""))</f>
        <v/>
      </c>
      <c r="L20" s="363" t="str">
        <f>IF(Umse!$C$24=0,"",IF(OR($A$1="8.1.",$A$1="8.2.",$A$1="8.3.",$A$1="8.4."),AA20,""))</f>
        <v/>
      </c>
      <c r="M20" s="335" t="str">
        <f>IF(Umse!$C$24=0,"",IF($A$1="8.1.",'AVH Tab'!BG19,IF($A$1="8.2.",'AVH Tab'!BO19,IF($A$1="8.3.",'AVH Tab'!BW19,IF($A$1="8.4.",'AVH Tab'!BW19,"")))))</f>
        <v/>
      </c>
      <c r="N20" s="335" t="str">
        <f>IF(Umse!$C$24=0,"",IF($A$1="8.1.",'AVH Tab'!BH19,IF($A$1="8.2.",'AVH Tab'!BP19,IF($A$1="8.3.",'AVH Tab'!BX19,IF($A$1="8.4.",'AVH Tab'!BX19,"")))))</f>
        <v/>
      </c>
      <c r="O20" s="335" t="str">
        <f>IF(Umse!$C$24=0,"",IF($A$1="8.1.",'AVH Tab'!BI19,IF($A$1="8.2.",'AVH Tab'!BQ19,IF($A$1="8.3.",'AVH Tab'!BY19,IF($A$1="8.4.",'AVH Tab'!BY19,"")))))</f>
        <v/>
      </c>
      <c r="P20" s="335" t="str">
        <f>IF(Umse!$C$24=0,"",IF($A$1="8.1.",'AVH Tab'!BJ19,IF($A$1="8.2.",'AVH Tab'!BR19,IF($A$1="8.3.",'AVH Tab'!BZ19,IF($A$1="8.4.",'AVH Tab'!BZ19,"")))))</f>
        <v/>
      </c>
      <c r="Q20" s="335" t="str">
        <f>IF(Umse!$C$24=0,"",IF($A$1="8.1.",'AVH Tab'!BK19,IF($A$1="8.2.",'AVH Tab'!BS19,IF($A$1="8.3.",'AVH Tab'!CA19,IF($A$1="8.4.",'AVH Tab'!CA19,"")))))</f>
        <v/>
      </c>
      <c r="R20" s="335" t="str">
        <f>IF(Umse!$C$24=0,"",IF($A$1="8.1.",'AVH Tab'!BL19,IF($A$1="8.2.",'AVH Tab'!BT19,IF($A$1="8.3.",'AVH Tab'!CB19,IF($A$1="8.4.",'AVH Tab'!CB19,"")))))</f>
        <v/>
      </c>
      <c r="T20" s="323"/>
      <c r="U20" s="323"/>
      <c r="V20" s="332"/>
      <c r="W20" s="363"/>
      <c r="X20" s="431"/>
      <c r="Y20" s="431"/>
      <c r="Z20" s="431" t="s">
        <v>6</v>
      </c>
      <c r="AA20" s="431">
        <v>2</v>
      </c>
    </row>
    <row r="21" spans="2:27" ht="11.25" customHeight="1">
      <c r="B21" s="332" t="str">
        <f t="shared" si="1"/>
        <v/>
      </c>
      <c r="C21" s="367" t="str">
        <f t="shared" si="1"/>
        <v/>
      </c>
      <c r="D21" s="343" t="str">
        <f t="shared" si="2"/>
        <v/>
      </c>
      <c r="E21" s="343" t="str">
        <f t="shared" si="2"/>
        <v/>
      </c>
      <c r="F21" s="343" t="str">
        <f t="shared" si="2"/>
        <v/>
      </c>
      <c r="G21" s="343" t="str">
        <f t="shared" si="2"/>
        <v/>
      </c>
      <c r="H21" s="343" t="str">
        <f t="shared" si="2"/>
        <v/>
      </c>
      <c r="I21" s="343" t="str">
        <f t="shared" si="2"/>
        <v/>
      </c>
      <c r="J21" s="333" t="str">
        <f>""</f>
        <v/>
      </c>
      <c r="K21" s="331" t="str">
        <f>IF(Umse!$C$24=0,"",IF(OR($A$1="8.1.",$A$1="8.2.",$A$1="8.3.",$A$1="8.4."),Z21,""))</f>
        <v/>
      </c>
      <c r="L21" s="363" t="str">
        <f>IF(Umse!$C$24=0,"",IF(OR($A$1="8.1.",$A$1="8.2.",$A$1="8.3.",$A$1="8.4."),AA21,""))</f>
        <v/>
      </c>
      <c r="M21" s="335" t="str">
        <f>IF(Umse!$C$24=0,"",IF($A$1="8.1.",'AVH Tab'!BG20,IF($A$1="8.2.",'AVH Tab'!BO20,IF($A$1="8.3.",'AVH Tab'!BW20,IF($A$1="8.4.",'AVH Tab'!BW20,"")))))</f>
        <v/>
      </c>
      <c r="N21" s="335" t="str">
        <f>IF(Umse!$C$24=0,"",IF($A$1="8.1.",'AVH Tab'!BH20,IF($A$1="8.2.",'AVH Tab'!BP20,IF($A$1="8.3.",'AVH Tab'!BX20,IF($A$1="8.4.",'AVH Tab'!BX20,"")))))</f>
        <v/>
      </c>
      <c r="O21" s="335" t="str">
        <f>IF(Umse!$C$24=0,"",IF($A$1="8.1.",'AVH Tab'!BI20,IF($A$1="8.2.",'AVH Tab'!BQ20,IF($A$1="8.3.",'AVH Tab'!BY20,IF($A$1="8.4.",'AVH Tab'!BY20,"")))))</f>
        <v/>
      </c>
      <c r="P21" s="335" t="str">
        <f>IF(Umse!$C$24=0,"",IF($A$1="8.1.",'AVH Tab'!BJ20,IF($A$1="8.2.",'AVH Tab'!BR20,IF($A$1="8.3.",'AVH Tab'!BZ20,IF($A$1="8.4.",'AVH Tab'!BZ20,"")))))</f>
        <v/>
      </c>
      <c r="Q21" s="335" t="str">
        <f>IF(Umse!$C$24=0,"",IF($A$1="8.1.",'AVH Tab'!BK20,IF($A$1="8.2.",'AVH Tab'!BS20,IF($A$1="8.3.",'AVH Tab'!CA20,IF($A$1="8.4.",'AVH Tab'!CA20,"")))))</f>
        <v/>
      </c>
      <c r="R21" s="335" t="str">
        <f>IF(Umse!$C$24=0,"",IF($A$1="8.1.",'AVH Tab'!BL20,IF($A$1="8.2.",'AVH Tab'!BT20,IF($A$1="8.3.",'AVH Tab'!CB20,IF($A$1="8.4.",'AVH Tab'!CB20,"")))))</f>
        <v/>
      </c>
      <c r="T21" s="323"/>
      <c r="U21" s="323"/>
      <c r="V21" s="332"/>
      <c r="W21" s="363"/>
      <c r="X21" s="431"/>
      <c r="Y21" s="431"/>
      <c r="Z21" s="431" t="s">
        <v>6</v>
      </c>
      <c r="AA21" s="431">
        <v>1</v>
      </c>
    </row>
    <row r="22" spans="2:27" ht="11.25" customHeight="1">
      <c r="J22" s="329"/>
      <c r="V22" s="332"/>
      <c r="W22" s="363"/>
      <c r="X22" s="431"/>
      <c r="Y22" s="431"/>
      <c r="Z22" s="431"/>
      <c r="AA22" s="431" t="str">
        <f>""</f>
        <v/>
      </c>
    </row>
    <row r="23" spans="2:27" ht="11.25" customHeight="1">
      <c r="B23" s="332" t="str">
        <f t="shared" si="1"/>
        <v/>
      </c>
      <c r="C23" s="367" t="str">
        <f t="shared" si="1"/>
        <v/>
      </c>
      <c r="D23" s="343" t="str">
        <f t="shared" si="2"/>
        <v/>
      </c>
      <c r="E23" s="343" t="str">
        <f t="shared" si="2"/>
        <v/>
      </c>
      <c r="F23" s="343" t="str">
        <f t="shared" si="2"/>
        <v/>
      </c>
      <c r="G23" s="343" t="str">
        <f t="shared" si="2"/>
        <v/>
      </c>
      <c r="H23" s="343" t="str">
        <f t="shared" si="2"/>
        <v/>
      </c>
      <c r="I23" s="343" t="str">
        <f t="shared" si="2"/>
        <v/>
      </c>
      <c r="J23" s="333" t="str">
        <f>""</f>
        <v/>
      </c>
      <c r="K23" s="331" t="str">
        <f>""</f>
        <v/>
      </c>
      <c r="L23" s="363" t="str">
        <f>""</f>
        <v/>
      </c>
      <c r="M23" s="335" t="str">
        <f>""</f>
        <v/>
      </c>
      <c r="N23" s="335" t="str">
        <f>""</f>
        <v/>
      </c>
      <c r="O23" s="335" t="str">
        <f>""</f>
        <v/>
      </c>
      <c r="P23" s="335" t="str">
        <f>""</f>
        <v/>
      </c>
      <c r="Q23" s="335" t="str">
        <f>""</f>
        <v/>
      </c>
      <c r="R23" s="335" t="str">
        <f>""</f>
        <v/>
      </c>
      <c r="T23" s="323"/>
      <c r="U23" s="323"/>
      <c r="V23" s="332"/>
      <c r="W23" s="363"/>
      <c r="X23" s="431"/>
      <c r="Y23" s="431"/>
      <c r="Z23" s="431"/>
      <c r="AA23" s="431"/>
    </row>
    <row r="24" spans="2:27" ht="11.25" customHeight="1">
      <c r="J24" s="333" t="str">
        <f>""</f>
        <v/>
      </c>
    </row>
    <row r="25" spans="2:27" ht="11.25" customHeight="1">
      <c r="B25" s="324"/>
      <c r="C25" s="325"/>
      <c r="D25" s="326" t="str">
        <f>IF(A1=0,"","Zeitzuschläge")</f>
        <v>Zeitzuschläge</v>
      </c>
      <c r="E25" s="325"/>
      <c r="F25" s="325"/>
      <c r="G25" s="325"/>
      <c r="H25" s="325"/>
      <c r="I25" s="327"/>
      <c r="J25" s="333" t="str">
        <f>""</f>
        <v/>
      </c>
    </row>
    <row r="26" spans="2:27" ht="11.25" customHeight="1">
      <c r="B26" s="677" t="s">
        <v>192</v>
      </c>
      <c r="C26" s="685"/>
      <c r="D26" s="688" t="s">
        <v>498</v>
      </c>
      <c r="E26" s="687" t="s">
        <v>392</v>
      </c>
      <c r="F26" s="687" t="s">
        <v>21</v>
      </c>
      <c r="G26" s="683" t="s">
        <v>190</v>
      </c>
      <c r="H26" s="683" t="s">
        <v>191</v>
      </c>
      <c r="I26" s="687" t="s">
        <v>393</v>
      </c>
      <c r="J26" s="333" t="str">
        <f>""</f>
        <v/>
      </c>
    </row>
    <row r="27" spans="2:27" ht="11.25" customHeight="1">
      <c r="B27" s="686"/>
      <c r="C27" s="686"/>
      <c r="D27" s="689"/>
      <c r="E27" s="679"/>
      <c r="F27" s="679"/>
      <c r="G27" s="679"/>
      <c r="H27" s="679"/>
      <c r="I27" s="679"/>
      <c r="J27" s="333" t="str">
        <f>""</f>
        <v/>
      </c>
    </row>
    <row r="28" spans="2:27" ht="11.25" customHeight="1">
      <c r="B28" s="686"/>
      <c r="C28" s="686"/>
      <c r="D28" s="689"/>
      <c r="E28" s="679"/>
      <c r="F28" s="679"/>
      <c r="G28" s="679"/>
      <c r="H28" s="679"/>
      <c r="I28" s="679"/>
      <c r="J28" s="333" t="str">
        <f>""</f>
        <v/>
      </c>
    </row>
    <row r="29" spans="2:27" ht="11.25" customHeight="1">
      <c r="B29" s="686"/>
      <c r="C29" s="686"/>
      <c r="D29" s="689"/>
      <c r="E29" s="679"/>
      <c r="F29" s="679"/>
      <c r="G29" s="679"/>
      <c r="H29" s="679"/>
      <c r="I29" s="679"/>
      <c r="J29" s="333" t="str">
        <f>""</f>
        <v/>
      </c>
    </row>
    <row r="30" spans="2:27" ht="11.25" customHeight="1">
      <c r="B30" s="686"/>
      <c r="C30" s="686"/>
      <c r="D30" s="689"/>
      <c r="E30" s="679"/>
      <c r="F30" s="679"/>
      <c r="G30" s="679"/>
      <c r="H30" s="679"/>
      <c r="I30" s="679"/>
      <c r="J30" s="333" t="str">
        <f>""</f>
        <v/>
      </c>
    </row>
    <row r="31" spans="2:27" ht="11.25" customHeight="1">
      <c r="B31" s="686"/>
      <c r="C31" s="686"/>
      <c r="D31" s="689"/>
      <c r="E31" s="679"/>
      <c r="F31" s="679"/>
      <c r="G31" s="679"/>
      <c r="H31" s="679"/>
      <c r="I31" s="679"/>
      <c r="J31" s="333" t="str">
        <f>""</f>
        <v/>
      </c>
      <c r="K31" s="329" t="str">
        <f>$A$6</f>
        <v/>
      </c>
      <c r="M31" s="329" t="str">
        <f t="shared" ref="M31:R34" si="3">$A$6</f>
        <v/>
      </c>
      <c r="N31" s="329" t="str">
        <f t="shared" si="3"/>
        <v/>
      </c>
      <c r="O31" s="329" t="str">
        <f t="shared" si="3"/>
        <v/>
      </c>
      <c r="P31" s="329" t="str">
        <f t="shared" si="3"/>
        <v/>
      </c>
      <c r="Q31" s="329" t="str">
        <f t="shared" si="3"/>
        <v/>
      </c>
      <c r="R31" s="329" t="str">
        <f t="shared" si="3"/>
        <v/>
      </c>
    </row>
    <row r="32" spans="2:27" ht="11.25" customHeight="1">
      <c r="B32" s="686"/>
      <c r="C32" s="686"/>
      <c r="D32" s="689"/>
      <c r="E32" s="679"/>
      <c r="F32" s="679"/>
      <c r="G32" s="679"/>
      <c r="H32" s="679"/>
      <c r="I32" s="679"/>
      <c r="J32" s="333" t="str">
        <f>""</f>
        <v/>
      </c>
      <c r="K32" s="329" t="str">
        <f>$A$6</f>
        <v/>
      </c>
      <c r="M32" s="329" t="str">
        <f t="shared" si="3"/>
        <v/>
      </c>
      <c r="N32" s="329" t="str">
        <f t="shared" si="3"/>
        <v/>
      </c>
      <c r="O32" s="329" t="str">
        <f t="shared" si="3"/>
        <v/>
      </c>
      <c r="P32" s="329" t="str">
        <f t="shared" si="3"/>
        <v/>
      </c>
      <c r="Q32" s="329" t="str">
        <f t="shared" si="3"/>
        <v/>
      </c>
      <c r="R32" s="329" t="str">
        <f t="shared" si="3"/>
        <v/>
      </c>
    </row>
    <row r="33" spans="1:18" ht="11.25" customHeight="1">
      <c r="B33" s="686"/>
      <c r="C33" s="686"/>
      <c r="D33" s="689"/>
      <c r="E33" s="679"/>
      <c r="F33" s="679"/>
      <c r="G33" s="679"/>
      <c r="H33" s="679"/>
      <c r="I33" s="679"/>
      <c r="J33" s="333" t="str">
        <f>""</f>
        <v/>
      </c>
      <c r="K33" s="329" t="str">
        <f>$A$6</f>
        <v/>
      </c>
      <c r="M33" s="329" t="str">
        <f t="shared" si="3"/>
        <v/>
      </c>
      <c r="N33" s="329" t="str">
        <f t="shared" si="3"/>
        <v/>
      </c>
      <c r="O33" s="329" t="str">
        <f t="shared" si="3"/>
        <v/>
      </c>
      <c r="P33" s="329" t="str">
        <f t="shared" si="3"/>
        <v/>
      </c>
      <c r="Q33" s="329" t="str">
        <f t="shared" si="3"/>
        <v/>
      </c>
      <c r="R33" s="329" t="str">
        <f t="shared" si="3"/>
        <v/>
      </c>
    </row>
    <row r="34" spans="1:18" ht="11.25" customHeight="1">
      <c r="B34" s="686"/>
      <c r="C34" s="686"/>
      <c r="D34" s="689"/>
      <c r="E34" s="679"/>
      <c r="F34" s="679"/>
      <c r="G34" s="679"/>
      <c r="H34" s="679"/>
      <c r="I34" s="679"/>
      <c r="J34" s="333" t="str">
        <f>""</f>
        <v/>
      </c>
      <c r="K34" s="329" t="str">
        <f>$A$6</f>
        <v/>
      </c>
      <c r="M34" s="329" t="str">
        <f t="shared" si="3"/>
        <v/>
      </c>
      <c r="N34" s="329" t="str">
        <f t="shared" si="3"/>
        <v/>
      </c>
      <c r="O34" s="329" t="str">
        <f t="shared" si="3"/>
        <v/>
      </c>
      <c r="P34" s="329" t="str">
        <f t="shared" si="3"/>
        <v/>
      </c>
      <c r="Q34" s="329" t="str">
        <f t="shared" si="3"/>
        <v/>
      </c>
      <c r="R34" s="329" t="str">
        <f t="shared" si="3"/>
        <v/>
      </c>
    </row>
    <row r="35" spans="1:18" ht="11.25" customHeight="1">
      <c r="B35" s="686"/>
      <c r="C35" s="686"/>
      <c r="D35" s="689"/>
      <c r="E35" s="679"/>
      <c r="F35" s="679"/>
      <c r="G35" s="679"/>
      <c r="H35" s="679"/>
      <c r="I35" s="679"/>
      <c r="J35" s="333" t="str">
        <f>""</f>
        <v/>
      </c>
      <c r="K35" s="339"/>
      <c r="L35" s="340"/>
      <c r="M35" s="341" t="str">
        <f>IF(A1=0,"","Überstundenentgelt")</f>
        <v>Überstundenentgelt</v>
      </c>
      <c r="N35" s="340"/>
      <c r="O35" s="340"/>
      <c r="P35" s="340"/>
      <c r="Q35" s="340"/>
      <c r="R35" s="342"/>
    </row>
    <row r="36" spans="1:18" ht="21.75" customHeight="1">
      <c r="A36" s="328" t="s">
        <v>9</v>
      </c>
      <c r="B36" s="367" t="str">
        <f t="shared" ref="B36:C57" si="4">K2</f>
        <v/>
      </c>
      <c r="C36" s="331"/>
      <c r="D36" s="349" t="s">
        <v>221</v>
      </c>
      <c r="E36" s="350">
        <v>0.2</v>
      </c>
      <c r="F36" s="350">
        <v>0.25</v>
      </c>
      <c r="G36" s="350">
        <v>0.35</v>
      </c>
      <c r="H36" s="350">
        <v>1.35</v>
      </c>
      <c r="I36" s="350">
        <v>0.35</v>
      </c>
      <c r="J36" s="333" t="str">
        <f>""</f>
        <v/>
      </c>
      <c r="K36" s="367" t="str">
        <f t="shared" ref="K36:L51" si="5">K2</f>
        <v/>
      </c>
      <c r="L36" s="331"/>
      <c r="M36" s="332" t="s">
        <v>7</v>
      </c>
      <c r="N36" s="332" t="s">
        <v>8</v>
      </c>
      <c r="O36" s="332" t="s">
        <v>9</v>
      </c>
      <c r="P36" s="332" t="s">
        <v>10</v>
      </c>
      <c r="Q36" s="332" t="s">
        <v>11</v>
      </c>
      <c r="R36" s="332" t="s">
        <v>12</v>
      </c>
    </row>
    <row r="37" spans="1:18" ht="11.25" customHeight="1">
      <c r="A37" s="328" t="str">
        <f>IF(O3="-","-",IF(O3="","",FIXED(ROUND(O3/$A$5,2),2)))</f>
        <v/>
      </c>
      <c r="B37" s="332" t="str">
        <f t="shared" si="4"/>
        <v/>
      </c>
      <c r="C37" s="367" t="str">
        <f t="shared" si="4"/>
        <v/>
      </c>
      <c r="D37" s="343" t="str">
        <f t="shared" ref="D37:D44" si="6">IF(F3="","",ROUND(F3*0.15,2))</f>
        <v/>
      </c>
      <c r="E37" s="343" t="str">
        <f t="shared" ref="E37:E53" si="7">IF(F3="","",ROUND(F3*$E$36,2))</f>
        <v/>
      </c>
      <c r="F37" s="343" t="str">
        <f t="shared" ref="F37:F57" si="8">IF(F3="","",ROUND(F3*$F$36,2))</f>
        <v/>
      </c>
      <c r="G37" s="343" t="str">
        <f t="shared" ref="G37:G53" si="9">IF(F3="","",ROUND(F3*$G$36,2))</f>
        <v/>
      </c>
      <c r="H37" s="343" t="str">
        <f t="shared" ref="H37:H53" si="10">IF(F3="","",ROUND(F3*$H$36,2))</f>
        <v/>
      </c>
      <c r="I37" s="343" t="str">
        <f t="shared" ref="I37:I53" si="11">IF(F3="","",ROUND(F3*$I$36,2))</f>
        <v/>
      </c>
      <c r="J37" s="333" t="str">
        <f>""</f>
        <v/>
      </c>
      <c r="K37" s="332" t="str">
        <f t="shared" si="5"/>
        <v/>
      </c>
      <c r="L37" s="367" t="str">
        <f t="shared" si="5"/>
        <v/>
      </c>
      <c r="M37" s="344" t="str">
        <f>IF(M3="-","-",IF(M3="","",D3+D37))</f>
        <v/>
      </c>
      <c r="N37" s="344" t="str">
        <f t="shared" ref="N37:N57" si="12">IF(N3="-","-",IF(N3="","",E3+D37))</f>
        <v/>
      </c>
      <c r="O37" s="344" t="str">
        <f t="shared" ref="O37:O57" si="13">IF(O3="-","-",IF(O3="","",F3+D37))</f>
        <v/>
      </c>
      <c r="P37" s="344" t="str">
        <f t="shared" ref="P37:P57" si="14">IF(P3="-","-",IF(P3="","",G3+D37))</f>
        <v/>
      </c>
      <c r="Q37" s="351" t="str">
        <f>P37</f>
        <v/>
      </c>
      <c r="R37" s="351" t="str">
        <f>P37</f>
        <v/>
      </c>
    </row>
    <row r="38" spans="1:18" ht="11.25" customHeight="1">
      <c r="A38" s="328" t="str">
        <f t="shared" ref="A38:A55" si="15">IF(O4="-","-",IF(O4="","",FIXED(ROUND(O4/$A$5,2),2)))</f>
        <v/>
      </c>
      <c r="B38" s="332" t="str">
        <f t="shared" si="4"/>
        <v/>
      </c>
      <c r="C38" s="367" t="str">
        <f t="shared" si="4"/>
        <v/>
      </c>
      <c r="D38" s="343" t="str">
        <f t="shared" si="6"/>
        <v/>
      </c>
      <c r="E38" s="343" t="str">
        <f t="shared" si="7"/>
        <v/>
      </c>
      <c r="F38" s="343" t="str">
        <f t="shared" si="8"/>
        <v/>
      </c>
      <c r="G38" s="343" t="str">
        <f t="shared" si="9"/>
        <v/>
      </c>
      <c r="H38" s="343" t="str">
        <f t="shared" si="10"/>
        <v/>
      </c>
      <c r="I38" s="343" t="str">
        <f t="shared" si="11"/>
        <v/>
      </c>
      <c r="J38" s="333" t="str">
        <f>""</f>
        <v/>
      </c>
      <c r="K38" s="332" t="str">
        <f t="shared" si="5"/>
        <v/>
      </c>
      <c r="L38" s="367" t="str">
        <f t="shared" si="5"/>
        <v/>
      </c>
      <c r="M38" s="344" t="str">
        <f t="shared" ref="M38:M57" si="16">IF(M4="-","-",IF(M4="","",D4+D38))</f>
        <v/>
      </c>
      <c r="N38" s="344" t="str">
        <f t="shared" si="12"/>
        <v/>
      </c>
      <c r="O38" s="344" t="str">
        <f t="shared" si="13"/>
        <v/>
      </c>
      <c r="P38" s="344" t="str">
        <f t="shared" si="14"/>
        <v/>
      </c>
      <c r="Q38" s="351" t="str">
        <f t="shared" ref="Q38:Q53" si="17">P38</f>
        <v/>
      </c>
      <c r="R38" s="351" t="str">
        <f t="shared" ref="R38:R53" si="18">P38</f>
        <v/>
      </c>
    </row>
    <row r="39" spans="1:18" ht="11.25" customHeight="1">
      <c r="A39" s="328" t="str">
        <f t="shared" si="15"/>
        <v/>
      </c>
      <c r="B39" s="332" t="str">
        <f t="shared" si="4"/>
        <v/>
      </c>
      <c r="C39" s="367" t="str">
        <f t="shared" si="4"/>
        <v/>
      </c>
      <c r="D39" s="343" t="str">
        <f t="shared" si="6"/>
        <v/>
      </c>
      <c r="E39" s="343" t="str">
        <f t="shared" si="7"/>
        <v/>
      </c>
      <c r="F39" s="343" t="str">
        <f t="shared" si="8"/>
        <v/>
      </c>
      <c r="G39" s="343" t="str">
        <f t="shared" si="9"/>
        <v/>
      </c>
      <c r="H39" s="343" t="str">
        <f t="shared" si="10"/>
        <v/>
      </c>
      <c r="I39" s="343" t="str">
        <f t="shared" si="11"/>
        <v/>
      </c>
      <c r="J39" s="333" t="str">
        <f>""</f>
        <v/>
      </c>
      <c r="K39" s="332" t="str">
        <f t="shared" si="5"/>
        <v/>
      </c>
      <c r="L39" s="367" t="str">
        <f t="shared" si="5"/>
        <v/>
      </c>
      <c r="M39" s="344" t="str">
        <f t="shared" si="16"/>
        <v/>
      </c>
      <c r="N39" s="344" t="str">
        <f t="shared" si="12"/>
        <v/>
      </c>
      <c r="O39" s="344" t="str">
        <f t="shared" si="13"/>
        <v/>
      </c>
      <c r="P39" s="344" t="str">
        <f t="shared" si="14"/>
        <v/>
      </c>
      <c r="Q39" s="351" t="str">
        <f t="shared" si="17"/>
        <v/>
      </c>
      <c r="R39" s="351" t="str">
        <f t="shared" si="18"/>
        <v/>
      </c>
    </row>
    <row r="40" spans="1:18" ht="11.25" customHeight="1">
      <c r="A40" s="328" t="str">
        <f t="shared" si="15"/>
        <v/>
      </c>
      <c r="B40" s="332" t="str">
        <f t="shared" si="4"/>
        <v/>
      </c>
      <c r="C40" s="367" t="str">
        <f t="shared" si="4"/>
        <v/>
      </c>
      <c r="D40" s="343" t="str">
        <f t="shared" si="6"/>
        <v/>
      </c>
      <c r="E40" s="343" t="str">
        <f t="shared" si="7"/>
        <v/>
      </c>
      <c r="F40" s="343" t="str">
        <f t="shared" si="8"/>
        <v/>
      </c>
      <c r="G40" s="343" t="str">
        <f t="shared" si="9"/>
        <v/>
      </c>
      <c r="H40" s="343" t="str">
        <f t="shared" si="10"/>
        <v/>
      </c>
      <c r="I40" s="343" t="str">
        <f t="shared" si="11"/>
        <v/>
      </c>
      <c r="J40" s="333" t="str">
        <f>""</f>
        <v/>
      </c>
      <c r="K40" s="332" t="str">
        <f t="shared" si="5"/>
        <v/>
      </c>
      <c r="L40" s="367" t="str">
        <f t="shared" si="5"/>
        <v/>
      </c>
      <c r="M40" s="344" t="str">
        <f t="shared" si="16"/>
        <v/>
      </c>
      <c r="N40" s="344" t="str">
        <f t="shared" si="12"/>
        <v/>
      </c>
      <c r="O40" s="344" t="str">
        <f t="shared" si="13"/>
        <v/>
      </c>
      <c r="P40" s="344" t="str">
        <f t="shared" si="14"/>
        <v/>
      </c>
      <c r="Q40" s="351" t="str">
        <f t="shared" si="17"/>
        <v/>
      </c>
      <c r="R40" s="351" t="str">
        <f t="shared" si="18"/>
        <v/>
      </c>
    </row>
    <row r="41" spans="1:18" ht="11.25" customHeight="1">
      <c r="A41" s="328" t="str">
        <f t="shared" si="15"/>
        <v/>
      </c>
      <c r="B41" s="332" t="str">
        <f t="shared" si="4"/>
        <v/>
      </c>
      <c r="C41" s="367" t="str">
        <f t="shared" si="4"/>
        <v/>
      </c>
      <c r="D41" s="343" t="str">
        <f t="shared" si="6"/>
        <v/>
      </c>
      <c r="E41" s="343" t="str">
        <f t="shared" si="7"/>
        <v/>
      </c>
      <c r="F41" s="343" t="str">
        <f t="shared" si="8"/>
        <v/>
      </c>
      <c r="G41" s="343" t="str">
        <f t="shared" si="9"/>
        <v/>
      </c>
      <c r="H41" s="343" t="str">
        <f t="shared" si="10"/>
        <v/>
      </c>
      <c r="I41" s="343" t="str">
        <f t="shared" si="11"/>
        <v/>
      </c>
      <c r="J41" s="333" t="str">
        <f>""</f>
        <v/>
      </c>
      <c r="K41" s="332" t="str">
        <f t="shared" si="5"/>
        <v/>
      </c>
      <c r="L41" s="367" t="str">
        <f t="shared" si="5"/>
        <v/>
      </c>
      <c r="M41" s="344" t="str">
        <f t="shared" si="16"/>
        <v/>
      </c>
      <c r="N41" s="344" t="str">
        <f t="shared" si="12"/>
        <v/>
      </c>
      <c r="O41" s="344" t="str">
        <f t="shared" si="13"/>
        <v/>
      </c>
      <c r="P41" s="344" t="str">
        <f t="shared" si="14"/>
        <v/>
      </c>
      <c r="Q41" s="351" t="str">
        <f t="shared" si="17"/>
        <v/>
      </c>
      <c r="R41" s="351" t="str">
        <f t="shared" si="18"/>
        <v/>
      </c>
    </row>
    <row r="42" spans="1:18" ht="11.25" customHeight="1">
      <c r="A42" s="328" t="str">
        <f t="shared" si="15"/>
        <v/>
      </c>
      <c r="B42" s="332" t="str">
        <f t="shared" si="4"/>
        <v/>
      </c>
      <c r="C42" s="367" t="str">
        <f t="shared" si="4"/>
        <v/>
      </c>
      <c r="D42" s="343" t="str">
        <f t="shared" si="6"/>
        <v/>
      </c>
      <c r="E42" s="343" t="str">
        <f t="shared" si="7"/>
        <v/>
      </c>
      <c r="F42" s="343" t="str">
        <f t="shared" si="8"/>
        <v/>
      </c>
      <c r="G42" s="343" t="str">
        <f t="shared" si="9"/>
        <v/>
      </c>
      <c r="H42" s="343" t="str">
        <f t="shared" si="10"/>
        <v/>
      </c>
      <c r="I42" s="343" t="str">
        <f t="shared" si="11"/>
        <v/>
      </c>
      <c r="J42" s="333" t="str">
        <f>""</f>
        <v/>
      </c>
      <c r="K42" s="332" t="str">
        <f t="shared" si="5"/>
        <v/>
      </c>
      <c r="L42" s="367" t="str">
        <f t="shared" si="5"/>
        <v/>
      </c>
      <c r="M42" s="344" t="str">
        <f t="shared" si="16"/>
        <v/>
      </c>
      <c r="N42" s="344" t="str">
        <f t="shared" si="12"/>
        <v/>
      </c>
      <c r="O42" s="344" t="str">
        <f t="shared" si="13"/>
        <v/>
      </c>
      <c r="P42" s="344" t="str">
        <f t="shared" si="14"/>
        <v/>
      </c>
      <c r="Q42" s="351" t="str">
        <f t="shared" si="17"/>
        <v/>
      </c>
      <c r="R42" s="351" t="str">
        <f t="shared" si="18"/>
        <v/>
      </c>
    </row>
    <row r="43" spans="1:18" ht="11.25" customHeight="1">
      <c r="A43" s="328" t="str">
        <f t="shared" si="15"/>
        <v/>
      </c>
      <c r="B43" s="332" t="str">
        <f t="shared" si="4"/>
        <v/>
      </c>
      <c r="C43" s="367" t="str">
        <f t="shared" si="4"/>
        <v/>
      </c>
      <c r="D43" s="343" t="str">
        <f t="shared" si="6"/>
        <v/>
      </c>
      <c r="E43" s="343" t="str">
        <f t="shared" si="7"/>
        <v/>
      </c>
      <c r="F43" s="343" t="str">
        <f t="shared" si="8"/>
        <v/>
      </c>
      <c r="G43" s="343" t="str">
        <f t="shared" si="9"/>
        <v/>
      </c>
      <c r="H43" s="343" t="str">
        <f t="shared" si="10"/>
        <v/>
      </c>
      <c r="I43" s="343" t="str">
        <f t="shared" si="11"/>
        <v/>
      </c>
      <c r="J43" s="333" t="str">
        <f>""</f>
        <v/>
      </c>
      <c r="K43" s="332" t="str">
        <f t="shared" si="5"/>
        <v/>
      </c>
      <c r="L43" s="367" t="str">
        <f t="shared" si="5"/>
        <v/>
      </c>
      <c r="M43" s="344" t="str">
        <f t="shared" si="16"/>
        <v/>
      </c>
      <c r="N43" s="344" t="str">
        <f t="shared" si="12"/>
        <v/>
      </c>
      <c r="O43" s="344" t="str">
        <f t="shared" si="13"/>
        <v/>
      </c>
      <c r="P43" s="344" t="str">
        <f t="shared" si="14"/>
        <v/>
      </c>
      <c r="Q43" s="351" t="str">
        <f t="shared" si="17"/>
        <v/>
      </c>
      <c r="R43" s="351" t="str">
        <f t="shared" si="18"/>
        <v/>
      </c>
    </row>
    <row r="44" spans="1:18" ht="11.25" customHeight="1">
      <c r="A44" s="328" t="str">
        <f t="shared" si="15"/>
        <v/>
      </c>
      <c r="B44" s="332" t="str">
        <f t="shared" si="4"/>
        <v/>
      </c>
      <c r="C44" s="367" t="str">
        <f t="shared" si="4"/>
        <v/>
      </c>
      <c r="D44" s="432" t="str">
        <f t="shared" si="6"/>
        <v/>
      </c>
      <c r="E44" s="343" t="str">
        <f t="shared" si="7"/>
        <v/>
      </c>
      <c r="F44" s="343" t="str">
        <f t="shared" si="8"/>
        <v/>
      </c>
      <c r="G44" s="343" t="str">
        <f t="shared" si="9"/>
        <v/>
      </c>
      <c r="H44" s="343" t="str">
        <f t="shared" si="10"/>
        <v/>
      </c>
      <c r="I44" s="343" t="str">
        <f t="shared" si="11"/>
        <v/>
      </c>
      <c r="J44" s="333" t="str">
        <f>""</f>
        <v/>
      </c>
      <c r="K44" s="332" t="str">
        <f t="shared" si="5"/>
        <v/>
      </c>
      <c r="L44" s="367" t="str">
        <f t="shared" si="5"/>
        <v/>
      </c>
      <c r="M44" s="344" t="str">
        <f t="shared" si="16"/>
        <v/>
      </c>
      <c r="N44" s="344" t="str">
        <f t="shared" si="12"/>
        <v/>
      </c>
      <c r="O44" s="344" t="str">
        <f t="shared" si="13"/>
        <v/>
      </c>
      <c r="P44" s="344" t="str">
        <f t="shared" si="14"/>
        <v/>
      </c>
      <c r="Q44" s="351" t="str">
        <f t="shared" si="17"/>
        <v/>
      </c>
      <c r="R44" s="351" t="str">
        <f t="shared" si="18"/>
        <v/>
      </c>
    </row>
    <row r="45" spans="1:18" ht="11.25" customHeight="1">
      <c r="A45" s="328" t="str">
        <f t="shared" si="15"/>
        <v/>
      </c>
      <c r="B45" s="332" t="str">
        <f t="shared" si="4"/>
        <v/>
      </c>
      <c r="C45" s="367" t="str">
        <f t="shared" si="4"/>
        <v/>
      </c>
      <c r="D45" s="343" t="str">
        <f t="shared" ref="D45:D57" si="19">IF(F11="","",ROUND(F11*0.3,2))</f>
        <v/>
      </c>
      <c r="E45" s="343" t="str">
        <f t="shared" si="7"/>
        <v/>
      </c>
      <c r="F45" s="343" t="str">
        <f t="shared" si="8"/>
        <v/>
      </c>
      <c r="G45" s="343" t="str">
        <f t="shared" si="9"/>
        <v/>
      </c>
      <c r="H45" s="343" t="str">
        <f t="shared" si="10"/>
        <v/>
      </c>
      <c r="I45" s="343" t="str">
        <f t="shared" si="11"/>
        <v/>
      </c>
      <c r="J45" s="333" t="str">
        <f>""</f>
        <v/>
      </c>
      <c r="K45" s="332" t="str">
        <f t="shared" si="5"/>
        <v/>
      </c>
      <c r="L45" s="367" t="str">
        <f t="shared" si="5"/>
        <v/>
      </c>
      <c r="M45" s="344" t="str">
        <f t="shared" si="16"/>
        <v/>
      </c>
      <c r="N45" s="344" t="str">
        <f t="shared" si="12"/>
        <v/>
      </c>
      <c r="O45" s="344" t="str">
        <f t="shared" si="13"/>
        <v/>
      </c>
      <c r="P45" s="344" t="str">
        <f t="shared" si="14"/>
        <v/>
      </c>
      <c r="Q45" s="351" t="str">
        <f t="shared" si="17"/>
        <v/>
      </c>
      <c r="R45" s="351" t="str">
        <f t="shared" si="18"/>
        <v/>
      </c>
    </row>
    <row r="46" spans="1:18" ht="11.25" customHeight="1">
      <c r="A46" s="328" t="str">
        <f t="shared" si="15"/>
        <v/>
      </c>
      <c r="B46" s="332" t="str">
        <f t="shared" si="4"/>
        <v/>
      </c>
      <c r="C46" s="367" t="str">
        <f t="shared" si="4"/>
        <v/>
      </c>
      <c r="D46" s="343" t="str">
        <f t="shared" si="19"/>
        <v/>
      </c>
      <c r="E46" s="343" t="str">
        <f t="shared" si="7"/>
        <v/>
      </c>
      <c r="F46" s="343" t="str">
        <f t="shared" si="8"/>
        <v/>
      </c>
      <c r="G46" s="343" t="str">
        <f t="shared" si="9"/>
        <v/>
      </c>
      <c r="H46" s="343" t="str">
        <f t="shared" si="10"/>
        <v/>
      </c>
      <c r="I46" s="343" t="str">
        <f t="shared" si="11"/>
        <v/>
      </c>
      <c r="J46" s="333" t="str">
        <f>""</f>
        <v/>
      </c>
      <c r="K46" s="332" t="str">
        <f t="shared" si="5"/>
        <v/>
      </c>
      <c r="L46" s="367" t="str">
        <f t="shared" si="5"/>
        <v/>
      </c>
      <c r="M46" s="344" t="str">
        <f t="shared" si="16"/>
        <v/>
      </c>
      <c r="N46" s="344" t="str">
        <f t="shared" si="12"/>
        <v/>
      </c>
      <c r="O46" s="344" t="str">
        <f t="shared" si="13"/>
        <v/>
      </c>
      <c r="P46" s="344" t="str">
        <f>IF(P12="-","-",IF(P12="","",G12+D46))</f>
        <v/>
      </c>
      <c r="Q46" s="351" t="str">
        <f t="shared" si="17"/>
        <v/>
      </c>
      <c r="R46" s="351" t="str">
        <f t="shared" si="18"/>
        <v/>
      </c>
    </row>
    <row r="47" spans="1:18" ht="11.25" customHeight="1">
      <c r="A47" s="328" t="str">
        <f t="shared" si="15"/>
        <v/>
      </c>
      <c r="B47" s="332" t="str">
        <f t="shared" si="4"/>
        <v/>
      </c>
      <c r="C47" s="367" t="str">
        <f t="shared" si="4"/>
        <v/>
      </c>
      <c r="D47" s="343" t="str">
        <f t="shared" si="19"/>
        <v/>
      </c>
      <c r="E47" s="343" t="str">
        <f t="shared" si="7"/>
        <v/>
      </c>
      <c r="F47" s="343" t="str">
        <f t="shared" si="8"/>
        <v/>
      </c>
      <c r="G47" s="343" t="str">
        <f t="shared" si="9"/>
        <v/>
      </c>
      <c r="H47" s="343" t="str">
        <f t="shared" si="10"/>
        <v/>
      </c>
      <c r="I47" s="343" t="str">
        <f t="shared" si="11"/>
        <v/>
      </c>
      <c r="J47" s="333" t="str">
        <f>""</f>
        <v/>
      </c>
      <c r="K47" s="332" t="str">
        <f t="shared" si="5"/>
        <v/>
      </c>
      <c r="L47" s="367" t="str">
        <f t="shared" si="5"/>
        <v/>
      </c>
      <c r="M47" s="344" t="str">
        <f t="shared" si="16"/>
        <v/>
      </c>
      <c r="N47" s="344" t="str">
        <f t="shared" si="12"/>
        <v/>
      </c>
      <c r="O47" s="344" t="str">
        <f t="shared" si="13"/>
        <v/>
      </c>
      <c r="P47" s="344" t="str">
        <f t="shared" si="14"/>
        <v/>
      </c>
      <c r="Q47" s="351" t="str">
        <f t="shared" si="17"/>
        <v/>
      </c>
      <c r="R47" s="351" t="str">
        <f t="shared" si="18"/>
        <v/>
      </c>
    </row>
    <row r="48" spans="1:18" ht="11.25" customHeight="1">
      <c r="A48" s="328" t="str">
        <f t="shared" si="15"/>
        <v/>
      </c>
      <c r="B48" s="332" t="str">
        <f t="shared" si="4"/>
        <v/>
      </c>
      <c r="C48" s="367" t="str">
        <f t="shared" si="4"/>
        <v/>
      </c>
      <c r="D48" s="343" t="str">
        <f t="shared" si="19"/>
        <v/>
      </c>
      <c r="E48" s="343" t="str">
        <f t="shared" si="7"/>
        <v/>
      </c>
      <c r="F48" s="343" t="str">
        <f t="shared" si="8"/>
        <v/>
      </c>
      <c r="G48" s="343" t="str">
        <f t="shared" si="9"/>
        <v/>
      </c>
      <c r="H48" s="343" t="str">
        <f t="shared" si="10"/>
        <v/>
      </c>
      <c r="I48" s="343" t="str">
        <f t="shared" si="11"/>
        <v/>
      </c>
      <c r="J48" s="333" t="str">
        <f>""</f>
        <v/>
      </c>
      <c r="K48" s="332" t="str">
        <f t="shared" si="5"/>
        <v/>
      </c>
      <c r="L48" s="367" t="str">
        <f t="shared" si="5"/>
        <v/>
      </c>
      <c r="M48" s="344" t="str">
        <f t="shared" si="16"/>
        <v/>
      </c>
      <c r="N48" s="344" t="str">
        <f t="shared" si="12"/>
        <v/>
      </c>
      <c r="O48" s="344" t="str">
        <f t="shared" si="13"/>
        <v/>
      </c>
      <c r="P48" s="344" t="str">
        <f t="shared" si="14"/>
        <v/>
      </c>
      <c r="Q48" s="351" t="str">
        <f t="shared" si="17"/>
        <v/>
      </c>
      <c r="R48" s="351" t="str">
        <f t="shared" si="18"/>
        <v/>
      </c>
    </row>
    <row r="49" spans="1:18" ht="11.25" customHeight="1">
      <c r="A49" s="328" t="str">
        <f t="shared" si="15"/>
        <v/>
      </c>
      <c r="B49" s="332" t="str">
        <f t="shared" si="4"/>
        <v/>
      </c>
      <c r="C49" s="367" t="str">
        <f t="shared" si="4"/>
        <v/>
      </c>
      <c r="D49" s="343" t="str">
        <f t="shared" si="19"/>
        <v/>
      </c>
      <c r="E49" s="343" t="str">
        <f t="shared" si="7"/>
        <v/>
      </c>
      <c r="F49" s="343" t="str">
        <f t="shared" si="8"/>
        <v/>
      </c>
      <c r="G49" s="343" t="str">
        <f t="shared" si="9"/>
        <v/>
      </c>
      <c r="H49" s="343" t="str">
        <f t="shared" si="10"/>
        <v/>
      </c>
      <c r="I49" s="343" t="str">
        <f t="shared" si="11"/>
        <v/>
      </c>
      <c r="J49" s="333" t="str">
        <f>""</f>
        <v/>
      </c>
      <c r="K49" s="332" t="str">
        <f t="shared" si="5"/>
        <v/>
      </c>
      <c r="L49" s="367" t="str">
        <f t="shared" si="5"/>
        <v/>
      </c>
      <c r="M49" s="344" t="str">
        <f t="shared" si="16"/>
        <v/>
      </c>
      <c r="N49" s="344" t="str">
        <f t="shared" si="12"/>
        <v/>
      </c>
      <c r="O49" s="344" t="str">
        <f t="shared" si="13"/>
        <v/>
      </c>
      <c r="P49" s="344" t="str">
        <f t="shared" si="14"/>
        <v/>
      </c>
      <c r="Q49" s="351" t="str">
        <f t="shared" si="17"/>
        <v/>
      </c>
      <c r="R49" s="351" t="str">
        <f t="shared" si="18"/>
        <v/>
      </c>
    </row>
    <row r="50" spans="1:18" ht="11.25" customHeight="1">
      <c r="A50" s="328" t="str">
        <f t="shared" si="15"/>
        <v/>
      </c>
      <c r="B50" s="332" t="str">
        <f t="shared" si="4"/>
        <v/>
      </c>
      <c r="C50" s="367" t="str">
        <f t="shared" si="4"/>
        <v/>
      </c>
      <c r="D50" s="343" t="str">
        <f t="shared" si="19"/>
        <v/>
      </c>
      <c r="E50" s="343" t="str">
        <f t="shared" si="7"/>
        <v/>
      </c>
      <c r="F50" s="343" t="str">
        <f t="shared" si="8"/>
        <v/>
      </c>
      <c r="G50" s="343" t="str">
        <f t="shared" si="9"/>
        <v/>
      </c>
      <c r="H50" s="343" t="str">
        <f t="shared" si="10"/>
        <v/>
      </c>
      <c r="I50" s="343" t="str">
        <f t="shared" si="11"/>
        <v/>
      </c>
      <c r="J50" s="333" t="str">
        <f>""</f>
        <v/>
      </c>
      <c r="K50" s="332" t="str">
        <f t="shared" si="5"/>
        <v/>
      </c>
      <c r="L50" s="367" t="str">
        <f t="shared" si="5"/>
        <v/>
      </c>
      <c r="M50" s="344" t="str">
        <f t="shared" si="16"/>
        <v/>
      </c>
      <c r="N50" s="344" t="str">
        <f t="shared" si="12"/>
        <v/>
      </c>
      <c r="O50" s="344" t="str">
        <f t="shared" si="13"/>
        <v/>
      </c>
      <c r="P50" s="344" t="str">
        <f t="shared" si="14"/>
        <v/>
      </c>
      <c r="Q50" s="351" t="str">
        <f t="shared" si="17"/>
        <v/>
      </c>
      <c r="R50" s="351" t="str">
        <f t="shared" si="18"/>
        <v/>
      </c>
    </row>
    <row r="51" spans="1:18" ht="11.25" customHeight="1">
      <c r="A51" s="328" t="str">
        <f t="shared" si="15"/>
        <v/>
      </c>
      <c r="B51" s="332" t="str">
        <f t="shared" si="4"/>
        <v/>
      </c>
      <c r="C51" s="367" t="str">
        <f t="shared" si="4"/>
        <v/>
      </c>
      <c r="D51" s="343" t="str">
        <f t="shared" si="19"/>
        <v/>
      </c>
      <c r="E51" s="343" t="str">
        <f t="shared" si="7"/>
        <v/>
      </c>
      <c r="F51" s="343" t="str">
        <f t="shared" si="8"/>
        <v/>
      </c>
      <c r="G51" s="343" t="str">
        <f t="shared" si="9"/>
        <v/>
      </c>
      <c r="H51" s="343" t="str">
        <f t="shared" si="10"/>
        <v/>
      </c>
      <c r="I51" s="343" t="str">
        <f t="shared" si="11"/>
        <v/>
      </c>
      <c r="J51" s="333" t="str">
        <f>""</f>
        <v/>
      </c>
      <c r="K51" s="332" t="str">
        <f t="shared" si="5"/>
        <v/>
      </c>
      <c r="L51" s="367" t="str">
        <f t="shared" si="5"/>
        <v/>
      </c>
      <c r="M51" s="344" t="str">
        <f t="shared" si="16"/>
        <v/>
      </c>
      <c r="N51" s="344" t="str">
        <f t="shared" si="12"/>
        <v/>
      </c>
      <c r="O51" s="344" t="str">
        <f t="shared" si="13"/>
        <v/>
      </c>
      <c r="P51" s="344" t="str">
        <f t="shared" si="14"/>
        <v/>
      </c>
      <c r="Q51" s="351" t="str">
        <f t="shared" si="17"/>
        <v/>
      </c>
      <c r="R51" s="351" t="str">
        <f t="shared" si="18"/>
        <v/>
      </c>
    </row>
    <row r="52" spans="1:18" ht="11.25" customHeight="1">
      <c r="A52" s="328" t="str">
        <f t="shared" si="15"/>
        <v/>
      </c>
      <c r="B52" s="332" t="str">
        <f t="shared" si="4"/>
        <v/>
      </c>
      <c r="C52" s="367" t="str">
        <f t="shared" si="4"/>
        <v/>
      </c>
      <c r="D52" s="343" t="str">
        <f t="shared" si="19"/>
        <v/>
      </c>
      <c r="E52" s="343" t="str">
        <f t="shared" si="7"/>
        <v/>
      </c>
      <c r="F52" s="343" t="str">
        <f t="shared" si="8"/>
        <v/>
      </c>
      <c r="G52" s="343" t="str">
        <f t="shared" si="9"/>
        <v/>
      </c>
      <c r="H52" s="343" t="str">
        <f t="shared" si="10"/>
        <v/>
      </c>
      <c r="I52" s="343" t="str">
        <f t="shared" si="11"/>
        <v/>
      </c>
      <c r="J52" s="333" t="str">
        <f>""</f>
        <v/>
      </c>
      <c r="K52" s="332" t="str">
        <f t="shared" ref="K52:L57" si="20">K18</f>
        <v/>
      </c>
      <c r="L52" s="367" t="str">
        <f t="shared" si="20"/>
        <v/>
      </c>
      <c r="M52" s="344" t="str">
        <f t="shared" si="16"/>
        <v/>
      </c>
      <c r="N52" s="344" t="str">
        <f t="shared" si="12"/>
        <v/>
      </c>
      <c r="O52" s="344" t="str">
        <f t="shared" si="13"/>
        <v/>
      </c>
      <c r="P52" s="344" t="str">
        <f t="shared" si="14"/>
        <v/>
      </c>
      <c r="Q52" s="351" t="str">
        <f t="shared" si="17"/>
        <v/>
      </c>
      <c r="R52" s="351" t="str">
        <f t="shared" si="18"/>
        <v/>
      </c>
    </row>
    <row r="53" spans="1:18" ht="11.25" customHeight="1">
      <c r="A53" s="328" t="str">
        <f t="shared" si="15"/>
        <v/>
      </c>
      <c r="B53" s="332" t="str">
        <f t="shared" si="4"/>
        <v/>
      </c>
      <c r="C53" s="367" t="str">
        <f t="shared" si="4"/>
        <v/>
      </c>
      <c r="D53" s="343" t="str">
        <f t="shared" si="19"/>
        <v/>
      </c>
      <c r="E53" s="343" t="str">
        <f t="shared" si="7"/>
        <v/>
      </c>
      <c r="F53" s="343" t="str">
        <f t="shared" si="8"/>
        <v/>
      </c>
      <c r="G53" s="343" t="str">
        <f t="shared" si="9"/>
        <v/>
      </c>
      <c r="H53" s="343" t="str">
        <f t="shared" si="10"/>
        <v/>
      </c>
      <c r="I53" s="343" t="str">
        <f t="shared" si="11"/>
        <v/>
      </c>
      <c r="J53" s="333" t="str">
        <f>""</f>
        <v/>
      </c>
      <c r="K53" s="332" t="str">
        <f t="shared" si="20"/>
        <v/>
      </c>
      <c r="L53" s="367" t="str">
        <f t="shared" si="20"/>
        <v/>
      </c>
      <c r="M53" s="344" t="str">
        <f t="shared" si="16"/>
        <v/>
      </c>
      <c r="N53" s="344" t="str">
        <f t="shared" si="12"/>
        <v/>
      </c>
      <c r="O53" s="344" t="str">
        <f t="shared" si="13"/>
        <v/>
      </c>
      <c r="P53" s="344" t="str">
        <f t="shared" si="14"/>
        <v/>
      </c>
      <c r="Q53" s="351" t="str">
        <f t="shared" si="17"/>
        <v/>
      </c>
      <c r="R53" s="351" t="str">
        <f t="shared" si="18"/>
        <v/>
      </c>
    </row>
    <row r="54" spans="1:18" ht="11.25" customHeight="1">
      <c r="A54" s="328" t="str">
        <f t="shared" si="15"/>
        <v/>
      </c>
      <c r="B54" s="332" t="str">
        <f t="shared" si="4"/>
        <v/>
      </c>
      <c r="C54" s="367" t="str">
        <f t="shared" si="4"/>
        <v/>
      </c>
      <c r="D54" s="343" t="str">
        <f t="shared" si="19"/>
        <v/>
      </c>
      <c r="E54" s="343" t="str">
        <f>IF(F20="","",ROUND(F20*$E$36,2))</f>
        <v/>
      </c>
      <c r="F54" s="343" t="str">
        <f t="shared" si="8"/>
        <v/>
      </c>
      <c r="G54" s="343" t="str">
        <f>IF(F20="","",ROUND(F20*$G$36,2))</f>
        <v/>
      </c>
      <c r="H54" s="343" t="str">
        <f>IF(F20="","",ROUND(F20*$H$36,2))</f>
        <v/>
      </c>
      <c r="I54" s="343" t="str">
        <f>IF(F20="","",ROUND(F20*$I$36,2))</f>
        <v/>
      </c>
      <c r="J54" s="333" t="str">
        <f>""</f>
        <v/>
      </c>
      <c r="K54" s="332" t="str">
        <f t="shared" si="20"/>
        <v/>
      </c>
      <c r="L54" s="367" t="str">
        <f t="shared" si="20"/>
        <v/>
      </c>
      <c r="M54" s="344" t="str">
        <f t="shared" si="16"/>
        <v/>
      </c>
      <c r="N54" s="344" t="str">
        <f t="shared" si="12"/>
        <v/>
      </c>
      <c r="O54" s="344" t="str">
        <f t="shared" si="13"/>
        <v/>
      </c>
      <c r="P54" s="344" t="str">
        <f t="shared" si="14"/>
        <v/>
      </c>
      <c r="Q54" s="351" t="str">
        <f>P54</f>
        <v/>
      </c>
      <c r="R54" s="351" t="str">
        <f>P54</f>
        <v/>
      </c>
    </row>
    <row r="55" spans="1:18" ht="11.25" customHeight="1">
      <c r="A55" s="328" t="str">
        <f t="shared" si="15"/>
        <v/>
      </c>
      <c r="B55" s="332" t="str">
        <f t="shared" si="4"/>
        <v/>
      </c>
      <c r="C55" s="367" t="str">
        <f t="shared" si="4"/>
        <v/>
      </c>
      <c r="D55" s="343" t="str">
        <f t="shared" si="19"/>
        <v/>
      </c>
      <c r="E55" s="343" t="str">
        <f>IF(F21="","",ROUND(F21*$E$36,2))</f>
        <v/>
      </c>
      <c r="F55" s="343" t="str">
        <f t="shared" si="8"/>
        <v/>
      </c>
      <c r="G55" s="343" t="str">
        <f>IF(F21="","",ROUND(F21*$G$36,2))</f>
        <v/>
      </c>
      <c r="H55" s="343" t="str">
        <f>IF(F21="","",ROUND(F21*$H$36,2))</f>
        <v/>
      </c>
      <c r="I55" s="343" t="str">
        <f>IF(F21="","",ROUND(F21*$I$36,2))</f>
        <v/>
      </c>
      <c r="J55" s="333" t="str">
        <f>""</f>
        <v/>
      </c>
      <c r="K55" s="332" t="str">
        <f t="shared" si="20"/>
        <v/>
      </c>
      <c r="L55" s="367" t="str">
        <f t="shared" si="20"/>
        <v/>
      </c>
      <c r="M55" s="344" t="str">
        <f t="shared" si="16"/>
        <v/>
      </c>
      <c r="N55" s="344" t="str">
        <f t="shared" si="12"/>
        <v/>
      </c>
      <c r="O55" s="344" t="str">
        <f t="shared" si="13"/>
        <v/>
      </c>
      <c r="P55" s="344" t="str">
        <f t="shared" si="14"/>
        <v/>
      </c>
      <c r="Q55" s="351" t="str">
        <f>P55</f>
        <v/>
      </c>
      <c r="R55" s="351" t="str">
        <f>P55</f>
        <v/>
      </c>
    </row>
    <row r="56" spans="1:18" ht="11.25" customHeight="1">
      <c r="J56" s="329"/>
    </row>
    <row r="57" spans="1:18" ht="11.25" customHeight="1">
      <c r="B57" s="332" t="str">
        <f t="shared" si="4"/>
        <v/>
      </c>
      <c r="C57" s="367" t="str">
        <f t="shared" si="4"/>
        <v/>
      </c>
      <c r="D57" s="343" t="str">
        <f t="shared" si="19"/>
        <v/>
      </c>
      <c r="E57" s="343" t="str">
        <f>IF(F23="","",ROUND(F23*$E$36,2))</f>
        <v/>
      </c>
      <c r="F57" s="343" t="str">
        <f t="shared" si="8"/>
        <v/>
      </c>
      <c r="G57" s="343" t="str">
        <f>IF(F23="","",ROUND(F23*$G$36,2))</f>
        <v/>
      </c>
      <c r="H57" s="343" t="str">
        <f>IF(F23="","",ROUND(F23*$H$36,2))</f>
        <v/>
      </c>
      <c r="I57" s="343" t="str">
        <f>IF(F23="","",ROUND(F23*$I$36,2))</f>
        <v/>
      </c>
      <c r="J57" s="333" t="str">
        <f>""</f>
        <v/>
      </c>
      <c r="K57" s="332" t="str">
        <f t="shared" si="20"/>
        <v/>
      </c>
      <c r="L57" s="367" t="str">
        <f t="shared" si="20"/>
        <v/>
      </c>
      <c r="M57" s="344" t="str">
        <f t="shared" si="16"/>
        <v/>
      </c>
      <c r="N57" s="344" t="str">
        <f t="shared" si="12"/>
        <v/>
      </c>
      <c r="O57" s="344" t="str">
        <f t="shared" si="13"/>
        <v/>
      </c>
      <c r="P57" s="344" t="str">
        <f t="shared" si="14"/>
        <v/>
      </c>
      <c r="Q57" s="351" t="str">
        <f>P57</f>
        <v/>
      </c>
      <c r="R57" s="351" t="str">
        <f>P57</f>
        <v/>
      </c>
    </row>
  </sheetData>
  <mergeCells count="7">
    <mergeCell ref="F26:F35"/>
    <mergeCell ref="G26:G35"/>
    <mergeCell ref="H26:H35"/>
    <mergeCell ref="I26:I35"/>
    <mergeCell ref="B26:C35"/>
    <mergeCell ref="D26:D35"/>
    <mergeCell ref="E26:E35"/>
  </mergeCells>
  <phoneticPr fontId="0" type="noConversion"/>
  <pageMargins left="0.78740157499999996" right="0.78740157499999996" top="0.984251969" bottom="0.984251969" header="0.4921259845" footer="0.492125984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C00000"/>
  </sheetPr>
  <dimension ref="A1:CB43"/>
  <sheetViews>
    <sheetView zoomScaleNormal="100" workbookViewId="0">
      <selection activeCell="Q1" sqref="Q1"/>
    </sheetView>
  </sheetViews>
  <sheetFormatPr baseColWidth="10" defaultColWidth="8.5703125" defaultRowHeight="11.25"/>
  <cols>
    <col min="1" max="1" width="23.140625" style="135" customWidth="1"/>
    <col min="2" max="16384" width="8.5703125" style="135"/>
  </cols>
  <sheetData>
    <row r="1" spans="1:80">
      <c r="A1" s="135" t="s">
        <v>272</v>
      </c>
      <c r="B1" s="215">
        <v>2016</v>
      </c>
      <c r="C1" s="74" t="s">
        <v>7</v>
      </c>
      <c r="D1" s="74" t="s">
        <v>8</v>
      </c>
      <c r="E1" s="74" t="s">
        <v>9</v>
      </c>
      <c r="F1" s="74" t="s">
        <v>10</v>
      </c>
      <c r="G1" s="74" t="s">
        <v>11</v>
      </c>
      <c r="H1" s="74" t="s">
        <v>12</v>
      </c>
      <c r="J1" s="215" t="s">
        <v>428</v>
      </c>
      <c r="K1" s="74" t="str">
        <f t="shared" ref="K1:P2" si="0">C1</f>
        <v>Stufe 1</v>
      </c>
      <c r="L1" s="74" t="str">
        <f t="shared" si="0"/>
        <v>Stufe 2</v>
      </c>
      <c r="M1" s="74" t="str">
        <f t="shared" si="0"/>
        <v>Stufe 3</v>
      </c>
      <c r="N1" s="74" t="str">
        <f t="shared" si="0"/>
        <v>Stufe 4</v>
      </c>
      <c r="O1" s="74" t="str">
        <f t="shared" si="0"/>
        <v>Stufe 5</v>
      </c>
      <c r="P1" s="74" t="str">
        <f t="shared" si="0"/>
        <v>Stufe 6</v>
      </c>
      <c r="R1" s="215" t="s">
        <v>429</v>
      </c>
      <c r="S1" s="74" t="str">
        <f t="shared" ref="S1:X1" si="1">K1</f>
        <v>Stufe 1</v>
      </c>
      <c r="T1" s="74" t="str">
        <f t="shared" si="1"/>
        <v>Stufe 2</v>
      </c>
      <c r="U1" s="74" t="str">
        <f t="shared" si="1"/>
        <v>Stufe 3</v>
      </c>
      <c r="V1" s="74" t="str">
        <f t="shared" si="1"/>
        <v>Stufe 4</v>
      </c>
      <c r="W1" s="74" t="str">
        <f t="shared" si="1"/>
        <v>Stufe 5</v>
      </c>
      <c r="X1" s="74" t="str">
        <f t="shared" si="1"/>
        <v>Stufe 6</v>
      </c>
      <c r="Z1" s="215" t="s">
        <v>399</v>
      </c>
      <c r="AA1" s="74" t="str">
        <f t="shared" ref="AA1:AF1" si="2">S1</f>
        <v>Stufe 1</v>
      </c>
      <c r="AB1" s="74" t="str">
        <f t="shared" si="2"/>
        <v>Stufe 2</v>
      </c>
      <c r="AC1" s="74" t="str">
        <f t="shared" si="2"/>
        <v>Stufe 3</v>
      </c>
      <c r="AD1" s="74" t="str">
        <f t="shared" si="2"/>
        <v>Stufe 4</v>
      </c>
      <c r="AE1" s="74" t="str">
        <f t="shared" si="2"/>
        <v>Stufe 5</v>
      </c>
      <c r="AF1" s="74" t="str">
        <f t="shared" si="2"/>
        <v>Stufe 6</v>
      </c>
      <c r="AH1" s="215" t="s">
        <v>400</v>
      </c>
      <c r="AI1" s="74" t="str">
        <f t="shared" ref="AI1:AN1" si="3">AA1</f>
        <v>Stufe 1</v>
      </c>
      <c r="AJ1" s="74" t="str">
        <f t="shared" si="3"/>
        <v>Stufe 2</v>
      </c>
      <c r="AK1" s="74" t="str">
        <f t="shared" si="3"/>
        <v>Stufe 3</v>
      </c>
      <c r="AL1" s="74" t="str">
        <f t="shared" si="3"/>
        <v>Stufe 4</v>
      </c>
      <c r="AM1" s="74" t="str">
        <f t="shared" si="3"/>
        <v>Stufe 5</v>
      </c>
      <c r="AN1" s="74" t="str">
        <f t="shared" si="3"/>
        <v>Stufe 6</v>
      </c>
      <c r="AP1" s="215" t="s">
        <v>442</v>
      </c>
      <c r="AX1" s="215">
        <v>2019</v>
      </c>
      <c r="BF1" s="215" t="s">
        <v>499</v>
      </c>
      <c r="BN1" s="215">
        <v>2021</v>
      </c>
      <c r="BV1" s="215">
        <v>2022</v>
      </c>
    </row>
    <row r="2" spans="1:80">
      <c r="B2" s="74" t="s">
        <v>132</v>
      </c>
      <c r="C2" s="37">
        <v>5390.57</v>
      </c>
      <c r="D2" s="37">
        <v>5982.62</v>
      </c>
      <c r="E2" s="37">
        <v>6543.48</v>
      </c>
      <c r="F2" s="37">
        <v>6917.41</v>
      </c>
      <c r="G2" s="37">
        <v>7004.65</v>
      </c>
      <c r="H2" s="37" t="s">
        <v>15</v>
      </c>
      <c r="I2" s="112"/>
      <c r="J2" s="74" t="str">
        <f>B2</f>
        <v xml:space="preserve">  15Ü</v>
      </c>
      <c r="K2" s="37">
        <f>C2</f>
        <v>5390.57</v>
      </c>
      <c r="L2" s="37">
        <f t="shared" si="0"/>
        <v>5982.62</v>
      </c>
      <c r="M2" s="37">
        <f t="shared" si="0"/>
        <v>6543.48</v>
      </c>
      <c r="N2" s="37">
        <f t="shared" si="0"/>
        <v>6917.41</v>
      </c>
      <c r="O2" s="37">
        <f t="shared" si="0"/>
        <v>7004.65</v>
      </c>
      <c r="P2" s="37" t="str">
        <f t="shared" si="0"/>
        <v>-</v>
      </c>
      <c r="Q2" s="112"/>
      <c r="R2" s="74" t="s">
        <v>13</v>
      </c>
      <c r="S2" s="37">
        <f t="shared" ref="S2:X2" si="4">IF(K2="-","-",ROUND(K2*$S$25,2))</f>
        <v>5517.25</v>
      </c>
      <c r="T2" s="37">
        <f t="shared" si="4"/>
        <v>6123.21</v>
      </c>
      <c r="U2" s="37">
        <f t="shared" si="4"/>
        <v>6697.25</v>
      </c>
      <c r="V2" s="37">
        <f t="shared" si="4"/>
        <v>7079.97</v>
      </c>
      <c r="W2" s="37">
        <f t="shared" si="4"/>
        <v>7169.26</v>
      </c>
      <c r="X2" s="37" t="str">
        <f t="shared" si="4"/>
        <v>-</v>
      </c>
      <c r="Y2" s="112"/>
      <c r="Z2" s="74" t="s">
        <v>13</v>
      </c>
      <c r="AA2" s="112">
        <f>S2</f>
        <v>5517.25</v>
      </c>
      <c r="AB2" s="112">
        <f>T2</f>
        <v>6123.21</v>
      </c>
      <c r="AC2" s="112">
        <f>U2</f>
        <v>6697.25</v>
      </c>
      <c r="AD2" s="112">
        <f>V2</f>
        <v>7079.97</v>
      </c>
      <c r="AE2" s="112">
        <f>W2</f>
        <v>7169.26</v>
      </c>
      <c r="AF2" s="473">
        <f>AE2+AG2</f>
        <v>7276.8</v>
      </c>
      <c r="AG2" s="474">
        <v>107.54</v>
      </c>
      <c r="AH2" s="74" t="s">
        <v>13</v>
      </c>
      <c r="AI2" s="37">
        <v>5693.25</v>
      </c>
      <c r="AJ2" s="37">
        <v>6318.54</v>
      </c>
      <c r="AK2" s="37">
        <v>6910.89</v>
      </c>
      <c r="AL2" s="37">
        <v>7305.82</v>
      </c>
      <c r="AM2" s="37">
        <v>7397.96</v>
      </c>
      <c r="AN2" s="37">
        <v>7508.93</v>
      </c>
      <c r="AQ2" s="37">
        <v>5693.25</v>
      </c>
      <c r="AR2" s="37">
        <v>6318.54</v>
      </c>
      <c r="AS2" s="37">
        <v>6910.89</v>
      </c>
      <c r="AT2" s="37">
        <v>7305.82</v>
      </c>
      <c r="AU2" s="37">
        <v>7397.96</v>
      </c>
      <c r="AV2" s="37">
        <v>7616.47</v>
      </c>
      <c r="AY2" s="37">
        <v>5869.17</v>
      </c>
      <c r="AZ2" s="37">
        <v>6513.78</v>
      </c>
      <c r="BA2" s="37">
        <v>7124.44</v>
      </c>
      <c r="BB2" s="37">
        <v>7531.57</v>
      </c>
      <c r="BC2" s="37">
        <v>7626.56</v>
      </c>
      <c r="BD2" s="37">
        <v>7851.82</v>
      </c>
      <c r="BG2" s="37">
        <v>5931.38</v>
      </c>
      <c r="BH2" s="37">
        <v>6582.83</v>
      </c>
      <c r="BI2" s="37">
        <v>7199.96</v>
      </c>
      <c r="BJ2" s="37">
        <v>7611.4</v>
      </c>
      <c r="BK2" s="37">
        <v>7707.4</v>
      </c>
      <c r="BL2" s="37">
        <v>7935.05</v>
      </c>
      <c r="BO2" s="37">
        <f t="shared" ref="BO2:BT2" si="5">IF(BG2="-","-",IF(ROUND(BG2*$BO$23,2)-BG2&lt;$BO$21,BG2+$BO$21,ROUND(BG2*$BO$23,2)))</f>
        <v>6014.42</v>
      </c>
      <c r="BP2" s="37">
        <f t="shared" si="5"/>
        <v>6674.99</v>
      </c>
      <c r="BQ2" s="37">
        <f t="shared" si="5"/>
        <v>7300.76</v>
      </c>
      <c r="BR2" s="37">
        <f t="shared" si="5"/>
        <v>7717.96</v>
      </c>
      <c r="BS2" s="37">
        <f t="shared" si="5"/>
        <v>7815.3</v>
      </c>
      <c r="BT2" s="37">
        <f t="shared" si="5"/>
        <v>8046.14</v>
      </c>
      <c r="BW2" s="37">
        <f t="shared" ref="BW2:CB2" si="6">IF(BO2="-","-",ROUND(BO2*$BW$23,2))</f>
        <v>6122.68</v>
      </c>
      <c r="BX2" s="37">
        <f t="shared" si="6"/>
        <v>6795.14</v>
      </c>
      <c r="BY2" s="37">
        <f t="shared" si="6"/>
        <v>7432.17</v>
      </c>
      <c r="BZ2" s="37">
        <f t="shared" si="6"/>
        <v>7856.88</v>
      </c>
      <c r="CA2" s="37">
        <f t="shared" si="6"/>
        <v>7955.98</v>
      </c>
      <c r="CB2" s="37">
        <f t="shared" si="6"/>
        <v>8190.97</v>
      </c>
    </row>
    <row r="3" spans="1:80">
      <c r="B3" s="74">
        <v>15</v>
      </c>
      <c r="C3" s="37">
        <v>4280.05</v>
      </c>
      <c r="D3" s="37">
        <v>4748.72</v>
      </c>
      <c r="E3" s="37">
        <v>4923.2</v>
      </c>
      <c r="F3" s="37">
        <v>5546.38</v>
      </c>
      <c r="G3" s="37">
        <v>6020</v>
      </c>
      <c r="H3" s="37" t="s">
        <v>15</v>
      </c>
      <c r="I3" s="112"/>
      <c r="J3" s="74">
        <f t="shared" ref="J3:J8" si="7">B3</f>
        <v>15</v>
      </c>
      <c r="K3" s="37">
        <v>4280.05</v>
      </c>
      <c r="L3" s="37">
        <v>4748.72</v>
      </c>
      <c r="M3" s="37">
        <v>4923.2</v>
      </c>
      <c r="N3" s="37">
        <v>5546.38</v>
      </c>
      <c r="O3" s="37">
        <v>6020</v>
      </c>
      <c r="P3" s="37" t="s">
        <v>15</v>
      </c>
      <c r="Q3" s="112"/>
      <c r="R3" s="74">
        <v>15</v>
      </c>
      <c r="S3" s="37">
        <f t="shared" ref="S3:S11" si="8">IF(K3="-","-",ROUND(K3*$S$25,2))</f>
        <v>4380.63</v>
      </c>
      <c r="T3" s="37">
        <f t="shared" ref="T3:T13" si="9">IF(L3="-","-",ROUND(L3*$S$25,2))</f>
        <v>4860.3100000000004</v>
      </c>
      <c r="U3" s="37">
        <f t="shared" ref="U3:U13" si="10">IF(M3="-","-",ROUND(M3*$S$25,2))</f>
        <v>5038.8999999999996</v>
      </c>
      <c r="V3" s="37">
        <f t="shared" ref="V3:V13" si="11">IF(N3="-","-",ROUND(N3*$S$25,2))</f>
        <v>5676.72</v>
      </c>
      <c r="W3" s="37">
        <f t="shared" ref="W3:W13" si="12">IF(O3="-","-",ROUND(O3*$S$25,2))</f>
        <v>6161.47</v>
      </c>
      <c r="X3" s="37" t="str">
        <f t="shared" ref="X3:X11" si="13">IF(P3="-","-",ROUND(P3*$S$25,2))</f>
        <v>-</v>
      </c>
      <c r="Y3" s="112"/>
      <c r="Z3" s="74">
        <v>15</v>
      </c>
      <c r="AA3" s="112">
        <f t="shared" ref="AA3:AA11" si="14">S3</f>
        <v>4380.63</v>
      </c>
      <c r="AB3" s="112">
        <f t="shared" ref="AB3:AB12" si="15">T3</f>
        <v>4860.3100000000004</v>
      </c>
      <c r="AC3" s="112">
        <f t="shared" ref="AC3:AC12" si="16">U3</f>
        <v>5038.8999999999996</v>
      </c>
      <c r="AD3" s="112">
        <f t="shared" ref="AD3:AD12" si="17">V3</f>
        <v>5676.72</v>
      </c>
      <c r="AE3" s="112">
        <f t="shared" ref="AE3:AE11" si="18">W3</f>
        <v>6161.47</v>
      </c>
      <c r="AF3" s="473">
        <f t="shared" ref="AF3:AF11" si="19">AE3+AG3</f>
        <v>6253.89</v>
      </c>
      <c r="AG3" s="474">
        <v>92.42</v>
      </c>
      <c r="AH3" s="74">
        <v>15</v>
      </c>
      <c r="AI3" s="37">
        <v>4584.49</v>
      </c>
      <c r="AJ3" s="37">
        <v>5000.7700000000004</v>
      </c>
      <c r="AK3" s="37">
        <v>5260.14</v>
      </c>
      <c r="AL3" s="37">
        <v>5840.78</v>
      </c>
      <c r="AM3" s="37">
        <v>6339.54</v>
      </c>
      <c r="AN3" s="37">
        <v>6434.63</v>
      </c>
      <c r="AQ3" s="37">
        <v>4584.49</v>
      </c>
      <c r="AR3" s="37">
        <v>5000.7700000000004</v>
      </c>
      <c r="AS3" s="37">
        <v>5260.14</v>
      </c>
      <c r="AT3" s="37">
        <v>5840.78</v>
      </c>
      <c r="AU3" s="37">
        <v>6339.54</v>
      </c>
      <c r="AV3" s="37">
        <v>6527.05</v>
      </c>
      <c r="AY3" s="37">
        <v>4788.3500000000004</v>
      </c>
      <c r="AZ3" s="37">
        <v>5141.2299999999996</v>
      </c>
      <c r="BA3" s="37">
        <v>5481.38</v>
      </c>
      <c r="BB3" s="37">
        <v>6004.84</v>
      </c>
      <c r="BC3" s="37">
        <v>6517.61</v>
      </c>
      <c r="BD3" s="37">
        <v>6710.46</v>
      </c>
      <c r="BG3" s="37">
        <v>4860.3100000000004</v>
      </c>
      <c r="BH3" s="37">
        <v>5190.8100000000004</v>
      </c>
      <c r="BI3" s="37">
        <v>5559.47</v>
      </c>
      <c r="BJ3" s="37">
        <v>6062.74</v>
      </c>
      <c r="BK3" s="37">
        <v>6580.45</v>
      </c>
      <c r="BL3" s="37">
        <v>6774.88</v>
      </c>
      <c r="BO3" s="37">
        <f t="shared" ref="BO3:BO20" si="20">IF(BG3="-","-",IF(ROUND(BG3*$BO$23,2)-BG3&lt;$BO$21,BG3+$BO$21,ROUND(BG3*$BO$23,2)))</f>
        <v>4928.3500000000004</v>
      </c>
      <c r="BP3" s="37">
        <f t="shared" ref="BP3:BP20" si="21">IF(BH3="-","-",IF(ROUND(BH3*$BO$23,2)-BH3&lt;$BO$21,BH3+$BO$21,ROUND(BH3*$BO$23,2)))</f>
        <v>5263.48</v>
      </c>
      <c r="BQ3" s="37">
        <f t="shared" ref="BQ3:BQ20" si="22">IF(BI3="-","-",IF(ROUND(BI3*$BO$23,2)-BI3&lt;$BO$21,BI3+$BO$21,ROUND(BI3*$BO$23,2)))</f>
        <v>5637.3</v>
      </c>
      <c r="BR3" s="37">
        <f t="shared" ref="BR3:BR20" si="23">IF(BJ3="-","-",IF(ROUND(BJ3*$BO$23,2)-BJ3&lt;$BO$21,BJ3+$BO$21,ROUND(BJ3*$BO$23,2)))</f>
        <v>6147.62</v>
      </c>
      <c r="BS3" s="37">
        <f t="shared" ref="BS3:BS20" si="24">IF(BK3="-","-",IF(ROUND(BK3*$BO$23,2)-BK3&lt;$BO$21,BK3+$BO$21,ROUND(BK3*$BO$23,2)))</f>
        <v>6672.58</v>
      </c>
      <c r="BT3" s="37">
        <f t="shared" ref="BT3:BT20" si="25">IF(BL3="-","-",IF(ROUND(BL3*$BO$23,2)-BL3&lt;$BO$21,BL3+$BO$21,ROUND(BL3*$BO$23,2)))</f>
        <v>6869.73</v>
      </c>
      <c r="BW3" s="37">
        <f t="shared" ref="BW3:BW20" si="26">IF(BO3="-","-",ROUND(BO3*$BW$23,2))</f>
        <v>5017.0600000000004</v>
      </c>
      <c r="BX3" s="37">
        <f t="shared" ref="BX3:BX20" si="27">IF(BP3="-","-",ROUND(BP3*$BW$23,2))</f>
        <v>5358.22</v>
      </c>
      <c r="BY3" s="37">
        <f t="shared" ref="BY3:BY20" si="28">IF(BQ3="-","-",ROUND(BQ3*$BW$23,2))</f>
        <v>5738.77</v>
      </c>
      <c r="BZ3" s="37">
        <f t="shared" ref="BZ3:BZ20" si="29">IF(BR3="-","-",ROUND(BR3*$BW$23,2))</f>
        <v>6258.28</v>
      </c>
      <c r="CA3" s="37">
        <f t="shared" ref="CA3:CA20" si="30">IF(BS3="-","-",ROUND(BS3*$BW$23,2))</f>
        <v>6792.69</v>
      </c>
      <c r="CB3" s="37">
        <f t="shared" ref="CB3:CB20" si="31">IF(BT3="-","-",ROUND(BT3*$BW$23,2))</f>
        <v>6993.39</v>
      </c>
    </row>
    <row r="4" spans="1:80">
      <c r="B4" s="74">
        <v>14</v>
      </c>
      <c r="C4" s="37">
        <v>3876.23</v>
      </c>
      <c r="D4" s="37">
        <v>4299.99</v>
      </c>
      <c r="E4" s="37">
        <v>4549.26</v>
      </c>
      <c r="F4" s="37">
        <v>4923.2</v>
      </c>
      <c r="G4" s="37">
        <v>5496.55</v>
      </c>
      <c r="H4" s="37" t="s">
        <v>15</v>
      </c>
      <c r="I4" s="112"/>
      <c r="J4" s="74">
        <f t="shared" si="7"/>
        <v>14</v>
      </c>
      <c r="K4" s="37">
        <v>3876.23</v>
      </c>
      <c r="L4" s="37">
        <v>4299.99</v>
      </c>
      <c r="M4" s="37">
        <v>4549.26</v>
      </c>
      <c r="N4" s="37">
        <v>4923.2</v>
      </c>
      <c r="O4" s="37">
        <v>5496.55</v>
      </c>
      <c r="P4" s="37" t="s">
        <v>15</v>
      </c>
      <c r="Q4" s="112"/>
      <c r="R4" s="74">
        <v>14</v>
      </c>
      <c r="S4" s="37">
        <f t="shared" si="8"/>
        <v>3967.32</v>
      </c>
      <c r="T4" s="37">
        <f t="shared" si="9"/>
        <v>4401.04</v>
      </c>
      <c r="U4" s="37">
        <f t="shared" si="10"/>
        <v>4656.17</v>
      </c>
      <c r="V4" s="37">
        <f t="shared" si="11"/>
        <v>5038.8999999999996</v>
      </c>
      <c r="W4" s="37">
        <f t="shared" si="12"/>
        <v>5625.72</v>
      </c>
      <c r="X4" s="37" t="str">
        <f t="shared" si="13"/>
        <v>-</v>
      </c>
      <c r="Y4" s="112"/>
      <c r="Z4" s="74">
        <v>14</v>
      </c>
      <c r="AA4" s="112">
        <f t="shared" si="14"/>
        <v>3967.32</v>
      </c>
      <c r="AB4" s="112">
        <f t="shared" si="15"/>
        <v>4401.04</v>
      </c>
      <c r="AC4" s="112">
        <f t="shared" si="16"/>
        <v>4656.17</v>
      </c>
      <c r="AD4" s="112">
        <f t="shared" si="17"/>
        <v>5038.8999999999996</v>
      </c>
      <c r="AE4" s="112">
        <f t="shared" si="18"/>
        <v>5625.72</v>
      </c>
      <c r="AF4" s="473">
        <f t="shared" si="19"/>
        <v>5710.1100000000006</v>
      </c>
      <c r="AG4" s="474">
        <v>84.39</v>
      </c>
      <c r="AH4" s="74">
        <v>14</v>
      </c>
      <c r="AI4" s="37">
        <v>4151.6499999999996</v>
      </c>
      <c r="AJ4" s="37">
        <v>4528.2299999999996</v>
      </c>
      <c r="AK4" s="37">
        <v>4841.03</v>
      </c>
      <c r="AL4" s="37">
        <v>5245.42</v>
      </c>
      <c r="AM4" s="37">
        <v>5788.3</v>
      </c>
      <c r="AN4" s="37">
        <v>5877.99</v>
      </c>
      <c r="AQ4" s="37">
        <v>4151.6499999999996</v>
      </c>
      <c r="AR4" s="37">
        <v>4528.2299999999996</v>
      </c>
      <c r="AS4" s="37">
        <v>4841.03</v>
      </c>
      <c r="AT4" s="37">
        <v>5245.42</v>
      </c>
      <c r="AU4" s="37">
        <v>5788.3</v>
      </c>
      <c r="AV4" s="37">
        <v>5962.37</v>
      </c>
      <c r="AY4" s="37">
        <v>4335.9799999999996</v>
      </c>
      <c r="AZ4" s="37">
        <v>4655.42</v>
      </c>
      <c r="BA4" s="37">
        <v>5025.8900000000003</v>
      </c>
      <c r="BB4" s="37">
        <v>5451.94</v>
      </c>
      <c r="BC4" s="37">
        <v>5950.88</v>
      </c>
      <c r="BD4" s="37">
        <v>6132.3</v>
      </c>
      <c r="BG4" s="37">
        <v>4401.04</v>
      </c>
      <c r="BH4" s="37">
        <v>4700.3100000000004</v>
      </c>
      <c r="BI4" s="37">
        <v>5091.13</v>
      </c>
      <c r="BJ4" s="37">
        <v>5524.82</v>
      </c>
      <c r="BK4" s="37">
        <v>6008.27</v>
      </c>
      <c r="BL4" s="37">
        <v>6192.4</v>
      </c>
      <c r="BO4" s="37">
        <f t="shared" si="20"/>
        <v>4462.6499999999996</v>
      </c>
      <c r="BP4" s="37">
        <f t="shared" si="21"/>
        <v>4766.1099999999997</v>
      </c>
      <c r="BQ4" s="37">
        <f t="shared" si="22"/>
        <v>5162.41</v>
      </c>
      <c r="BR4" s="37">
        <f t="shared" si="23"/>
        <v>5602.17</v>
      </c>
      <c r="BS4" s="37">
        <f t="shared" si="24"/>
        <v>6092.39</v>
      </c>
      <c r="BT4" s="37">
        <f t="shared" si="25"/>
        <v>6279.09</v>
      </c>
      <c r="BW4" s="37">
        <f t="shared" si="26"/>
        <v>4542.9799999999996</v>
      </c>
      <c r="BX4" s="37">
        <f t="shared" si="27"/>
        <v>4851.8999999999996</v>
      </c>
      <c r="BY4" s="37">
        <f t="shared" si="28"/>
        <v>5255.33</v>
      </c>
      <c r="BZ4" s="37">
        <f t="shared" si="29"/>
        <v>5703.01</v>
      </c>
      <c r="CA4" s="37">
        <f t="shared" si="30"/>
        <v>6202.05</v>
      </c>
      <c r="CB4" s="37">
        <f t="shared" si="31"/>
        <v>6392.11</v>
      </c>
    </row>
    <row r="5" spans="1:80">
      <c r="B5" s="74">
        <v>13</v>
      </c>
      <c r="C5" s="37">
        <v>3573.37</v>
      </c>
      <c r="D5" s="37">
        <v>3963.48</v>
      </c>
      <c r="E5" s="37">
        <v>4175.38</v>
      </c>
      <c r="F5" s="37">
        <v>4586.6400000000003</v>
      </c>
      <c r="G5" s="37">
        <v>5159.99</v>
      </c>
      <c r="H5" s="37" t="s">
        <v>15</v>
      </c>
      <c r="I5" s="112"/>
      <c r="J5" s="74">
        <f t="shared" si="7"/>
        <v>13</v>
      </c>
      <c r="K5" s="37">
        <v>3573.37</v>
      </c>
      <c r="L5" s="37">
        <v>3963.48</v>
      </c>
      <c r="M5" s="37">
        <v>4175.38</v>
      </c>
      <c r="N5" s="37">
        <v>4586.6400000000003</v>
      </c>
      <c r="O5" s="37">
        <v>5159.99</v>
      </c>
      <c r="P5" s="37" t="s">
        <v>15</v>
      </c>
      <c r="Q5" s="112"/>
      <c r="R5" s="74">
        <v>13</v>
      </c>
      <c r="S5" s="37">
        <f t="shared" si="8"/>
        <v>3657.34</v>
      </c>
      <c r="T5" s="37">
        <f t="shared" si="9"/>
        <v>4056.62</v>
      </c>
      <c r="U5" s="37">
        <f t="shared" si="10"/>
        <v>4273.5</v>
      </c>
      <c r="V5" s="37">
        <f t="shared" si="11"/>
        <v>4694.43</v>
      </c>
      <c r="W5" s="37">
        <f t="shared" si="12"/>
        <v>5281.25</v>
      </c>
      <c r="X5" s="37" t="str">
        <f t="shared" si="13"/>
        <v>-</v>
      </c>
      <c r="Y5" s="112"/>
      <c r="Z5" s="74">
        <v>13</v>
      </c>
      <c r="AA5" s="112">
        <f t="shared" si="14"/>
        <v>3657.34</v>
      </c>
      <c r="AB5" s="112">
        <f t="shared" si="15"/>
        <v>4056.62</v>
      </c>
      <c r="AC5" s="112">
        <f t="shared" si="16"/>
        <v>4273.5</v>
      </c>
      <c r="AD5" s="112">
        <f t="shared" si="17"/>
        <v>4694.43</v>
      </c>
      <c r="AE5" s="112">
        <f t="shared" si="18"/>
        <v>5281.25</v>
      </c>
      <c r="AF5" s="473">
        <f t="shared" si="19"/>
        <v>5360.47</v>
      </c>
      <c r="AG5" s="474">
        <v>79.22</v>
      </c>
      <c r="AH5" s="74">
        <v>13</v>
      </c>
      <c r="AI5" s="37">
        <v>3827.03</v>
      </c>
      <c r="AJ5" s="37">
        <v>4196.0200000000004</v>
      </c>
      <c r="AK5" s="37">
        <v>4479.41</v>
      </c>
      <c r="AL5" s="37">
        <v>4893.7299999999996</v>
      </c>
      <c r="AM5" s="37">
        <v>5433.88</v>
      </c>
      <c r="AN5" s="37">
        <v>5515.39</v>
      </c>
      <c r="AQ5" s="37">
        <v>3827.03</v>
      </c>
      <c r="AR5" s="37">
        <v>4196.0200000000004</v>
      </c>
      <c r="AS5" s="37">
        <v>4479.41</v>
      </c>
      <c r="AT5" s="37">
        <v>4893.7299999999996</v>
      </c>
      <c r="AU5" s="37">
        <v>5433.88</v>
      </c>
      <c r="AV5" s="37">
        <v>5594.61</v>
      </c>
      <c r="AY5" s="37">
        <v>3996.72</v>
      </c>
      <c r="AZ5" s="37">
        <v>4335.42</v>
      </c>
      <c r="BA5" s="37">
        <v>4685.32</v>
      </c>
      <c r="BB5" s="37">
        <v>5093.03</v>
      </c>
      <c r="BC5" s="37">
        <v>5586.51</v>
      </c>
      <c r="BD5" s="37">
        <v>5751.82</v>
      </c>
      <c r="BG5" s="37">
        <v>4056.62</v>
      </c>
      <c r="BH5" s="37">
        <v>4384.6099999999997</v>
      </c>
      <c r="BI5" s="37">
        <v>4757.99</v>
      </c>
      <c r="BJ5" s="37">
        <v>5163.37</v>
      </c>
      <c r="BK5" s="37">
        <v>5640.38</v>
      </c>
      <c r="BL5" s="37">
        <v>5807.04</v>
      </c>
      <c r="BO5" s="37">
        <f t="shared" si="20"/>
        <v>4113.41</v>
      </c>
      <c r="BP5" s="37">
        <f t="shared" si="21"/>
        <v>4445.99</v>
      </c>
      <c r="BQ5" s="37">
        <f t="shared" si="22"/>
        <v>4824.6000000000004</v>
      </c>
      <c r="BR5" s="37">
        <f t="shared" si="23"/>
        <v>5235.66</v>
      </c>
      <c r="BS5" s="37">
        <f t="shared" si="24"/>
        <v>5719.35</v>
      </c>
      <c r="BT5" s="37">
        <f t="shared" si="25"/>
        <v>5888.34</v>
      </c>
      <c r="BW5" s="37">
        <f t="shared" si="26"/>
        <v>4187.45</v>
      </c>
      <c r="BX5" s="37">
        <f t="shared" si="27"/>
        <v>4526.0200000000004</v>
      </c>
      <c r="BY5" s="37">
        <f t="shared" si="28"/>
        <v>4911.4399999999996</v>
      </c>
      <c r="BZ5" s="37">
        <f t="shared" si="29"/>
        <v>5329.9</v>
      </c>
      <c r="CA5" s="37">
        <f t="shared" si="30"/>
        <v>5822.3</v>
      </c>
      <c r="CB5" s="37">
        <f t="shared" si="31"/>
        <v>5994.33</v>
      </c>
    </row>
    <row r="6" spans="1:80">
      <c r="B6" s="74">
        <v>12</v>
      </c>
      <c r="C6" s="37">
        <v>3204.27</v>
      </c>
      <c r="D6" s="37">
        <v>3552.17</v>
      </c>
      <c r="E6" s="37">
        <v>4050.72</v>
      </c>
      <c r="F6" s="37">
        <v>4486.96</v>
      </c>
      <c r="G6" s="37">
        <v>5047.84</v>
      </c>
      <c r="H6" s="37" t="s">
        <v>15</v>
      </c>
      <c r="I6" s="112"/>
      <c r="J6" s="74">
        <f t="shared" si="7"/>
        <v>12</v>
      </c>
      <c r="K6" s="37">
        <v>3204.27</v>
      </c>
      <c r="L6" s="37">
        <v>3552.17</v>
      </c>
      <c r="M6" s="37">
        <v>4050.72</v>
      </c>
      <c r="N6" s="37">
        <v>4486.96</v>
      </c>
      <c r="O6" s="37">
        <v>5047.84</v>
      </c>
      <c r="P6" s="37" t="s">
        <v>15</v>
      </c>
      <c r="Q6" s="112"/>
      <c r="R6" s="74">
        <v>12</v>
      </c>
      <c r="S6" s="37">
        <f t="shared" si="8"/>
        <v>3279.57</v>
      </c>
      <c r="T6" s="37">
        <f t="shared" si="9"/>
        <v>3635.65</v>
      </c>
      <c r="U6" s="37">
        <f t="shared" si="10"/>
        <v>4145.91</v>
      </c>
      <c r="V6" s="37">
        <f t="shared" si="11"/>
        <v>4592.3999999999996</v>
      </c>
      <c r="W6" s="37">
        <f t="shared" si="12"/>
        <v>5166.46</v>
      </c>
      <c r="X6" s="37" t="str">
        <f t="shared" si="13"/>
        <v>-</v>
      </c>
      <c r="Y6" s="112"/>
      <c r="Z6" s="74">
        <v>12</v>
      </c>
      <c r="AA6" s="112">
        <f t="shared" si="14"/>
        <v>3279.57</v>
      </c>
      <c r="AB6" s="112">
        <f t="shared" si="15"/>
        <v>3635.65</v>
      </c>
      <c r="AC6" s="112">
        <f t="shared" si="16"/>
        <v>4145.91</v>
      </c>
      <c r="AD6" s="112">
        <f t="shared" si="17"/>
        <v>4592.3999999999996</v>
      </c>
      <c r="AE6" s="112">
        <f t="shared" si="18"/>
        <v>5166.46</v>
      </c>
      <c r="AF6" s="473">
        <f t="shared" si="19"/>
        <v>5243.96</v>
      </c>
      <c r="AG6" s="474">
        <v>77.5</v>
      </c>
      <c r="AH6" s="74">
        <v>12</v>
      </c>
      <c r="AI6" s="37">
        <v>3430.9</v>
      </c>
      <c r="AJ6" s="37">
        <v>3796.05</v>
      </c>
      <c r="AK6" s="37">
        <v>4276.8999999999996</v>
      </c>
      <c r="AL6" s="37">
        <v>4741.63</v>
      </c>
      <c r="AM6" s="37">
        <v>5315.77</v>
      </c>
      <c r="AN6" s="37">
        <v>5395.51</v>
      </c>
      <c r="AQ6" s="37">
        <v>3430.9</v>
      </c>
      <c r="AR6" s="37">
        <v>3796.05</v>
      </c>
      <c r="AS6" s="37">
        <v>4276.8999999999996</v>
      </c>
      <c r="AT6" s="37">
        <v>4741.63</v>
      </c>
      <c r="AU6" s="37">
        <v>5315.77</v>
      </c>
      <c r="AV6" s="37">
        <v>5473</v>
      </c>
      <c r="AY6" s="37">
        <v>3582.23</v>
      </c>
      <c r="AZ6" s="37">
        <v>3956.45</v>
      </c>
      <c r="BA6" s="37">
        <v>4407.8900000000003</v>
      </c>
      <c r="BB6" s="37">
        <v>4890.8599999999997</v>
      </c>
      <c r="BC6" s="37">
        <v>5465.08</v>
      </c>
      <c r="BD6" s="37">
        <v>5626.79</v>
      </c>
      <c r="BG6" s="37">
        <v>3635.65</v>
      </c>
      <c r="BH6" s="37">
        <v>4013.07</v>
      </c>
      <c r="BI6" s="37">
        <v>4454.13</v>
      </c>
      <c r="BJ6" s="37">
        <v>4943.53</v>
      </c>
      <c r="BK6" s="37">
        <v>5517.78</v>
      </c>
      <c r="BL6" s="37">
        <v>5680.81</v>
      </c>
      <c r="BO6" s="37">
        <f t="shared" si="20"/>
        <v>3686.55</v>
      </c>
      <c r="BP6" s="37">
        <f t="shared" si="21"/>
        <v>4069.25</v>
      </c>
      <c r="BQ6" s="37">
        <f t="shared" si="22"/>
        <v>4516.49</v>
      </c>
      <c r="BR6" s="37">
        <f t="shared" si="23"/>
        <v>5012.74</v>
      </c>
      <c r="BS6" s="37">
        <f t="shared" si="24"/>
        <v>5595.03</v>
      </c>
      <c r="BT6" s="37">
        <f t="shared" si="25"/>
        <v>5760.34</v>
      </c>
      <c r="BW6" s="37">
        <f t="shared" si="26"/>
        <v>3752.91</v>
      </c>
      <c r="BX6" s="37">
        <f t="shared" si="27"/>
        <v>4142.5</v>
      </c>
      <c r="BY6" s="37">
        <f t="shared" si="28"/>
        <v>4597.79</v>
      </c>
      <c r="BZ6" s="37">
        <f t="shared" si="29"/>
        <v>5102.97</v>
      </c>
      <c r="CA6" s="37">
        <f t="shared" si="30"/>
        <v>5695.74</v>
      </c>
      <c r="CB6" s="37">
        <f t="shared" si="31"/>
        <v>5864.03</v>
      </c>
    </row>
    <row r="7" spans="1:80">
      <c r="B7" s="74">
        <v>11</v>
      </c>
      <c r="C7" s="37">
        <v>3095.36</v>
      </c>
      <c r="D7" s="37">
        <v>3427.56</v>
      </c>
      <c r="E7" s="37">
        <v>3676.82</v>
      </c>
      <c r="F7" s="37">
        <v>4050.72</v>
      </c>
      <c r="G7" s="37">
        <v>4592.8999999999996</v>
      </c>
      <c r="H7" s="37" t="s">
        <v>15</v>
      </c>
      <c r="I7" s="112"/>
      <c r="J7" s="74">
        <f t="shared" si="7"/>
        <v>11</v>
      </c>
      <c r="K7" s="37">
        <v>3095.36</v>
      </c>
      <c r="L7" s="37">
        <v>3427.56</v>
      </c>
      <c r="M7" s="37">
        <v>3676.82</v>
      </c>
      <c r="N7" s="37">
        <v>4050.72</v>
      </c>
      <c r="O7" s="37">
        <v>4592.8999999999996</v>
      </c>
      <c r="P7" s="37" t="s">
        <v>15</v>
      </c>
      <c r="Q7" s="112"/>
      <c r="R7" s="74">
        <v>11</v>
      </c>
      <c r="S7" s="37">
        <f t="shared" si="8"/>
        <v>3168.1</v>
      </c>
      <c r="T7" s="37">
        <f t="shared" si="9"/>
        <v>3508.11</v>
      </c>
      <c r="U7" s="37">
        <f t="shared" si="10"/>
        <v>3763.23</v>
      </c>
      <c r="V7" s="37">
        <f t="shared" si="11"/>
        <v>4145.91</v>
      </c>
      <c r="W7" s="37">
        <f t="shared" si="12"/>
        <v>4700.83</v>
      </c>
      <c r="X7" s="37" t="str">
        <f t="shared" si="13"/>
        <v>-</v>
      </c>
      <c r="Y7" s="112"/>
      <c r="Z7" s="74">
        <v>11</v>
      </c>
      <c r="AA7" s="112">
        <f t="shared" si="14"/>
        <v>3168.1</v>
      </c>
      <c r="AB7" s="112">
        <f t="shared" si="15"/>
        <v>3508.11</v>
      </c>
      <c r="AC7" s="112">
        <f t="shared" si="16"/>
        <v>3763.23</v>
      </c>
      <c r="AD7" s="112">
        <f t="shared" si="17"/>
        <v>4145.91</v>
      </c>
      <c r="AE7" s="112">
        <f t="shared" si="18"/>
        <v>4700.83</v>
      </c>
      <c r="AF7" s="473">
        <f t="shared" si="19"/>
        <v>4771.34</v>
      </c>
      <c r="AG7" s="474">
        <v>70.510000000000005</v>
      </c>
      <c r="AH7" s="74">
        <v>11</v>
      </c>
      <c r="AI7" s="37">
        <v>3312.6</v>
      </c>
      <c r="AJ7" s="37">
        <v>3656.01</v>
      </c>
      <c r="AK7" s="37">
        <v>3941.33</v>
      </c>
      <c r="AL7" s="37">
        <v>4311.7700000000004</v>
      </c>
      <c r="AM7" s="37">
        <v>4836.6899999999996</v>
      </c>
      <c r="AN7" s="37">
        <v>4909.2299999999996</v>
      </c>
      <c r="AQ7" s="37">
        <v>3312.6</v>
      </c>
      <c r="AR7" s="37">
        <v>3656.01</v>
      </c>
      <c r="AS7" s="37">
        <v>3941.33</v>
      </c>
      <c r="AT7" s="37">
        <v>4311.7700000000004</v>
      </c>
      <c r="AU7" s="37">
        <v>4836.6899999999996</v>
      </c>
      <c r="AV7" s="37">
        <v>4979.74</v>
      </c>
      <c r="AY7" s="37">
        <v>3457.1</v>
      </c>
      <c r="AZ7" s="37">
        <v>3803.91</v>
      </c>
      <c r="BA7" s="37">
        <v>4119.43</v>
      </c>
      <c r="BB7" s="37">
        <v>4477.63</v>
      </c>
      <c r="BC7" s="37">
        <v>4972.55</v>
      </c>
      <c r="BD7" s="37">
        <v>5119.67</v>
      </c>
      <c r="BG7" s="37">
        <v>3508.11</v>
      </c>
      <c r="BH7" s="37">
        <v>3856.11</v>
      </c>
      <c r="BI7" s="37">
        <v>4182.29</v>
      </c>
      <c r="BJ7" s="37">
        <v>4536.17</v>
      </c>
      <c r="BK7" s="37">
        <v>5020.49</v>
      </c>
      <c r="BL7" s="37">
        <v>5168.82</v>
      </c>
      <c r="BO7" s="37">
        <f t="shared" si="20"/>
        <v>3558.11</v>
      </c>
      <c r="BP7" s="37">
        <f t="shared" si="21"/>
        <v>3910.1</v>
      </c>
      <c r="BQ7" s="37">
        <f t="shared" si="22"/>
        <v>4240.84</v>
      </c>
      <c r="BR7" s="37">
        <f t="shared" si="23"/>
        <v>4599.68</v>
      </c>
      <c r="BS7" s="37">
        <f t="shared" si="24"/>
        <v>5090.78</v>
      </c>
      <c r="BT7" s="37">
        <f t="shared" si="25"/>
        <v>5241.18</v>
      </c>
      <c r="BW7" s="37">
        <f t="shared" si="26"/>
        <v>3622.16</v>
      </c>
      <c r="BX7" s="37">
        <f t="shared" si="27"/>
        <v>3980.48</v>
      </c>
      <c r="BY7" s="37">
        <f t="shared" si="28"/>
        <v>4317.18</v>
      </c>
      <c r="BZ7" s="37">
        <f t="shared" si="29"/>
        <v>4682.47</v>
      </c>
      <c r="CA7" s="37">
        <f t="shared" si="30"/>
        <v>5182.41</v>
      </c>
      <c r="CB7" s="37">
        <f t="shared" si="31"/>
        <v>5335.52</v>
      </c>
    </row>
    <row r="8" spans="1:80">
      <c r="B8" s="74">
        <v>10</v>
      </c>
      <c r="C8" s="37">
        <v>2986.43</v>
      </c>
      <c r="D8" s="37">
        <v>3302.89</v>
      </c>
      <c r="E8" s="37">
        <v>3552.17</v>
      </c>
      <c r="F8" s="37">
        <v>3801.47</v>
      </c>
      <c r="G8" s="37">
        <v>4275.08</v>
      </c>
      <c r="H8" s="37" t="s">
        <v>15</v>
      </c>
      <c r="I8" s="112"/>
      <c r="J8" s="74">
        <f t="shared" si="7"/>
        <v>10</v>
      </c>
      <c r="K8" s="37">
        <v>2986.43</v>
      </c>
      <c r="L8" s="37">
        <v>3302.89</v>
      </c>
      <c r="M8" s="37">
        <v>3552.17</v>
      </c>
      <c r="N8" s="37">
        <v>3801.47</v>
      </c>
      <c r="O8" s="37">
        <v>4275.08</v>
      </c>
      <c r="P8" s="37" t="s">
        <v>15</v>
      </c>
      <c r="Q8" s="112"/>
      <c r="R8" s="74">
        <v>10</v>
      </c>
      <c r="S8" s="37">
        <f t="shared" si="8"/>
        <v>3056.61</v>
      </c>
      <c r="T8" s="37">
        <f t="shared" si="9"/>
        <v>3380.51</v>
      </c>
      <c r="U8" s="37">
        <f t="shared" si="10"/>
        <v>3635.65</v>
      </c>
      <c r="V8" s="37">
        <f t="shared" si="11"/>
        <v>3890.8</v>
      </c>
      <c r="W8" s="37">
        <f t="shared" si="12"/>
        <v>4375.54</v>
      </c>
      <c r="X8" s="37" t="str">
        <f t="shared" si="13"/>
        <v>-</v>
      </c>
      <c r="Y8" s="112"/>
      <c r="Z8" s="74">
        <v>10</v>
      </c>
      <c r="AA8" s="112">
        <f t="shared" si="14"/>
        <v>3056.61</v>
      </c>
      <c r="AB8" s="112">
        <f t="shared" si="15"/>
        <v>3380.51</v>
      </c>
      <c r="AC8" s="112">
        <f t="shared" si="16"/>
        <v>3635.65</v>
      </c>
      <c r="AD8" s="112">
        <f t="shared" si="17"/>
        <v>3890.8</v>
      </c>
      <c r="AE8" s="112">
        <f t="shared" si="18"/>
        <v>4375.54</v>
      </c>
      <c r="AF8" s="473">
        <f t="shared" si="19"/>
        <v>4441.18</v>
      </c>
      <c r="AG8" s="474">
        <v>65.64</v>
      </c>
      <c r="AH8" s="74">
        <v>10</v>
      </c>
      <c r="AI8" s="37">
        <v>3194.27</v>
      </c>
      <c r="AJ8" s="37">
        <v>3497.22</v>
      </c>
      <c r="AK8" s="37">
        <v>3775.33</v>
      </c>
      <c r="AL8" s="37">
        <v>4064.56</v>
      </c>
      <c r="AM8" s="37">
        <v>4501.99</v>
      </c>
      <c r="AN8" s="37">
        <v>4554.49</v>
      </c>
      <c r="AQ8" s="37">
        <v>3194.27</v>
      </c>
      <c r="AR8" s="37">
        <v>3497.22</v>
      </c>
      <c r="AS8" s="37">
        <v>3775.33</v>
      </c>
      <c r="AT8" s="37">
        <v>4064.56</v>
      </c>
      <c r="AU8" s="37">
        <v>4501.99</v>
      </c>
      <c r="AV8" s="37">
        <v>4620.12</v>
      </c>
      <c r="AY8" s="37">
        <v>3331.93</v>
      </c>
      <c r="AZ8" s="37">
        <v>3613.93</v>
      </c>
      <c r="BA8" s="37">
        <v>3915.01</v>
      </c>
      <c r="BB8" s="37">
        <v>4238.32</v>
      </c>
      <c r="BC8" s="37">
        <v>4628.4399999999996</v>
      </c>
      <c r="BD8" s="442">
        <v>4749.8900000000003</v>
      </c>
      <c r="BG8" s="37">
        <v>3380.51</v>
      </c>
      <c r="BH8" s="37">
        <v>3655.13</v>
      </c>
      <c r="BI8" s="37">
        <v>3964.32</v>
      </c>
      <c r="BJ8" s="37">
        <v>4299.6499999999996</v>
      </c>
      <c r="BK8" s="37">
        <v>4673.08</v>
      </c>
      <c r="BL8" s="442">
        <v>4795.6899999999996</v>
      </c>
      <c r="BO8" s="37">
        <f t="shared" si="20"/>
        <v>3430.51</v>
      </c>
      <c r="BP8" s="37">
        <f t="shared" si="21"/>
        <v>3706.3</v>
      </c>
      <c r="BQ8" s="37">
        <f t="shared" si="22"/>
        <v>4019.82</v>
      </c>
      <c r="BR8" s="37">
        <f t="shared" si="23"/>
        <v>4359.8500000000004</v>
      </c>
      <c r="BS8" s="37">
        <f t="shared" si="24"/>
        <v>4738.5</v>
      </c>
      <c r="BT8" s="37">
        <f t="shared" si="25"/>
        <v>4862.83</v>
      </c>
      <c r="BW8" s="37">
        <f t="shared" si="26"/>
        <v>3492.26</v>
      </c>
      <c r="BX8" s="37">
        <f t="shared" si="27"/>
        <v>3773.01</v>
      </c>
      <c r="BY8" s="37">
        <f t="shared" si="28"/>
        <v>4092.18</v>
      </c>
      <c r="BZ8" s="37">
        <f t="shared" si="29"/>
        <v>4438.33</v>
      </c>
      <c r="CA8" s="37">
        <f t="shared" si="30"/>
        <v>4823.79</v>
      </c>
      <c r="CB8" s="37">
        <f t="shared" si="31"/>
        <v>4950.3599999999997</v>
      </c>
    </row>
    <row r="9" spans="1:80">
      <c r="B9" s="74">
        <v>9</v>
      </c>
      <c r="C9" s="37">
        <v>2648.85</v>
      </c>
      <c r="D9" s="37">
        <v>2925.94</v>
      </c>
      <c r="E9" s="37">
        <v>3071.16</v>
      </c>
      <c r="F9" s="37">
        <v>3464.92</v>
      </c>
      <c r="G9" s="37">
        <v>3776.53</v>
      </c>
      <c r="H9" s="37" t="s">
        <v>15</v>
      </c>
      <c r="I9" s="112"/>
      <c r="J9" s="472" t="s">
        <v>284</v>
      </c>
      <c r="K9" s="37">
        <v>2897.54</v>
      </c>
      <c r="L9" s="37">
        <v>3145.5</v>
      </c>
      <c r="M9" s="37">
        <v>3442.5</v>
      </c>
      <c r="N9" s="37">
        <v>3664.61</v>
      </c>
      <c r="O9" s="37">
        <v>3997.76</v>
      </c>
      <c r="P9" s="37" t="s">
        <v>15</v>
      </c>
      <c r="Q9" s="112"/>
      <c r="R9" s="472" t="s">
        <v>284</v>
      </c>
      <c r="S9" s="37">
        <f t="shared" si="8"/>
        <v>2965.63</v>
      </c>
      <c r="T9" s="37">
        <f t="shared" si="9"/>
        <v>3219.42</v>
      </c>
      <c r="U9" s="37">
        <f t="shared" si="10"/>
        <v>3523.4</v>
      </c>
      <c r="V9" s="37">
        <f t="shared" si="11"/>
        <v>3750.73</v>
      </c>
      <c r="W9" s="37">
        <f t="shared" si="12"/>
        <v>4091.71</v>
      </c>
      <c r="X9" s="37" t="str">
        <f t="shared" si="13"/>
        <v>-</v>
      </c>
      <c r="Y9" s="112"/>
      <c r="Z9" s="472" t="s">
        <v>284</v>
      </c>
      <c r="AA9" s="112">
        <f t="shared" si="14"/>
        <v>2965.63</v>
      </c>
      <c r="AB9" s="112">
        <f t="shared" si="15"/>
        <v>3219.42</v>
      </c>
      <c r="AC9" s="112">
        <f t="shared" si="16"/>
        <v>3523.4</v>
      </c>
      <c r="AD9" s="112">
        <f t="shared" si="17"/>
        <v>3750.73</v>
      </c>
      <c r="AE9" s="112">
        <f t="shared" si="18"/>
        <v>4091.71</v>
      </c>
      <c r="AF9" s="473">
        <f t="shared" si="19"/>
        <v>4153.09</v>
      </c>
      <c r="AG9" s="474">
        <v>61.38</v>
      </c>
      <c r="AH9" s="74" t="s">
        <v>284</v>
      </c>
      <c r="AI9" s="37">
        <v>3099.42</v>
      </c>
      <c r="AJ9" s="37">
        <v>3349.91</v>
      </c>
      <c r="AK9" s="37">
        <v>3637.1</v>
      </c>
      <c r="AL9" s="37">
        <v>3888.65</v>
      </c>
      <c r="AM9" s="37">
        <v>4214.62</v>
      </c>
      <c r="AN9" s="37">
        <v>4303.0200000000004</v>
      </c>
      <c r="AQ9" s="37">
        <v>3099.42</v>
      </c>
      <c r="AR9" s="37">
        <v>3349.91</v>
      </c>
      <c r="AS9" s="37">
        <v>3637.1</v>
      </c>
      <c r="AT9" s="37">
        <v>3888.65</v>
      </c>
      <c r="AU9" s="37">
        <v>4214.62</v>
      </c>
      <c r="AV9" s="37">
        <v>4364.3900000000003</v>
      </c>
      <c r="AY9" s="37">
        <v>3233.21</v>
      </c>
      <c r="AZ9" s="37">
        <v>3480.4</v>
      </c>
      <c r="BA9" s="37">
        <v>3750.8</v>
      </c>
      <c r="BB9" s="37">
        <v>4026.57</v>
      </c>
      <c r="BC9" s="37">
        <v>4337.53</v>
      </c>
      <c r="BD9" s="37">
        <v>4516.71</v>
      </c>
      <c r="BG9" s="37">
        <v>3280.42</v>
      </c>
      <c r="BH9" s="37">
        <v>3526.45</v>
      </c>
      <c r="BI9" s="37">
        <v>3790.94</v>
      </c>
      <c r="BJ9" s="37">
        <v>4075.26</v>
      </c>
      <c r="BK9" s="37">
        <v>4380.8999999999996</v>
      </c>
      <c r="BL9" s="37">
        <v>4570.46</v>
      </c>
      <c r="BO9" s="37">
        <f t="shared" si="20"/>
        <v>3330.42</v>
      </c>
      <c r="BP9" s="37">
        <f t="shared" si="21"/>
        <v>3576.45</v>
      </c>
      <c r="BQ9" s="37">
        <f t="shared" si="22"/>
        <v>3844.01</v>
      </c>
      <c r="BR9" s="37">
        <f t="shared" si="23"/>
        <v>4132.3100000000004</v>
      </c>
      <c r="BS9" s="37">
        <f t="shared" si="24"/>
        <v>4442.2299999999996</v>
      </c>
      <c r="BT9" s="37">
        <f t="shared" si="25"/>
        <v>4634.45</v>
      </c>
      <c r="BW9" s="37">
        <f t="shared" si="26"/>
        <v>3390.37</v>
      </c>
      <c r="BX9" s="37">
        <f t="shared" si="27"/>
        <v>3640.83</v>
      </c>
      <c r="BY9" s="37">
        <f t="shared" si="28"/>
        <v>3913.2</v>
      </c>
      <c r="BZ9" s="37">
        <f t="shared" si="29"/>
        <v>4206.6899999999996</v>
      </c>
      <c r="CA9" s="37">
        <f t="shared" si="30"/>
        <v>4522.1899999999996</v>
      </c>
      <c r="CB9" s="37">
        <f t="shared" si="31"/>
        <v>4717.87</v>
      </c>
    </row>
    <row r="10" spans="1:80">
      <c r="B10" s="74" t="s">
        <v>431</v>
      </c>
      <c r="C10" s="37">
        <f>C9</f>
        <v>2648.85</v>
      </c>
      <c r="D10" s="37">
        <f t="shared" ref="D10:F11" si="32">D9</f>
        <v>2925.94</v>
      </c>
      <c r="E10" s="37">
        <f t="shared" si="32"/>
        <v>3071.16</v>
      </c>
      <c r="F10" s="37">
        <f t="shared" si="32"/>
        <v>3464.92</v>
      </c>
      <c r="G10" s="37" t="s">
        <v>15</v>
      </c>
      <c r="H10" s="37" t="s">
        <v>15</v>
      </c>
      <c r="I10" s="112"/>
      <c r="J10" s="74" t="s">
        <v>251</v>
      </c>
      <c r="K10" s="37">
        <f t="shared" ref="K10:P10" si="33">C9</f>
        <v>2648.85</v>
      </c>
      <c r="L10" s="37">
        <f t="shared" si="33"/>
        <v>2925.94</v>
      </c>
      <c r="M10" s="37">
        <f t="shared" si="33"/>
        <v>3071.16</v>
      </c>
      <c r="N10" s="37">
        <f t="shared" si="33"/>
        <v>3464.92</v>
      </c>
      <c r="O10" s="37">
        <f t="shared" si="33"/>
        <v>3776.53</v>
      </c>
      <c r="P10" s="37" t="str">
        <f t="shared" si="33"/>
        <v>-</v>
      </c>
      <c r="Q10" s="112"/>
      <c r="R10" s="74" t="s">
        <v>251</v>
      </c>
      <c r="S10" s="37">
        <f t="shared" si="8"/>
        <v>2711.1</v>
      </c>
      <c r="T10" s="37">
        <f t="shared" si="9"/>
        <v>2994.7</v>
      </c>
      <c r="U10" s="37">
        <f t="shared" si="10"/>
        <v>3143.33</v>
      </c>
      <c r="V10" s="37">
        <f t="shared" si="11"/>
        <v>3546.35</v>
      </c>
      <c r="W10" s="37">
        <f t="shared" si="12"/>
        <v>3865.28</v>
      </c>
      <c r="X10" s="37" t="str">
        <f t="shared" si="13"/>
        <v>-</v>
      </c>
      <c r="Y10" s="112"/>
      <c r="Z10" s="74" t="s">
        <v>251</v>
      </c>
      <c r="AA10" s="112">
        <f t="shared" si="14"/>
        <v>2711.1</v>
      </c>
      <c r="AB10" s="112">
        <f t="shared" si="15"/>
        <v>2994.7</v>
      </c>
      <c r="AC10" s="112">
        <f t="shared" si="16"/>
        <v>3143.33</v>
      </c>
      <c r="AD10" s="112">
        <f t="shared" si="17"/>
        <v>3546.35</v>
      </c>
      <c r="AE10" s="112">
        <f t="shared" si="18"/>
        <v>3865.28</v>
      </c>
      <c r="AF10" s="473">
        <f t="shared" si="19"/>
        <v>3923.26</v>
      </c>
      <c r="AG10" s="474">
        <v>57.98</v>
      </c>
      <c r="AH10" s="74" t="s">
        <v>251</v>
      </c>
      <c r="AI10" s="37">
        <v>2865.63</v>
      </c>
      <c r="AJ10" s="37">
        <v>3126.71</v>
      </c>
      <c r="AK10" s="37">
        <v>3273.66</v>
      </c>
      <c r="AL10" s="37">
        <v>3685.6</v>
      </c>
      <c r="AM10" s="37">
        <v>3975.34</v>
      </c>
      <c r="AN10" s="37">
        <v>4042.13</v>
      </c>
      <c r="AQ10" s="37">
        <v>2865.63</v>
      </c>
      <c r="AR10" s="37">
        <v>3126.71</v>
      </c>
      <c r="AS10" s="37">
        <v>3273.66</v>
      </c>
      <c r="AT10" s="37">
        <v>3685.6</v>
      </c>
      <c r="AU10" s="37">
        <v>3975.34</v>
      </c>
      <c r="AV10" s="37">
        <v>4100.1099999999997</v>
      </c>
      <c r="AY10" s="37">
        <v>3020.16</v>
      </c>
      <c r="AZ10" s="37">
        <v>3258.72</v>
      </c>
      <c r="BA10" s="37">
        <v>3403.99</v>
      </c>
      <c r="BB10" s="37">
        <v>3824.85</v>
      </c>
      <c r="BC10" s="37">
        <v>4085.4</v>
      </c>
      <c r="BD10" s="37">
        <v>4220.6499999999996</v>
      </c>
      <c r="BG10" s="37">
        <v>3074.7</v>
      </c>
      <c r="BH10" s="37">
        <v>3305.3</v>
      </c>
      <c r="BI10" s="37">
        <v>3450</v>
      </c>
      <c r="BJ10" s="37">
        <v>3874</v>
      </c>
      <c r="BK10" s="37">
        <v>4124.25</v>
      </c>
      <c r="BL10" s="37">
        <v>4263.28</v>
      </c>
      <c r="BO10" s="37">
        <f t="shared" si="20"/>
        <v>3124.7</v>
      </c>
      <c r="BP10" s="37">
        <f t="shared" si="21"/>
        <v>3355.3</v>
      </c>
      <c r="BQ10" s="37">
        <f t="shared" si="22"/>
        <v>3500</v>
      </c>
      <c r="BR10" s="37">
        <f t="shared" si="23"/>
        <v>3928.24</v>
      </c>
      <c r="BS10" s="37">
        <f t="shared" si="24"/>
        <v>4181.99</v>
      </c>
      <c r="BT10" s="37">
        <f t="shared" si="25"/>
        <v>4322.97</v>
      </c>
      <c r="BW10" s="37">
        <f t="shared" si="26"/>
        <v>3180.94</v>
      </c>
      <c r="BX10" s="37">
        <f t="shared" si="27"/>
        <v>3415.7</v>
      </c>
      <c r="BY10" s="37">
        <f t="shared" si="28"/>
        <v>3563</v>
      </c>
      <c r="BZ10" s="37">
        <f t="shared" si="29"/>
        <v>3998.95</v>
      </c>
      <c r="CA10" s="37">
        <f t="shared" si="30"/>
        <v>4257.2700000000004</v>
      </c>
      <c r="CB10" s="37">
        <f t="shared" si="31"/>
        <v>4400.78</v>
      </c>
    </row>
    <row r="11" spans="1:80">
      <c r="B11" s="74" t="s">
        <v>432</v>
      </c>
      <c r="C11" s="37">
        <f>C10</f>
        <v>2648.85</v>
      </c>
      <c r="D11" s="37">
        <f t="shared" si="32"/>
        <v>2925.94</v>
      </c>
      <c r="E11" s="37">
        <f t="shared" si="32"/>
        <v>3071.16</v>
      </c>
      <c r="F11" s="37">
        <f t="shared" si="32"/>
        <v>3464.92</v>
      </c>
      <c r="G11" s="37" t="str">
        <f>G10</f>
        <v>-</v>
      </c>
      <c r="H11" s="37" t="str">
        <f>H10</f>
        <v>-</v>
      </c>
      <c r="I11" s="112"/>
      <c r="J11" s="472" t="s">
        <v>433</v>
      </c>
      <c r="K11" s="37">
        <f>C10</f>
        <v>2648.85</v>
      </c>
      <c r="L11" s="37">
        <v>2896.81</v>
      </c>
      <c r="M11" s="37">
        <f>E10</f>
        <v>3071.16</v>
      </c>
      <c r="N11" s="37">
        <f>F10</f>
        <v>3464.92</v>
      </c>
      <c r="O11" s="37">
        <v>3552.82</v>
      </c>
      <c r="P11" s="37" t="s">
        <v>15</v>
      </c>
      <c r="Q11" s="112">
        <f>O11-N11</f>
        <v>87.900000000000091</v>
      </c>
      <c r="R11" s="472" t="s">
        <v>433</v>
      </c>
      <c r="S11" s="37">
        <f t="shared" si="8"/>
        <v>2711.1</v>
      </c>
      <c r="T11" s="37">
        <f t="shared" si="9"/>
        <v>2964.89</v>
      </c>
      <c r="U11" s="37">
        <f t="shared" si="10"/>
        <v>3143.33</v>
      </c>
      <c r="V11" s="37">
        <f t="shared" si="11"/>
        <v>3546.35</v>
      </c>
      <c r="W11" s="37">
        <f t="shared" si="12"/>
        <v>3636.31</v>
      </c>
      <c r="X11" s="37" t="str">
        <f t="shared" si="13"/>
        <v>-</v>
      </c>
      <c r="Y11" s="112"/>
      <c r="Z11" s="472" t="s">
        <v>433</v>
      </c>
      <c r="AA11" s="112">
        <f t="shared" si="14"/>
        <v>2711.1</v>
      </c>
      <c r="AB11" s="112">
        <f t="shared" si="15"/>
        <v>2964.89</v>
      </c>
      <c r="AC11" s="112">
        <f t="shared" si="16"/>
        <v>3143.33</v>
      </c>
      <c r="AD11" s="112">
        <f t="shared" si="17"/>
        <v>3546.35</v>
      </c>
      <c r="AE11" s="112">
        <f t="shared" si="18"/>
        <v>3636.31</v>
      </c>
      <c r="AF11" s="473">
        <f t="shared" si="19"/>
        <v>3690.86</v>
      </c>
      <c r="AG11" s="474">
        <v>54.55</v>
      </c>
      <c r="AH11" s="74" t="s">
        <v>252</v>
      </c>
      <c r="AI11" s="37">
        <v>2818.96</v>
      </c>
      <c r="AJ11" s="37">
        <v>3049.32</v>
      </c>
      <c r="AK11" s="37">
        <v>3234.09</v>
      </c>
      <c r="AL11" s="37">
        <v>3647.35</v>
      </c>
      <c r="AM11" s="37">
        <v>3739.87</v>
      </c>
      <c r="AN11" s="37">
        <v>3796.42</v>
      </c>
      <c r="AQ11" s="37">
        <v>2818.96</v>
      </c>
      <c r="AR11" s="37">
        <v>3049.32</v>
      </c>
      <c r="AS11" s="37">
        <v>3234.09</v>
      </c>
      <c r="AT11" s="37">
        <v>3647.35</v>
      </c>
      <c r="AU11" s="37">
        <v>3739.87</v>
      </c>
      <c r="AV11" s="37">
        <v>3850.96</v>
      </c>
      <c r="AY11" s="37">
        <v>2926.82</v>
      </c>
      <c r="AZ11" s="37">
        <v>3133.75</v>
      </c>
      <c r="BA11" s="37">
        <v>3324.85</v>
      </c>
      <c r="BB11" s="37">
        <v>3748.35</v>
      </c>
      <c r="BC11" s="37">
        <v>3843.43</v>
      </c>
      <c r="BD11" s="37">
        <v>3958.02</v>
      </c>
      <c r="BG11" s="37">
        <v>2964.89</v>
      </c>
      <c r="BH11" s="37">
        <v>3163.55</v>
      </c>
      <c r="BI11" s="37">
        <v>3356.89</v>
      </c>
      <c r="BJ11" s="37">
        <v>3784</v>
      </c>
      <c r="BK11" s="37">
        <v>3879.97</v>
      </c>
      <c r="BL11" s="37">
        <v>3995.62</v>
      </c>
      <c r="BO11" s="37">
        <f t="shared" si="20"/>
        <v>3014.89</v>
      </c>
      <c r="BP11" s="37">
        <f t="shared" si="21"/>
        <v>3213.55</v>
      </c>
      <c r="BQ11" s="37">
        <f t="shared" si="22"/>
        <v>3406.89</v>
      </c>
      <c r="BR11" s="37">
        <f t="shared" si="23"/>
        <v>3836.98</v>
      </c>
      <c r="BS11" s="37">
        <f t="shared" si="24"/>
        <v>3934.29</v>
      </c>
      <c r="BT11" s="37">
        <f t="shared" si="25"/>
        <v>4051.56</v>
      </c>
      <c r="BW11" s="37">
        <f t="shared" si="26"/>
        <v>3069.16</v>
      </c>
      <c r="BX11" s="37">
        <f t="shared" si="27"/>
        <v>3271.39</v>
      </c>
      <c r="BY11" s="37">
        <f t="shared" si="28"/>
        <v>3468.21</v>
      </c>
      <c r="BZ11" s="37">
        <f t="shared" si="29"/>
        <v>3906.05</v>
      </c>
      <c r="CA11" s="37">
        <f t="shared" si="30"/>
        <v>4005.11</v>
      </c>
      <c r="CB11" s="37">
        <f t="shared" si="31"/>
        <v>4124.49</v>
      </c>
    </row>
    <row r="12" spans="1:80">
      <c r="B12" s="74">
        <v>8</v>
      </c>
      <c r="C12" s="37">
        <v>2485.48</v>
      </c>
      <c r="D12" s="37">
        <v>2744.42</v>
      </c>
      <c r="E12" s="37">
        <v>2865.46</v>
      </c>
      <c r="F12" s="37">
        <v>2974.36</v>
      </c>
      <c r="G12" s="37">
        <v>3095.36</v>
      </c>
      <c r="H12" s="37">
        <v>3171.59</v>
      </c>
      <c r="I12" s="112"/>
      <c r="J12" s="472" t="s">
        <v>434</v>
      </c>
      <c r="K12" s="37">
        <f>K11</f>
        <v>2648.85</v>
      </c>
      <c r="L12" s="37">
        <f>D11</f>
        <v>2925.94</v>
      </c>
      <c r="M12" s="37">
        <f>M11</f>
        <v>3071.16</v>
      </c>
      <c r="N12" s="37">
        <f>N11</f>
        <v>3464.92</v>
      </c>
      <c r="O12" s="37" t="s">
        <v>15</v>
      </c>
      <c r="P12" s="37" t="s">
        <v>15</v>
      </c>
      <c r="R12" s="472" t="s">
        <v>434</v>
      </c>
      <c r="S12" s="37">
        <f>IF(K12="-","-",ROUND(K12*$S$25,2))</f>
        <v>2711.1</v>
      </c>
      <c r="T12" s="37">
        <f t="shared" si="9"/>
        <v>2994.7</v>
      </c>
      <c r="U12" s="37">
        <f t="shared" si="10"/>
        <v>3143.33</v>
      </c>
      <c r="V12" s="37">
        <f t="shared" si="11"/>
        <v>3546.35</v>
      </c>
      <c r="W12" s="37" t="str">
        <f t="shared" si="12"/>
        <v>-</v>
      </c>
      <c r="X12" s="37" t="str">
        <f>IF(P12="-","-",ROUND(P12*$S$25,2))</f>
        <v>-</v>
      </c>
      <c r="Z12" s="472" t="s">
        <v>434</v>
      </c>
      <c r="AA12" s="112">
        <f t="shared" ref="AA12:AA21" si="34">S12</f>
        <v>2711.1</v>
      </c>
      <c r="AB12" s="112">
        <f t="shared" si="15"/>
        <v>2994.7</v>
      </c>
      <c r="AC12" s="112">
        <f t="shared" si="16"/>
        <v>3143.33</v>
      </c>
      <c r="AD12" s="112">
        <f t="shared" si="17"/>
        <v>3546.35</v>
      </c>
      <c r="AE12" s="112">
        <f>AD12+AG12</f>
        <v>3599.5499999999997</v>
      </c>
      <c r="AF12" s="112" t="s">
        <v>15</v>
      </c>
      <c r="AG12" s="474">
        <v>53.2</v>
      </c>
      <c r="AH12" s="74">
        <v>8</v>
      </c>
      <c r="AI12" s="37">
        <v>2656.52</v>
      </c>
      <c r="AJ12" s="37">
        <v>2890.09</v>
      </c>
      <c r="AK12" s="37">
        <v>3017.56</v>
      </c>
      <c r="AL12" s="37">
        <v>3137.78</v>
      </c>
      <c r="AM12" s="37">
        <v>3269.2</v>
      </c>
      <c r="AN12" s="37">
        <v>3343.02</v>
      </c>
      <c r="AQ12" s="37">
        <v>2656.52</v>
      </c>
      <c r="AR12" s="37">
        <v>2890.09</v>
      </c>
      <c r="AS12" s="37">
        <v>3017.56</v>
      </c>
      <c r="AT12" s="37">
        <v>3137.78</v>
      </c>
      <c r="AU12" s="37">
        <v>3269.2</v>
      </c>
      <c r="AV12" s="37">
        <v>3343.02</v>
      </c>
      <c r="AY12" s="37">
        <v>2769.15</v>
      </c>
      <c r="AZ12" s="37">
        <v>2971.27</v>
      </c>
      <c r="BA12" s="37">
        <v>3102.32</v>
      </c>
      <c r="BB12" s="37">
        <v>3231.3</v>
      </c>
      <c r="BC12" s="37">
        <v>3370.3</v>
      </c>
      <c r="BD12" s="37">
        <v>3439.92</v>
      </c>
      <c r="BG12" s="37">
        <v>2808.91</v>
      </c>
      <c r="BH12" s="37">
        <v>2999.92</v>
      </c>
      <c r="BI12" s="37">
        <v>3132.23</v>
      </c>
      <c r="BJ12" s="37">
        <v>3264.31</v>
      </c>
      <c r="BK12" s="37">
        <v>3405.98</v>
      </c>
      <c r="BL12" s="37">
        <v>3474.11</v>
      </c>
      <c r="BO12" s="37">
        <f t="shared" si="20"/>
        <v>2858.91</v>
      </c>
      <c r="BP12" s="37">
        <f t="shared" si="21"/>
        <v>3049.92</v>
      </c>
      <c r="BQ12" s="37">
        <f t="shared" si="22"/>
        <v>3182.23</v>
      </c>
      <c r="BR12" s="37">
        <f t="shared" si="23"/>
        <v>3314.31</v>
      </c>
      <c r="BS12" s="37">
        <f t="shared" si="24"/>
        <v>3455.98</v>
      </c>
      <c r="BT12" s="37">
        <f t="shared" si="25"/>
        <v>3524.11</v>
      </c>
      <c r="BW12" s="37">
        <f t="shared" si="26"/>
        <v>2910.37</v>
      </c>
      <c r="BX12" s="37">
        <f t="shared" si="27"/>
        <v>3104.82</v>
      </c>
      <c r="BY12" s="37">
        <f t="shared" si="28"/>
        <v>3239.51</v>
      </c>
      <c r="BZ12" s="37">
        <f t="shared" si="29"/>
        <v>3373.97</v>
      </c>
      <c r="CA12" s="37">
        <f t="shared" si="30"/>
        <v>3518.19</v>
      </c>
      <c r="CB12" s="37">
        <f t="shared" si="31"/>
        <v>3587.54</v>
      </c>
    </row>
    <row r="13" spans="1:80">
      <c r="B13" s="74">
        <v>7</v>
      </c>
      <c r="C13" s="37">
        <v>2333.0300000000002</v>
      </c>
      <c r="D13" s="37">
        <v>2575.02</v>
      </c>
      <c r="E13" s="37">
        <v>2732.33</v>
      </c>
      <c r="F13" s="37">
        <v>2853.36</v>
      </c>
      <c r="G13" s="37">
        <v>2944.1</v>
      </c>
      <c r="H13" s="37">
        <v>3028.81</v>
      </c>
      <c r="I13" s="112"/>
      <c r="J13" s="74">
        <f t="shared" ref="J13:J21" si="35">B12</f>
        <v>8</v>
      </c>
      <c r="K13" s="37">
        <v>2485.48</v>
      </c>
      <c r="L13" s="37">
        <v>2744.42</v>
      </c>
      <c r="M13" s="37">
        <v>2865.46</v>
      </c>
      <c r="N13" s="37">
        <v>2974.36</v>
      </c>
      <c r="O13" s="37">
        <v>3095.36</v>
      </c>
      <c r="P13" s="37">
        <v>3171.59</v>
      </c>
      <c r="Q13" s="112"/>
      <c r="R13" s="74">
        <v>8</v>
      </c>
      <c r="S13" s="37">
        <f>IF(K13="-","-",ROUND(K13*$S$25,2))</f>
        <v>2543.89</v>
      </c>
      <c r="T13" s="37">
        <f t="shared" si="9"/>
        <v>2808.91</v>
      </c>
      <c r="U13" s="37">
        <f t="shared" si="10"/>
        <v>2932.8</v>
      </c>
      <c r="V13" s="37">
        <f t="shared" si="11"/>
        <v>3044.26</v>
      </c>
      <c r="W13" s="37">
        <f t="shared" si="12"/>
        <v>3168.1</v>
      </c>
      <c r="X13" s="37">
        <f>IF(P13="-","-",ROUND(P13*$S$25,2))</f>
        <v>3246.12</v>
      </c>
      <c r="Y13" s="112"/>
      <c r="Z13" s="74">
        <v>8</v>
      </c>
      <c r="AA13" s="112">
        <f t="shared" si="34"/>
        <v>2543.89</v>
      </c>
      <c r="AB13" s="112">
        <f t="shared" ref="AB13:AB21" si="36">T13</f>
        <v>2808.91</v>
      </c>
      <c r="AC13" s="112">
        <f t="shared" ref="AC13:AC21" si="37">U13</f>
        <v>2932.8</v>
      </c>
      <c r="AD13" s="112">
        <f t="shared" ref="AD13:AD21" si="38">V13</f>
        <v>3044.26</v>
      </c>
      <c r="AE13" s="112">
        <f t="shared" ref="AE13:AE21" si="39">W13</f>
        <v>3168.1</v>
      </c>
      <c r="AF13" s="112">
        <f t="shared" ref="AF13:AF21" si="40">X13</f>
        <v>3246.12</v>
      </c>
      <c r="AG13" s="112"/>
      <c r="AH13" s="74">
        <v>7</v>
      </c>
      <c r="AI13" s="37">
        <v>2493.12</v>
      </c>
      <c r="AJ13" s="37">
        <v>2729.06</v>
      </c>
      <c r="AK13" s="37">
        <v>2877.36</v>
      </c>
      <c r="AL13" s="37">
        <v>3004.81</v>
      </c>
      <c r="AM13" s="37">
        <v>3111.25</v>
      </c>
      <c r="AN13" s="37">
        <v>3189.58</v>
      </c>
      <c r="AQ13" s="37">
        <v>2493.12</v>
      </c>
      <c r="AR13" s="37">
        <v>2729.06</v>
      </c>
      <c r="AS13" s="37">
        <v>2877.36</v>
      </c>
      <c r="AT13" s="37">
        <v>3004.81</v>
      </c>
      <c r="AU13" s="37">
        <v>3111.25</v>
      </c>
      <c r="AV13" s="37">
        <v>3189.58</v>
      </c>
      <c r="AY13" s="37">
        <v>2598.38</v>
      </c>
      <c r="AZ13" s="37">
        <v>2822.59</v>
      </c>
      <c r="BA13" s="37">
        <v>2958.18</v>
      </c>
      <c r="BB13" s="37">
        <v>3089.21</v>
      </c>
      <c r="BC13" s="37">
        <v>3209.21</v>
      </c>
      <c r="BD13" s="37">
        <v>3279.17</v>
      </c>
      <c r="BG13" s="37">
        <v>2635.53</v>
      </c>
      <c r="BH13" s="37">
        <v>2855.6</v>
      </c>
      <c r="BI13" s="37">
        <v>2986.7</v>
      </c>
      <c r="BJ13" s="37">
        <v>3119</v>
      </c>
      <c r="BK13" s="37">
        <v>3243.78</v>
      </c>
      <c r="BL13" s="37">
        <v>3310.79</v>
      </c>
      <c r="BO13" s="37">
        <f t="shared" si="20"/>
        <v>2685.53</v>
      </c>
      <c r="BP13" s="37">
        <f t="shared" si="21"/>
        <v>2905.6</v>
      </c>
      <c r="BQ13" s="37">
        <f t="shared" si="22"/>
        <v>3036.7</v>
      </c>
      <c r="BR13" s="37">
        <f t="shared" si="23"/>
        <v>3169</v>
      </c>
      <c r="BS13" s="37">
        <f t="shared" si="24"/>
        <v>3293.78</v>
      </c>
      <c r="BT13" s="37">
        <f t="shared" si="25"/>
        <v>3360.79</v>
      </c>
      <c r="BW13" s="37">
        <f t="shared" si="26"/>
        <v>2733.87</v>
      </c>
      <c r="BX13" s="37">
        <f t="shared" si="27"/>
        <v>2957.9</v>
      </c>
      <c r="BY13" s="37">
        <f t="shared" si="28"/>
        <v>3091.36</v>
      </c>
      <c r="BZ13" s="37">
        <f t="shared" si="29"/>
        <v>3226.04</v>
      </c>
      <c r="CA13" s="37">
        <f t="shared" si="30"/>
        <v>3353.07</v>
      </c>
      <c r="CB13" s="37">
        <f t="shared" si="31"/>
        <v>3421.28</v>
      </c>
    </row>
    <row r="14" spans="1:80">
      <c r="B14" s="74">
        <v>6</v>
      </c>
      <c r="C14" s="37">
        <v>2289.44</v>
      </c>
      <c r="D14" s="37">
        <v>2526.62</v>
      </c>
      <c r="E14" s="37">
        <v>2647.62</v>
      </c>
      <c r="F14" s="37">
        <v>2762.59</v>
      </c>
      <c r="G14" s="37">
        <v>2841.25</v>
      </c>
      <c r="H14" s="37">
        <v>2919.91</v>
      </c>
      <c r="I14" s="112"/>
      <c r="J14" s="74">
        <f t="shared" si="35"/>
        <v>7</v>
      </c>
      <c r="K14" s="37">
        <v>2333.0300000000002</v>
      </c>
      <c r="L14" s="37">
        <v>2575.02</v>
      </c>
      <c r="M14" s="37">
        <v>2732.33</v>
      </c>
      <c r="N14" s="37">
        <v>2853.36</v>
      </c>
      <c r="O14" s="37">
        <v>2944.1</v>
      </c>
      <c r="P14" s="37">
        <v>3028.81</v>
      </c>
      <c r="Q14" s="112"/>
      <c r="R14" s="74">
        <v>7</v>
      </c>
      <c r="S14" s="37">
        <f t="shared" ref="S14:S21" si="41">IF(K14="-","-",ROUND(K14*$S$25,2))</f>
        <v>2387.86</v>
      </c>
      <c r="T14" s="37">
        <f t="shared" ref="T14:T21" si="42">IF(L14="-","-",ROUND(L14*$S$25,2))</f>
        <v>2635.53</v>
      </c>
      <c r="U14" s="37">
        <f t="shared" ref="U14:U21" si="43">IF(M14="-","-",ROUND(M14*$S$25,2))</f>
        <v>2796.54</v>
      </c>
      <c r="V14" s="37">
        <f t="shared" ref="V14:V21" si="44">IF(N14="-","-",ROUND(N14*$S$25,2))</f>
        <v>2920.41</v>
      </c>
      <c r="W14" s="37">
        <f t="shared" ref="W14:W21" si="45">IF(O14="-","-",ROUND(O14*$S$25,2))</f>
        <v>3013.29</v>
      </c>
      <c r="X14" s="37">
        <f t="shared" ref="X14:X21" si="46">IF(P14="-","-",ROUND(P14*$S$25,2))</f>
        <v>3099.99</v>
      </c>
      <c r="Y14" s="112"/>
      <c r="Z14" s="74">
        <v>7</v>
      </c>
      <c r="AA14" s="112">
        <f t="shared" si="34"/>
        <v>2387.86</v>
      </c>
      <c r="AB14" s="112">
        <f t="shared" si="36"/>
        <v>2635.53</v>
      </c>
      <c r="AC14" s="112">
        <f t="shared" si="37"/>
        <v>2796.54</v>
      </c>
      <c r="AD14" s="112">
        <f t="shared" si="38"/>
        <v>2920.41</v>
      </c>
      <c r="AE14" s="112">
        <f t="shared" si="39"/>
        <v>3013.29</v>
      </c>
      <c r="AF14" s="112">
        <f t="shared" si="40"/>
        <v>3099.99</v>
      </c>
      <c r="AG14" s="112"/>
      <c r="AH14" s="74">
        <v>6</v>
      </c>
      <c r="AI14" s="37">
        <v>2446.41</v>
      </c>
      <c r="AJ14" s="37">
        <v>2662.97</v>
      </c>
      <c r="AK14" s="37">
        <v>2788.15</v>
      </c>
      <c r="AL14" s="37">
        <v>2909.22</v>
      </c>
      <c r="AM14" s="37">
        <v>3007.98</v>
      </c>
      <c r="AN14" s="37">
        <v>3081</v>
      </c>
      <c r="AQ14" s="37">
        <v>2446.41</v>
      </c>
      <c r="AR14" s="37">
        <v>2662.97</v>
      </c>
      <c r="AS14" s="37">
        <v>2788.15</v>
      </c>
      <c r="AT14" s="37">
        <v>2909.22</v>
      </c>
      <c r="AU14" s="37">
        <v>3007.98</v>
      </c>
      <c r="AV14" s="37">
        <v>3081</v>
      </c>
      <c r="AY14" s="37">
        <v>2549.58</v>
      </c>
      <c r="AZ14" s="37">
        <v>2739.94</v>
      </c>
      <c r="BA14" s="37">
        <v>2866.46</v>
      </c>
      <c r="BB14" s="37">
        <v>2990.93</v>
      </c>
      <c r="BC14" s="37">
        <v>3107.94</v>
      </c>
      <c r="BD14" s="37">
        <v>3173.47</v>
      </c>
      <c r="BG14" s="37">
        <v>2586</v>
      </c>
      <c r="BH14" s="37">
        <v>2767.11</v>
      </c>
      <c r="BI14" s="37">
        <v>2894.11</v>
      </c>
      <c r="BJ14" s="37">
        <v>3019.78</v>
      </c>
      <c r="BK14" s="37">
        <v>3143.22</v>
      </c>
      <c r="BL14" s="37">
        <v>3206.1</v>
      </c>
      <c r="BO14" s="37">
        <f t="shared" si="20"/>
        <v>2636</v>
      </c>
      <c r="BP14" s="37">
        <f t="shared" si="21"/>
        <v>2817.11</v>
      </c>
      <c r="BQ14" s="37">
        <f t="shared" si="22"/>
        <v>2944.11</v>
      </c>
      <c r="BR14" s="37">
        <f t="shared" si="23"/>
        <v>3069.78</v>
      </c>
      <c r="BS14" s="37">
        <f t="shared" si="24"/>
        <v>3193.22</v>
      </c>
      <c r="BT14" s="37">
        <f t="shared" si="25"/>
        <v>3256.1</v>
      </c>
      <c r="BW14" s="37">
        <f t="shared" si="26"/>
        <v>2683.45</v>
      </c>
      <c r="BX14" s="37">
        <f t="shared" si="27"/>
        <v>2867.82</v>
      </c>
      <c r="BY14" s="37">
        <f t="shared" si="28"/>
        <v>2997.1</v>
      </c>
      <c r="BZ14" s="37">
        <f t="shared" si="29"/>
        <v>3125.04</v>
      </c>
      <c r="CA14" s="37">
        <f t="shared" si="30"/>
        <v>3250.7</v>
      </c>
      <c r="CB14" s="37">
        <f t="shared" si="31"/>
        <v>3314.71</v>
      </c>
    </row>
    <row r="15" spans="1:80">
      <c r="B15" s="74">
        <v>5</v>
      </c>
      <c r="C15" s="37">
        <v>2197.4699999999998</v>
      </c>
      <c r="D15" s="37">
        <v>2423.7800000000002</v>
      </c>
      <c r="E15" s="37">
        <v>2538.73</v>
      </c>
      <c r="F15" s="37">
        <v>2653.69</v>
      </c>
      <c r="G15" s="37">
        <v>2738.39</v>
      </c>
      <c r="H15" s="37">
        <v>2798.9</v>
      </c>
      <c r="J15" s="74">
        <f t="shared" si="35"/>
        <v>6</v>
      </c>
      <c r="K15" s="37">
        <v>2289.44</v>
      </c>
      <c r="L15" s="37">
        <v>2526.62</v>
      </c>
      <c r="M15" s="37">
        <v>2647.62</v>
      </c>
      <c r="N15" s="37">
        <v>2762.59</v>
      </c>
      <c r="O15" s="37">
        <v>2841.25</v>
      </c>
      <c r="P15" s="37">
        <v>2919.91</v>
      </c>
      <c r="Q15" s="112"/>
      <c r="R15" s="74">
        <v>6</v>
      </c>
      <c r="S15" s="37">
        <f t="shared" si="41"/>
        <v>2343.2399999999998</v>
      </c>
      <c r="T15" s="37">
        <f t="shared" si="42"/>
        <v>2586</v>
      </c>
      <c r="U15" s="37">
        <f t="shared" si="43"/>
        <v>2709.84</v>
      </c>
      <c r="V15" s="37">
        <f t="shared" si="44"/>
        <v>2827.51</v>
      </c>
      <c r="W15" s="37">
        <f t="shared" si="45"/>
        <v>2908.02</v>
      </c>
      <c r="X15" s="37">
        <f t="shared" si="46"/>
        <v>2988.53</v>
      </c>
      <c r="Y15" s="112"/>
      <c r="Z15" s="74">
        <v>6</v>
      </c>
      <c r="AA15" s="112">
        <f t="shared" si="34"/>
        <v>2343.2399999999998</v>
      </c>
      <c r="AB15" s="112">
        <f t="shared" si="36"/>
        <v>2586</v>
      </c>
      <c r="AC15" s="112">
        <f t="shared" si="37"/>
        <v>2709.84</v>
      </c>
      <c r="AD15" s="112">
        <f t="shared" si="38"/>
        <v>2827.51</v>
      </c>
      <c r="AE15" s="112">
        <f t="shared" si="39"/>
        <v>2908.02</v>
      </c>
      <c r="AF15" s="112">
        <f t="shared" si="40"/>
        <v>2988.53</v>
      </c>
      <c r="AG15" s="112"/>
      <c r="AH15" s="74">
        <v>5</v>
      </c>
      <c r="AI15" s="37">
        <v>2347.5500000000002</v>
      </c>
      <c r="AJ15" s="37">
        <v>2555.4</v>
      </c>
      <c r="AK15" s="37">
        <v>2673.48</v>
      </c>
      <c r="AL15" s="37">
        <v>2794.54</v>
      </c>
      <c r="AM15" s="37">
        <v>2894.01</v>
      </c>
      <c r="AN15" s="37">
        <v>2955.27</v>
      </c>
      <c r="AQ15" s="37">
        <v>2347.5500000000002</v>
      </c>
      <c r="AR15" s="37">
        <v>2555.4</v>
      </c>
      <c r="AS15" s="37">
        <v>2673.48</v>
      </c>
      <c r="AT15" s="37">
        <v>2794.54</v>
      </c>
      <c r="AU15" s="37">
        <v>2894.01</v>
      </c>
      <c r="AV15" s="37">
        <v>2955.27</v>
      </c>
      <c r="AY15" s="37">
        <v>2445.9899999999998</v>
      </c>
      <c r="AZ15" s="37">
        <v>2630.06</v>
      </c>
      <c r="BA15" s="37">
        <v>2748.57</v>
      </c>
      <c r="BB15" s="37">
        <v>2873.03</v>
      </c>
      <c r="BC15" s="37">
        <v>2985.28</v>
      </c>
      <c r="BD15" s="37">
        <v>3045.87</v>
      </c>
      <c r="BG15" s="37">
        <v>2480.7399999999998</v>
      </c>
      <c r="BH15" s="37">
        <v>2656.42</v>
      </c>
      <c r="BI15" s="37">
        <v>2775.08</v>
      </c>
      <c r="BJ15" s="37">
        <v>2900.74</v>
      </c>
      <c r="BK15" s="37">
        <v>3017.5</v>
      </c>
      <c r="BL15" s="37">
        <v>3077.85</v>
      </c>
      <c r="BO15" s="37">
        <f t="shared" si="20"/>
        <v>2530.7399999999998</v>
      </c>
      <c r="BP15" s="37">
        <f t="shared" si="21"/>
        <v>2706.42</v>
      </c>
      <c r="BQ15" s="37">
        <f t="shared" si="22"/>
        <v>2825.08</v>
      </c>
      <c r="BR15" s="37">
        <f t="shared" si="23"/>
        <v>2950.74</v>
      </c>
      <c r="BS15" s="37">
        <f t="shared" si="24"/>
        <v>3067.5</v>
      </c>
      <c r="BT15" s="37">
        <f t="shared" si="25"/>
        <v>3127.85</v>
      </c>
      <c r="BW15" s="37">
        <f t="shared" si="26"/>
        <v>2576.29</v>
      </c>
      <c r="BX15" s="37">
        <f t="shared" si="27"/>
        <v>2755.14</v>
      </c>
      <c r="BY15" s="37">
        <f t="shared" si="28"/>
        <v>2875.93</v>
      </c>
      <c r="BZ15" s="37">
        <f t="shared" si="29"/>
        <v>3003.85</v>
      </c>
      <c r="CA15" s="37">
        <f t="shared" si="30"/>
        <v>3122.72</v>
      </c>
      <c r="CB15" s="37">
        <f t="shared" si="31"/>
        <v>3184.15</v>
      </c>
    </row>
    <row r="16" spans="1:80">
      <c r="B16" s="74">
        <v>4</v>
      </c>
      <c r="C16" s="37">
        <v>2093.4</v>
      </c>
      <c r="D16" s="37">
        <v>2308.81</v>
      </c>
      <c r="E16" s="37">
        <v>2454.02</v>
      </c>
      <c r="F16" s="37">
        <v>2538.73</v>
      </c>
      <c r="G16" s="37">
        <v>2623.44</v>
      </c>
      <c r="H16" s="37">
        <v>2673.03</v>
      </c>
      <c r="J16" s="74">
        <f t="shared" si="35"/>
        <v>5</v>
      </c>
      <c r="K16" s="37">
        <v>2197.4699999999998</v>
      </c>
      <c r="L16" s="37">
        <v>2423.7800000000002</v>
      </c>
      <c r="M16" s="37">
        <v>2538.73</v>
      </c>
      <c r="N16" s="37">
        <v>2653.69</v>
      </c>
      <c r="O16" s="37">
        <v>2738.39</v>
      </c>
      <c r="P16" s="37">
        <v>2798.9</v>
      </c>
      <c r="R16" s="74">
        <v>5</v>
      </c>
      <c r="S16" s="37">
        <f t="shared" si="41"/>
        <v>2249.11</v>
      </c>
      <c r="T16" s="37">
        <f t="shared" si="42"/>
        <v>2480.7399999999998</v>
      </c>
      <c r="U16" s="37">
        <f t="shared" si="43"/>
        <v>2598.39</v>
      </c>
      <c r="V16" s="37">
        <f t="shared" si="44"/>
        <v>2716.05</v>
      </c>
      <c r="W16" s="37">
        <f t="shared" si="45"/>
        <v>2802.74</v>
      </c>
      <c r="X16" s="37">
        <f t="shared" si="46"/>
        <v>2864.67</v>
      </c>
      <c r="Z16" s="74">
        <v>5</v>
      </c>
      <c r="AA16" s="112">
        <f t="shared" si="34"/>
        <v>2249.11</v>
      </c>
      <c r="AB16" s="112">
        <f t="shared" si="36"/>
        <v>2480.7399999999998</v>
      </c>
      <c r="AC16" s="112">
        <f t="shared" si="37"/>
        <v>2598.39</v>
      </c>
      <c r="AD16" s="112">
        <f t="shared" si="38"/>
        <v>2716.05</v>
      </c>
      <c r="AE16" s="112">
        <f t="shared" si="39"/>
        <v>2802.74</v>
      </c>
      <c r="AF16" s="112">
        <f t="shared" si="40"/>
        <v>2864.67</v>
      </c>
      <c r="AH16" s="74">
        <v>4</v>
      </c>
      <c r="AI16" s="37">
        <v>2236.29</v>
      </c>
      <c r="AJ16" s="37">
        <v>2438.63</v>
      </c>
      <c r="AK16" s="37">
        <v>2587.48</v>
      </c>
      <c r="AL16" s="37">
        <v>2676.8</v>
      </c>
      <c r="AM16" s="37">
        <v>2766.11</v>
      </c>
      <c r="AN16" s="37">
        <v>2818.41</v>
      </c>
      <c r="AQ16" s="37">
        <v>2236.29</v>
      </c>
      <c r="AR16" s="37">
        <v>2438.63</v>
      </c>
      <c r="AS16" s="37">
        <v>2587.48</v>
      </c>
      <c r="AT16" s="37">
        <v>2676.8</v>
      </c>
      <c r="AU16" s="37">
        <v>2766.11</v>
      </c>
      <c r="AV16" s="37">
        <v>2818.41</v>
      </c>
      <c r="AY16" s="37">
        <v>2329.9899999999998</v>
      </c>
      <c r="AZ16" s="37">
        <v>2514.19</v>
      </c>
      <c r="BA16" s="37">
        <v>2663.27</v>
      </c>
      <c r="BB16" s="37">
        <v>2755.21</v>
      </c>
      <c r="BC16" s="37">
        <v>2847.13</v>
      </c>
      <c r="BD16" s="37">
        <v>2900.97</v>
      </c>
      <c r="BG16" s="37">
        <v>2363.0700000000002</v>
      </c>
      <c r="BH16" s="37">
        <v>2540.85</v>
      </c>
      <c r="BI16" s="37">
        <v>2690.02</v>
      </c>
      <c r="BJ16" s="37">
        <v>2782.88</v>
      </c>
      <c r="BK16" s="37">
        <v>2875.73</v>
      </c>
      <c r="BL16" s="37">
        <v>2930.1</v>
      </c>
      <c r="BO16" s="37">
        <f t="shared" si="20"/>
        <v>2413.0700000000002</v>
      </c>
      <c r="BP16" s="37">
        <f t="shared" si="21"/>
        <v>2590.85</v>
      </c>
      <c r="BQ16" s="37">
        <f t="shared" si="22"/>
        <v>2740.02</v>
      </c>
      <c r="BR16" s="37">
        <f t="shared" si="23"/>
        <v>2832.88</v>
      </c>
      <c r="BS16" s="37">
        <f t="shared" si="24"/>
        <v>2925.73</v>
      </c>
      <c r="BT16" s="37">
        <f t="shared" si="25"/>
        <v>2980.1</v>
      </c>
      <c r="BW16" s="37">
        <f t="shared" si="26"/>
        <v>2456.5100000000002</v>
      </c>
      <c r="BX16" s="37">
        <f t="shared" si="27"/>
        <v>2637.49</v>
      </c>
      <c r="BY16" s="37">
        <f t="shared" si="28"/>
        <v>2789.34</v>
      </c>
      <c r="BZ16" s="37">
        <f t="shared" si="29"/>
        <v>2883.87</v>
      </c>
      <c r="CA16" s="37">
        <f t="shared" si="30"/>
        <v>2978.39</v>
      </c>
      <c r="CB16" s="37">
        <f t="shared" si="31"/>
        <v>3033.74</v>
      </c>
    </row>
    <row r="17" spans="2:80">
      <c r="B17" s="74">
        <v>3</v>
      </c>
      <c r="C17" s="37">
        <v>2060.7600000000002</v>
      </c>
      <c r="D17" s="37">
        <v>2272.4899999999998</v>
      </c>
      <c r="E17" s="37">
        <v>2333.0300000000002</v>
      </c>
      <c r="F17" s="37">
        <v>2429.8200000000002</v>
      </c>
      <c r="G17" s="37">
        <v>2502.44</v>
      </c>
      <c r="H17" s="37">
        <v>2568.98</v>
      </c>
      <c r="J17" s="74">
        <f t="shared" si="35"/>
        <v>4</v>
      </c>
      <c r="K17" s="37">
        <v>2093.4</v>
      </c>
      <c r="L17" s="37">
        <v>2308.81</v>
      </c>
      <c r="M17" s="37">
        <v>2454.02</v>
      </c>
      <c r="N17" s="37">
        <v>2538.73</v>
      </c>
      <c r="O17" s="37">
        <v>2623.44</v>
      </c>
      <c r="P17" s="37">
        <v>2673.03</v>
      </c>
      <c r="R17" s="74">
        <v>4</v>
      </c>
      <c r="S17" s="37">
        <f t="shared" si="41"/>
        <v>2142.59</v>
      </c>
      <c r="T17" s="37">
        <f t="shared" si="42"/>
        <v>2363.0700000000002</v>
      </c>
      <c r="U17" s="37">
        <f t="shared" si="43"/>
        <v>2511.69</v>
      </c>
      <c r="V17" s="37">
        <f t="shared" si="44"/>
        <v>2598.39</v>
      </c>
      <c r="W17" s="37">
        <f t="shared" si="45"/>
        <v>2685.09</v>
      </c>
      <c r="X17" s="37">
        <f t="shared" si="46"/>
        <v>2735.85</v>
      </c>
      <c r="Z17" s="74">
        <v>4</v>
      </c>
      <c r="AA17" s="112">
        <f t="shared" si="34"/>
        <v>2142.59</v>
      </c>
      <c r="AB17" s="112">
        <f t="shared" si="36"/>
        <v>2363.0700000000002</v>
      </c>
      <c r="AC17" s="112">
        <f t="shared" si="37"/>
        <v>2511.69</v>
      </c>
      <c r="AD17" s="112">
        <f t="shared" si="38"/>
        <v>2598.39</v>
      </c>
      <c r="AE17" s="112">
        <f t="shared" si="39"/>
        <v>2685.09</v>
      </c>
      <c r="AF17" s="112">
        <f t="shared" si="40"/>
        <v>2735.85</v>
      </c>
      <c r="AH17" s="74">
        <v>3</v>
      </c>
      <c r="AI17" s="37">
        <v>2201.29</v>
      </c>
      <c r="AJ17" s="37">
        <v>2407.15</v>
      </c>
      <c r="AK17" s="37">
        <v>2462.5500000000002</v>
      </c>
      <c r="AL17" s="37">
        <v>2564.71</v>
      </c>
      <c r="AM17" s="37">
        <v>2641.37</v>
      </c>
      <c r="AN17" s="37">
        <v>2711.6</v>
      </c>
      <c r="AQ17" s="37">
        <v>2201.29</v>
      </c>
      <c r="AR17" s="37">
        <v>2407.15</v>
      </c>
      <c r="AS17" s="37">
        <v>2462.5500000000002</v>
      </c>
      <c r="AT17" s="37">
        <v>2564.71</v>
      </c>
      <c r="AU17" s="37">
        <v>2641.37</v>
      </c>
      <c r="AV17" s="37">
        <v>2711.6</v>
      </c>
      <c r="AY17" s="37">
        <v>2293.39</v>
      </c>
      <c r="AZ17" s="37">
        <v>2488.41</v>
      </c>
      <c r="BA17" s="37">
        <v>2537.2399999999998</v>
      </c>
      <c r="BB17" s="37">
        <v>2642.5</v>
      </c>
      <c r="BC17" s="37">
        <v>2721.49</v>
      </c>
      <c r="BD17" s="37">
        <v>2793.85</v>
      </c>
      <c r="BG17" s="37">
        <v>2325.89</v>
      </c>
      <c r="BH17" s="37">
        <v>2517.08</v>
      </c>
      <c r="BI17" s="37">
        <v>2563.61</v>
      </c>
      <c r="BJ17" s="37">
        <v>2669.96</v>
      </c>
      <c r="BK17" s="37">
        <v>2749.76</v>
      </c>
      <c r="BL17" s="37">
        <v>2822.87</v>
      </c>
      <c r="BO17" s="37">
        <f t="shared" si="20"/>
        <v>2375.89</v>
      </c>
      <c r="BP17" s="37">
        <f t="shared" si="21"/>
        <v>2567.08</v>
      </c>
      <c r="BQ17" s="37">
        <f t="shared" si="22"/>
        <v>2613.61</v>
      </c>
      <c r="BR17" s="37">
        <f t="shared" si="23"/>
        <v>2719.96</v>
      </c>
      <c r="BS17" s="37">
        <f t="shared" si="24"/>
        <v>2799.76</v>
      </c>
      <c r="BT17" s="37">
        <f t="shared" si="25"/>
        <v>2872.87</v>
      </c>
      <c r="BW17" s="37">
        <f t="shared" si="26"/>
        <v>2418.66</v>
      </c>
      <c r="BX17" s="37">
        <f t="shared" si="27"/>
        <v>2613.29</v>
      </c>
      <c r="BY17" s="37">
        <f t="shared" si="28"/>
        <v>2660.65</v>
      </c>
      <c r="BZ17" s="37">
        <f t="shared" si="29"/>
        <v>2768.92</v>
      </c>
      <c r="CA17" s="37">
        <f t="shared" si="30"/>
        <v>2850.16</v>
      </c>
      <c r="CB17" s="37">
        <f t="shared" si="31"/>
        <v>2924.58</v>
      </c>
    </row>
    <row r="18" spans="2:80">
      <c r="B18" s="74" t="s">
        <v>14</v>
      </c>
      <c r="C18" s="37">
        <v>1973.6</v>
      </c>
      <c r="D18" s="37">
        <v>2175.71</v>
      </c>
      <c r="E18" s="37">
        <v>2248.31</v>
      </c>
      <c r="F18" s="37">
        <v>2345.12</v>
      </c>
      <c r="G18" s="37">
        <v>2411.66</v>
      </c>
      <c r="H18" s="37">
        <v>2461.3000000000002</v>
      </c>
      <c r="J18" s="74">
        <f t="shared" si="35"/>
        <v>3</v>
      </c>
      <c r="K18" s="37">
        <v>2060.7600000000002</v>
      </c>
      <c r="L18" s="37">
        <v>2272.4899999999998</v>
      </c>
      <c r="M18" s="37">
        <v>2333.0300000000002</v>
      </c>
      <c r="N18" s="37">
        <v>2429.8200000000002</v>
      </c>
      <c r="O18" s="37">
        <v>2502.44</v>
      </c>
      <c r="P18" s="37">
        <v>2568.98</v>
      </c>
      <c r="R18" s="74">
        <v>3</v>
      </c>
      <c r="S18" s="37">
        <f t="shared" si="41"/>
        <v>2109.19</v>
      </c>
      <c r="T18" s="37">
        <f t="shared" si="42"/>
        <v>2325.89</v>
      </c>
      <c r="U18" s="37">
        <f t="shared" si="43"/>
        <v>2387.86</v>
      </c>
      <c r="V18" s="37">
        <f t="shared" si="44"/>
        <v>2486.92</v>
      </c>
      <c r="W18" s="37">
        <f t="shared" si="45"/>
        <v>2561.25</v>
      </c>
      <c r="X18" s="37">
        <f t="shared" si="46"/>
        <v>2629.35</v>
      </c>
      <c r="Z18" s="74">
        <v>3</v>
      </c>
      <c r="AA18" s="112">
        <f t="shared" si="34"/>
        <v>2109.19</v>
      </c>
      <c r="AB18" s="112">
        <f t="shared" si="36"/>
        <v>2325.89</v>
      </c>
      <c r="AC18" s="112">
        <f t="shared" si="37"/>
        <v>2387.86</v>
      </c>
      <c r="AD18" s="112">
        <f t="shared" si="38"/>
        <v>2486.92</v>
      </c>
      <c r="AE18" s="112">
        <f t="shared" si="39"/>
        <v>2561.25</v>
      </c>
      <c r="AF18" s="112">
        <f t="shared" si="40"/>
        <v>2629.35</v>
      </c>
      <c r="AH18" s="74" t="s">
        <v>14</v>
      </c>
      <c r="AI18" s="37">
        <v>2084.42</v>
      </c>
      <c r="AJ18" s="37">
        <v>2297.88</v>
      </c>
      <c r="AK18" s="37">
        <v>2374.56</v>
      </c>
      <c r="AL18" s="37">
        <v>2476.8000000000002</v>
      </c>
      <c r="AM18" s="37">
        <v>2547.0700000000002</v>
      </c>
      <c r="AN18" s="37">
        <v>2642.56</v>
      </c>
      <c r="AQ18" s="37">
        <v>2084.42</v>
      </c>
      <c r="AR18" s="37">
        <v>2297.88</v>
      </c>
      <c r="AS18" s="37">
        <v>2374.56</v>
      </c>
      <c r="AT18" s="37">
        <v>2476.8000000000002</v>
      </c>
      <c r="AU18" s="37">
        <v>2547.0700000000002</v>
      </c>
      <c r="AV18" s="37">
        <v>2642.56</v>
      </c>
      <c r="AY18" s="37">
        <v>2148.83</v>
      </c>
      <c r="AZ18" s="37">
        <v>2368.88</v>
      </c>
      <c r="BA18" s="37">
        <v>2447.9299999999998</v>
      </c>
      <c r="BB18" s="37">
        <v>2553.33</v>
      </c>
      <c r="BC18" s="37">
        <v>2625.77</v>
      </c>
      <c r="BD18" s="37">
        <v>2730.08</v>
      </c>
      <c r="BG18" s="37">
        <v>2171.61</v>
      </c>
      <c r="BH18" s="37">
        <v>2393.9899999999998</v>
      </c>
      <c r="BI18" s="37">
        <v>2473.88</v>
      </c>
      <c r="BJ18" s="37">
        <v>2580.4</v>
      </c>
      <c r="BK18" s="37">
        <v>2653.6</v>
      </c>
      <c r="BL18" s="37">
        <v>2760.98</v>
      </c>
      <c r="BO18" s="37">
        <f t="shared" si="20"/>
        <v>2221.61</v>
      </c>
      <c r="BP18" s="37">
        <f t="shared" si="21"/>
        <v>2443.9899999999998</v>
      </c>
      <c r="BQ18" s="37">
        <f t="shared" si="22"/>
        <v>2523.88</v>
      </c>
      <c r="BR18" s="37">
        <f t="shared" si="23"/>
        <v>2630.4</v>
      </c>
      <c r="BS18" s="37">
        <f t="shared" si="24"/>
        <v>2703.6</v>
      </c>
      <c r="BT18" s="37">
        <f t="shared" si="25"/>
        <v>2810.98</v>
      </c>
      <c r="BW18" s="37">
        <f t="shared" si="26"/>
        <v>2261.6</v>
      </c>
      <c r="BX18" s="37">
        <f t="shared" si="27"/>
        <v>2487.98</v>
      </c>
      <c r="BY18" s="37">
        <f t="shared" si="28"/>
        <v>2569.31</v>
      </c>
      <c r="BZ18" s="37">
        <f t="shared" si="29"/>
        <v>2677.75</v>
      </c>
      <c r="CA18" s="37">
        <f t="shared" si="30"/>
        <v>2752.26</v>
      </c>
      <c r="CB18" s="37">
        <f t="shared" si="31"/>
        <v>2861.58</v>
      </c>
    </row>
    <row r="19" spans="2:80">
      <c r="B19" s="74">
        <v>2</v>
      </c>
      <c r="C19" s="37">
        <v>1908.26</v>
      </c>
      <c r="D19" s="37">
        <v>2103.09</v>
      </c>
      <c r="E19" s="37">
        <v>2163.6</v>
      </c>
      <c r="F19" s="37">
        <v>2224.12</v>
      </c>
      <c r="G19" s="37">
        <v>2357.19</v>
      </c>
      <c r="H19" s="37">
        <v>2496.38</v>
      </c>
      <c r="J19" s="74" t="str">
        <f t="shared" si="35"/>
        <v>2Ü</v>
      </c>
      <c r="K19" s="37">
        <v>1973.6</v>
      </c>
      <c r="L19" s="37">
        <v>2175.71</v>
      </c>
      <c r="M19" s="37">
        <v>2248.31</v>
      </c>
      <c r="N19" s="37">
        <v>2345.12</v>
      </c>
      <c r="O19" s="37">
        <v>2411.66</v>
      </c>
      <c r="P19" s="37">
        <v>2461.3000000000002</v>
      </c>
      <c r="R19" s="74" t="s">
        <v>14</v>
      </c>
      <c r="S19" s="37">
        <f t="shared" si="41"/>
        <v>2019.98</v>
      </c>
      <c r="T19" s="37">
        <f t="shared" si="42"/>
        <v>2226.84</v>
      </c>
      <c r="U19" s="37">
        <f t="shared" si="43"/>
        <v>2301.15</v>
      </c>
      <c r="V19" s="37">
        <f t="shared" si="44"/>
        <v>2400.23</v>
      </c>
      <c r="W19" s="37">
        <f t="shared" si="45"/>
        <v>2468.33</v>
      </c>
      <c r="X19" s="37">
        <f t="shared" si="46"/>
        <v>2519.14</v>
      </c>
      <c r="Y19" s="135" t="s">
        <v>430</v>
      </c>
      <c r="Z19" s="74" t="s">
        <v>14</v>
      </c>
      <c r="AA19" s="112">
        <f t="shared" si="34"/>
        <v>2019.98</v>
      </c>
      <c r="AB19" s="112">
        <f t="shared" si="36"/>
        <v>2226.84</v>
      </c>
      <c r="AC19" s="112">
        <f t="shared" si="37"/>
        <v>2301.15</v>
      </c>
      <c r="AD19" s="112">
        <f t="shared" si="38"/>
        <v>2400.23</v>
      </c>
      <c r="AE19" s="112">
        <f t="shared" si="39"/>
        <v>2468.33</v>
      </c>
      <c r="AF19" s="112">
        <f t="shared" si="40"/>
        <v>2519.14</v>
      </c>
      <c r="AH19" s="74">
        <v>2</v>
      </c>
      <c r="AI19" s="37">
        <v>2037.85</v>
      </c>
      <c r="AJ19" s="37">
        <v>2234.7399999999998</v>
      </c>
      <c r="AK19" s="37">
        <v>2290.29</v>
      </c>
      <c r="AL19" s="37">
        <v>2354.37</v>
      </c>
      <c r="AM19" s="37">
        <v>2495.2199999999998</v>
      </c>
      <c r="AN19" s="37">
        <v>2642.56</v>
      </c>
      <c r="AQ19" s="37">
        <v>2037.85</v>
      </c>
      <c r="AR19" s="37">
        <v>2234.7399999999998</v>
      </c>
      <c r="AS19" s="37">
        <v>2290.29</v>
      </c>
      <c r="AT19" s="37">
        <v>2354.37</v>
      </c>
      <c r="AU19" s="37">
        <v>2495.2199999999998</v>
      </c>
      <c r="AV19" s="37">
        <v>2642.56</v>
      </c>
      <c r="AY19" s="37">
        <v>2122.6</v>
      </c>
      <c r="AZ19" s="37">
        <v>2316.9699999999998</v>
      </c>
      <c r="BA19" s="37">
        <v>2366.14</v>
      </c>
      <c r="BB19" s="37">
        <v>2432.35</v>
      </c>
      <c r="BC19" s="37">
        <v>2577.86</v>
      </c>
      <c r="BD19" s="37">
        <v>2730.08</v>
      </c>
      <c r="BG19" s="37">
        <v>2152.5100000000002</v>
      </c>
      <c r="BH19" s="37">
        <v>2346</v>
      </c>
      <c r="BI19" s="37">
        <v>2392.92</v>
      </c>
      <c r="BJ19" s="37">
        <v>2459.87</v>
      </c>
      <c r="BK19" s="37">
        <v>2607.0300000000002</v>
      </c>
      <c r="BL19" s="37">
        <v>2760.98</v>
      </c>
      <c r="BO19" s="37">
        <f t="shared" si="20"/>
        <v>2202.5100000000002</v>
      </c>
      <c r="BP19" s="37">
        <f t="shared" si="21"/>
        <v>2396</v>
      </c>
      <c r="BQ19" s="37">
        <f t="shared" si="22"/>
        <v>2442.92</v>
      </c>
      <c r="BR19" s="37">
        <f t="shared" si="23"/>
        <v>2509.87</v>
      </c>
      <c r="BS19" s="37">
        <f t="shared" si="24"/>
        <v>2657.03</v>
      </c>
      <c r="BT19" s="37">
        <f t="shared" si="25"/>
        <v>2810.98</v>
      </c>
      <c r="BW19" s="37">
        <f t="shared" si="26"/>
        <v>2242.16</v>
      </c>
      <c r="BX19" s="37">
        <f t="shared" si="27"/>
        <v>2439.13</v>
      </c>
      <c r="BY19" s="37">
        <f t="shared" si="28"/>
        <v>2486.89</v>
      </c>
      <c r="BZ19" s="37">
        <f t="shared" si="29"/>
        <v>2555.0500000000002</v>
      </c>
      <c r="CA19" s="37">
        <f t="shared" si="30"/>
        <v>2704.86</v>
      </c>
      <c r="CB19" s="37">
        <f t="shared" si="31"/>
        <v>2861.58</v>
      </c>
    </row>
    <row r="20" spans="2:80">
      <c r="B20" s="74">
        <v>1</v>
      </c>
      <c r="C20" s="37" t="s">
        <v>15</v>
      </c>
      <c r="D20" s="37">
        <v>1711.04</v>
      </c>
      <c r="E20" s="37">
        <v>1740.08</v>
      </c>
      <c r="F20" s="37">
        <v>1776.39</v>
      </c>
      <c r="G20" s="37">
        <v>1810.25</v>
      </c>
      <c r="H20" s="37">
        <v>1897.38</v>
      </c>
      <c r="J20" s="74">
        <f t="shared" si="35"/>
        <v>2</v>
      </c>
      <c r="K20" s="37">
        <v>1908.26</v>
      </c>
      <c r="L20" s="37">
        <v>2103.09</v>
      </c>
      <c r="M20" s="37">
        <v>2163.6</v>
      </c>
      <c r="N20" s="37">
        <v>2224.12</v>
      </c>
      <c r="O20" s="37">
        <v>2357.19</v>
      </c>
      <c r="P20" s="37">
        <v>2496.38</v>
      </c>
      <c r="R20" s="74">
        <v>2</v>
      </c>
      <c r="S20" s="37">
        <f t="shared" si="41"/>
        <v>1953.1</v>
      </c>
      <c r="T20" s="37">
        <f t="shared" si="42"/>
        <v>2152.5100000000002</v>
      </c>
      <c r="U20" s="37">
        <f t="shared" si="43"/>
        <v>2214.44</v>
      </c>
      <c r="V20" s="37">
        <f t="shared" si="44"/>
        <v>2276.39</v>
      </c>
      <c r="W20" s="37">
        <f t="shared" si="45"/>
        <v>2412.58</v>
      </c>
      <c r="X20" s="37">
        <f t="shared" si="46"/>
        <v>2555.04</v>
      </c>
      <c r="Y20" s="135" t="s">
        <v>430</v>
      </c>
      <c r="Z20" s="74">
        <v>2</v>
      </c>
      <c r="AA20" s="112">
        <f t="shared" si="34"/>
        <v>1953.1</v>
      </c>
      <c r="AB20" s="112">
        <f t="shared" si="36"/>
        <v>2152.5100000000002</v>
      </c>
      <c r="AC20" s="112">
        <f t="shared" si="37"/>
        <v>2214.44</v>
      </c>
      <c r="AD20" s="112">
        <f t="shared" si="38"/>
        <v>2276.39</v>
      </c>
      <c r="AE20" s="112">
        <f t="shared" si="39"/>
        <v>2412.58</v>
      </c>
      <c r="AF20" s="112">
        <f t="shared" si="40"/>
        <v>2555.04</v>
      </c>
      <c r="AH20" s="74">
        <v>1</v>
      </c>
      <c r="AI20" s="37" t="s">
        <v>15</v>
      </c>
      <c r="AJ20" s="37">
        <v>1827.17</v>
      </c>
      <c r="AK20" s="37">
        <v>1858.18</v>
      </c>
      <c r="AL20" s="37">
        <v>1896.96</v>
      </c>
      <c r="AM20" s="37">
        <v>1933.11</v>
      </c>
      <c r="AN20" s="37">
        <v>2026.15</v>
      </c>
      <c r="AQ20" s="37" t="s">
        <v>15</v>
      </c>
      <c r="AR20" s="37">
        <v>1827.17</v>
      </c>
      <c r="AS20" s="37">
        <v>1858.18</v>
      </c>
      <c r="AT20" s="37">
        <v>1896.96</v>
      </c>
      <c r="AU20" s="37">
        <v>1933.11</v>
      </c>
      <c r="AV20" s="37">
        <v>2026.15</v>
      </c>
      <c r="AY20" s="37" t="s">
        <v>15</v>
      </c>
      <c r="AZ20" s="37">
        <v>1903.09</v>
      </c>
      <c r="BA20" s="37">
        <v>1935.39</v>
      </c>
      <c r="BB20" s="37">
        <v>1975.78</v>
      </c>
      <c r="BC20" s="37">
        <v>2013.43</v>
      </c>
      <c r="BD20" s="37">
        <v>2110.33</v>
      </c>
      <c r="BG20" s="37" t="s">
        <v>15</v>
      </c>
      <c r="BH20" s="37">
        <v>1929.88</v>
      </c>
      <c r="BI20" s="37">
        <v>1962.63</v>
      </c>
      <c r="BJ20" s="37">
        <v>2003.59</v>
      </c>
      <c r="BK20" s="37">
        <v>2041.77</v>
      </c>
      <c r="BL20" s="37">
        <v>2140.0500000000002</v>
      </c>
      <c r="BO20" s="37" t="str">
        <f t="shared" si="20"/>
        <v>-</v>
      </c>
      <c r="BP20" s="37">
        <f t="shared" si="21"/>
        <v>1979.88</v>
      </c>
      <c r="BQ20" s="37">
        <f t="shared" si="22"/>
        <v>2012.63</v>
      </c>
      <c r="BR20" s="37">
        <f t="shared" si="23"/>
        <v>2053.59</v>
      </c>
      <c r="BS20" s="37">
        <f t="shared" si="24"/>
        <v>2091.77</v>
      </c>
      <c r="BT20" s="37">
        <f t="shared" si="25"/>
        <v>2190.0500000000002</v>
      </c>
      <c r="BW20" s="37" t="str">
        <f t="shared" si="26"/>
        <v>-</v>
      </c>
      <c r="BX20" s="37">
        <f t="shared" si="27"/>
        <v>2015.52</v>
      </c>
      <c r="BY20" s="37">
        <f t="shared" si="28"/>
        <v>2048.86</v>
      </c>
      <c r="BZ20" s="37">
        <f t="shared" si="29"/>
        <v>2090.5500000000002</v>
      </c>
      <c r="CA20" s="37">
        <f t="shared" si="30"/>
        <v>2129.42</v>
      </c>
      <c r="CB20" s="37">
        <f t="shared" si="31"/>
        <v>2229.4699999999998</v>
      </c>
    </row>
    <row r="21" spans="2:80">
      <c r="B21" s="37" t="str">
        <f>""</f>
        <v/>
      </c>
      <c r="C21" s="37">
        <v>0</v>
      </c>
      <c r="D21" s="37">
        <v>0</v>
      </c>
      <c r="E21" s="37">
        <v>0</v>
      </c>
      <c r="F21" s="37">
        <v>0</v>
      </c>
      <c r="G21" s="37">
        <v>0</v>
      </c>
      <c r="H21" s="37">
        <v>0</v>
      </c>
      <c r="J21" s="74">
        <f t="shared" si="35"/>
        <v>1</v>
      </c>
      <c r="K21" s="37" t="s">
        <v>15</v>
      </c>
      <c r="L21" s="37">
        <v>1711.04</v>
      </c>
      <c r="M21" s="37">
        <v>1740.08</v>
      </c>
      <c r="N21" s="37">
        <v>1776.39</v>
      </c>
      <c r="O21" s="37">
        <v>1810.25</v>
      </c>
      <c r="P21" s="37">
        <v>1897.38</v>
      </c>
      <c r="R21" s="74">
        <v>1</v>
      </c>
      <c r="S21" s="37" t="str">
        <f t="shared" si="41"/>
        <v>-</v>
      </c>
      <c r="T21" s="37">
        <f t="shared" si="42"/>
        <v>1751.25</v>
      </c>
      <c r="U21" s="37">
        <f t="shared" si="43"/>
        <v>1780.97</v>
      </c>
      <c r="V21" s="37">
        <f t="shared" si="44"/>
        <v>1818.14</v>
      </c>
      <c r="W21" s="37">
        <f t="shared" si="45"/>
        <v>1852.79</v>
      </c>
      <c r="X21" s="37">
        <f t="shared" si="46"/>
        <v>1941.97</v>
      </c>
      <c r="Y21" s="135" t="s">
        <v>430</v>
      </c>
      <c r="Z21" s="74">
        <v>1</v>
      </c>
      <c r="AA21" s="112" t="str">
        <f t="shared" si="34"/>
        <v>-</v>
      </c>
      <c r="AB21" s="112">
        <f t="shared" si="36"/>
        <v>1751.25</v>
      </c>
      <c r="AC21" s="112">
        <f t="shared" si="37"/>
        <v>1780.97</v>
      </c>
      <c r="AD21" s="112">
        <f t="shared" si="38"/>
        <v>1818.14</v>
      </c>
      <c r="AE21" s="112">
        <f t="shared" si="39"/>
        <v>1852.79</v>
      </c>
      <c r="AF21" s="112">
        <f t="shared" si="40"/>
        <v>1941.97</v>
      </c>
      <c r="BN21" s="396" t="s">
        <v>325</v>
      </c>
      <c r="BO21" s="466">
        <v>50</v>
      </c>
      <c r="BV21" s="396" t="s">
        <v>325</v>
      </c>
      <c r="BW21" s="466"/>
    </row>
    <row r="22" spans="2:80">
      <c r="Y22" s="135" t="s">
        <v>430</v>
      </c>
    </row>
    <row r="23" spans="2:80">
      <c r="Q23" s="81"/>
      <c r="R23" s="81"/>
      <c r="S23" s="81"/>
      <c r="T23" s="81"/>
      <c r="U23" s="81"/>
      <c r="Y23" s="135" t="s">
        <v>430</v>
      </c>
      <c r="BN23" s="220" t="s">
        <v>134</v>
      </c>
      <c r="BO23" s="229">
        <v>1.014</v>
      </c>
      <c r="BP23" s="135" t="str">
        <f>IF(BO23&gt;0,FIXED((BO23-1)*100,2),0)</f>
        <v>1,40</v>
      </c>
      <c r="BV23" s="220" t="s">
        <v>134</v>
      </c>
      <c r="BW23" s="229">
        <v>1.018</v>
      </c>
      <c r="BX23" s="135" t="str">
        <f>IF(BW23&gt;0,FIXED((BW23-1)*100,2),0)</f>
        <v>1,80</v>
      </c>
    </row>
    <row r="24" spans="2:80">
      <c r="R24" s="81"/>
      <c r="S24" s="81"/>
      <c r="Y24" s="135" t="s">
        <v>430</v>
      </c>
    </row>
    <row r="25" spans="2:80">
      <c r="Q25" s="161" t="s">
        <v>435</v>
      </c>
      <c r="R25" s="220" t="s">
        <v>134</v>
      </c>
      <c r="S25" s="229">
        <v>1.0235000000000001</v>
      </c>
      <c r="T25" s="135" t="str">
        <f>IF(S25&gt;0,FIXED((S25-1)*100,2),0)</f>
        <v>2,35</v>
      </c>
      <c r="Y25" s="135" t="s">
        <v>430</v>
      </c>
    </row>
    <row r="26" spans="2:80">
      <c r="Q26" s="396" t="s">
        <v>327</v>
      </c>
      <c r="R26" s="221" t="s">
        <v>136</v>
      </c>
      <c r="S26" s="229">
        <v>1.0235000000000001</v>
      </c>
      <c r="T26" s="135" t="str">
        <f>IF(S26&gt;0,FIXED((S26-1)*100,2),0)</f>
        <v>2,35</v>
      </c>
      <c r="Y26" s="135" t="s">
        <v>430</v>
      </c>
    </row>
    <row r="27" spans="2:80">
      <c r="Q27" s="81"/>
      <c r="R27" s="162" t="s">
        <v>196</v>
      </c>
      <c r="Y27" s="135" t="s">
        <v>430</v>
      </c>
    </row>
    <row r="28" spans="2:80">
      <c r="B28" s="158" t="str">
        <f>Para!E146</f>
        <v>ab 1.03.2016</v>
      </c>
      <c r="J28" s="158" t="str">
        <f>Para!E147</f>
        <v>ab 1.01.2017</v>
      </c>
      <c r="Q28" s="81"/>
      <c r="R28" s="158" t="str">
        <f>Para!E148</f>
        <v>ab 1.02.2017</v>
      </c>
      <c r="Y28" s="135" t="s">
        <v>430</v>
      </c>
      <c r="Z28" s="158" t="str">
        <f>Para!E149</f>
        <v>ab 1.01.2018</v>
      </c>
      <c r="AH28" s="135" t="str">
        <f>Para!E150</f>
        <v>ab 1.03.2018</v>
      </c>
      <c r="AP28" s="135" t="str">
        <f>Para!E151</f>
        <v>ab 1.10.2018</v>
      </c>
      <c r="AX28" s="135" t="str">
        <f>Para!E152</f>
        <v>ab 1.04.2019</v>
      </c>
      <c r="BF28" s="135" t="str">
        <f>Para!E153</f>
        <v>ab 1.03.2020</v>
      </c>
      <c r="BN28" s="135" t="str">
        <f>Para!E154</f>
        <v>ab 1.04.2021</v>
      </c>
      <c r="BV28" s="135" t="str">
        <f>Para!E155</f>
        <v>ab 1.04.2022</v>
      </c>
    </row>
    <row r="29" spans="2:80">
      <c r="B29" s="158" t="str">
        <f>Para!F146</f>
        <v>( ab 1.03.2016 )</v>
      </c>
      <c r="J29" s="158" t="str">
        <f>Para!F147</f>
        <v>( ab 1.01.2017 )</v>
      </c>
      <c r="Q29" s="81"/>
      <c r="R29" s="158" t="str">
        <f>Para!F148</f>
        <v>( ab 1.02.2017 )</v>
      </c>
      <c r="Y29" s="135" t="s">
        <v>430</v>
      </c>
      <c r="Z29" s="158" t="str">
        <f>Para!F149</f>
        <v>( ab 1.01.2018 - Redaktionsvorbehalt )</v>
      </c>
      <c r="AH29" s="524" t="str">
        <f>Para!F150</f>
        <v>( ab 1.03.2018 )</v>
      </c>
      <c r="AP29" s="524" t="str">
        <f>Para!F151</f>
        <v>( ab 1.10.2018 )</v>
      </c>
      <c r="AX29" s="524" t="str">
        <f>Para!F152</f>
        <v>( ab 1.04.2019 )</v>
      </c>
      <c r="BF29" s="524" t="str">
        <f>Para!F153</f>
        <v>( ab 1.03.2020 )</v>
      </c>
      <c r="BN29" s="524" t="str">
        <f>Para!F154</f>
        <v>( ab 1.04.2021 )</v>
      </c>
      <c r="BV29" s="524" t="str">
        <f>Para!F155</f>
        <v>( ab 1.04.2022 )</v>
      </c>
    </row>
    <row r="30" spans="2:80">
      <c r="B30" s="142" t="str">
        <f>Para!G146</f>
        <v>Stand 1.03.2016</v>
      </c>
      <c r="J30" s="142" t="str">
        <f>Para!G147</f>
        <v>Stand 1.01.2017</v>
      </c>
      <c r="Q30" s="81"/>
      <c r="R30" s="142" t="str">
        <f>Para!G148</f>
        <v>Stand 1.02.2017</v>
      </c>
      <c r="Y30" s="135" t="s">
        <v>430</v>
      </c>
      <c r="Z30" s="142" t="str">
        <f>Para!G149</f>
        <v>Stand 1.01.2018</v>
      </c>
      <c r="AH30" s="142" t="str">
        <f>Para!G150</f>
        <v>Stand 1.03.2018</v>
      </c>
      <c r="AP30" s="135" t="str">
        <f>Para!G151</f>
        <v>Stand 1.10.2018</v>
      </c>
      <c r="AX30" s="135" t="str">
        <f>Para!G152</f>
        <v>Stand 1.04.2019</v>
      </c>
      <c r="BF30" s="135" t="str">
        <f>Para!G153</f>
        <v>Stand 1.03.2020</v>
      </c>
      <c r="BN30" s="135" t="str">
        <f>Para!G154</f>
        <v>Stand 1.04.2021</v>
      </c>
      <c r="BV30" s="135" t="str">
        <f>Para!G155</f>
        <v>Stand 1.04.2022</v>
      </c>
    </row>
    <row r="31" spans="2:80">
      <c r="B31" s="158" t="str">
        <f>Para!H146</f>
        <v xml:space="preserve"> (gilt bis 31.12.2016)</v>
      </c>
      <c r="J31" s="158" t="str">
        <f>Para!H147</f>
        <v xml:space="preserve"> (gilt bis 31.01.2017)</v>
      </c>
      <c r="Q31" s="81"/>
      <c r="R31" s="158" t="str">
        <f>Para!H148</f>
        <v xml:space="preserve"> (gilt bis 31.12.2017)</v>
      </c>
      <c r="Y31" s="135" t="s">
        <v>430</v>
      </c>
      <c r="Z31" s="158" t="str">
        <f>Para!H149</f>
        <v xml:space="preserve"> (mind bis 28.02.2018)</v>
      </c>
      <c r="AH31" s="135" t="str">
        <f>Para!H150</f>
        <v xml:space="preserve"> (gilt bis 30.09.2018)</v>
      </c>
      <c r="AP31" s="135" t="str">
        <f>Para!H151</f>
        <v xml:space="preserve"> (gilt bis 31.03.2019)</v>
      </c>
      <c r="AX31" s="135" t="str">
        <f>Para!H152</f>
        <v xml:space="preserve"> (gilt bis 29.02.2020)</v>
      </c>
      <c r="BF31" s="135" t="str">
        <f>Para!H153</f>
        <v xml:space="preserve"> ( gilt bis 31.03.2021 )</v>
      </c>
      <c r="BN31" s="135" t="str">
        <f>Para!H154</f>
        <v xml:space="preserve"> ( gilt bis 31.03.2022 )</v>
      </c>
      <c r="BV31" s="135" t="str">
        <f>Para!H155</f>
        <v xml:space="preserve"> ( mind bis 31.12.2022 )</v>
      </c>
    </row>
    <row r="32" spans="2:80">
      <c r="Q32" s="81"/>
      <c r="R32" s="135" t="str">
        <f>IF(AND(S24=0,S25&gt;1)," ( + "&amp;T25&amp;" % ) ",IF(AND(S24&gt;0,S25&gt;1,W24=1)," ( + "&amp;S24&amp;" Euro ",IF(AND(S24&gt;0,S25&gt;1,W24=2)," ( + "&amp;T25&amp;" % ","")))</f>
        <v xml:space="preserve"> ( + 2,35 % ) </v>
      </c>
      <c r="Y32" s="135" t="s">
        <v>430</v>
      </c>
    </row>
    <row r="33" spans="2:74">
      <c r="Q33" s="81"/>
      <c r="R33" s="135" t="str">
        <f>IF(AND(S24=0,S25&gt;1)," ( + "&amp;T25&amp;" % ) ",IF(AND(S24&gt;0,S25&gt;1,W24=1),"  + "&amp;T25&amp;" % )",IF(AND(S24&gt;0,S25&gt;1,W24=2),"  + "&amp;S24&amp;" Euro )","")))</f>
        <v xml:space="preserve"> ( + 2,35 % ) </v>
      </c>
    </row>
    <row r="34" spans="2:74">
      <c r="B34" s="145" t="s">
        <v>271</v>
      </c>
      <c r="J34" s="475" t="s">
        <v>439</v>
      </c>
      <c r="Q34" s="81"/>
      <c r="R34" s="145" t="str">
        <f>IF(AND(S24=0,S23&gt;1)," ( + "&amp;T25&amp;" % mind "&amp;S23&amp;" € ) ",IF(AND(S24&gt;0,S25&gt;1),R32&amp;R33,IF(AND(S24&gt;0,S25=1),R32,R33)))</f>
        <v xml:space="preserve"> ( + 2,35 % ) </v>
      </c>
      <c r="Z34" s="475" t="s">
        <v>437</v>
      </c>
      <c r="AH34" s="135" t="str">
        <f>Para!C150</f>
        <v xml:space="preserve"> ( Ø Plus von 3,19 % ) </v>
      </c>
      <c r="AP34" s="475" t="s">
        <v>486</v>
      </c>
      <c r="AX34" s="135" t="str">
        <f>Para!C152</f>
        <v xml:space="preserve"> ( Ø Plus von 3,09 % )</v>
      </c>
      <c r="BF34" s="135" t="str">
        <f>Para!C153</f>
        <v xml:space="preserve"> ( Ø Plus von 1,06 % )</v>
      </c>
      <c r="BN34" s="135" t="str">
        <f>Para!C154</f>
        <v xml:space="preserve"> ( + 1,40 % mind 50 Euro ) </v>
      </c>
      <c r="BV34" s="135" t="str">
        <f>Para!C155</f>
        <v xml:space="preserve"> ( + 1,80 % ) </v>
      </c>
    </row>
    <row r="42" spans="2:74">
      <c r="S42" s="37"/>
      <c r="T42" s="37"/>
      <c r="U42" s="37"/>
      <c r="V42" s="37"/>
      <c r="W42" s="37"/>
      <c r="X42" s="37"/>
    </row>
    <row r="43" spans="2:74">
      <c r="S43" s="37"/>
      <c r="T43" s="37"/>
      <c r="U43" s="37"/>
      <c r="V43" s="37"/>
      <c r="W43" s="37"/>
      <c r="X43" s="37"/>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CC3399"/>
    <pageSetUpPr autoPageBreaks="0" fitToPage="1"/>
  </sheetPr>
  <dimension ref="A1:U200"/>
  <sheetViews>
    <sheetView showGridLines="0" showRowColHeaders="0" showZeros="0" tabSelected="1" showOutlineSymbols="0" zoomScaleNormal="100" zoomScaleSheetLayoutView="50" workbookViewId="0">
      <selection activeCell="B2" sqref="B2:D2"/>
    </sheetView>
  </sheetViews>
  <sheetFormatPr baseColWidth="10" defaultColWidth="10.7109375" defaultRowHeight="11.25" customHeight="1"/>
  <cols>
    <col min="1" max="1" width="1.42578125" style="249" customWidth="1"/>
    <col min="2" max="2" width="5.7109375" style="249" customWidth="1"/>
    <col min="3" max="3" width="7.140625" style="249" customWidth="1"/>
    <col min="4" max="9" width="10.7109375" style="249" customWidth="1"/>
    <col min="10" max="10" width="17.85546875" style="249" customWidth="1"/>
    <col min="11" max="11" width="5.7109375" style="249" customWidth="1"/>
    <col min="12" max="12" width="7.28515625" style="249" customWidth="1"/>
    <col min="13" max="16384" width="10.7109375" style="249"/>
  </cols>
  <sheetData>
    <row r="1" spans="2:20" ht="7.5" customHeight="1"/>
    <row r="2" spans="2:20" s="108" customFormat="1" ht="15" customHeight="1">
      <c r="B2" s="631" t="s">
        <v>661</v>
      </c>
      <c r="C2" s="631"/>
      <c r="D2" s="631"/>
      <c r="E2" s="632" t="s">
        <v>398</v>
      </c>
      <c r="F2" s="632"/>
      <c r="G2" s="632"/>
      <c r="H2" s="632"/>
      <c r="I2" s="632"/>
      <c r="J2" s="632"/>
      <c r="K2" s="632"/>
      <c r="L2" s="632"/>
      <c r="M2" s="632"/>
      <c r="N2" s="632"/>
      <c r="O2" s="633"/>
      <c r="P2" s="633"/>
      <c r="Q2" s="634"/>
      <c r="R2" s="634"/>
    </row>
    <row r="3" spans="2:20" s="108" customFormat="1" ht="2.25" customHeight="1">
      <c r="J3" s="125"/>
    </row>
    <row r="4" spans="2:20" s="108" customFormat="1" ht="13.5" customHeight="1">
      <c r="B4" s="123"/>
      <c r="C4" s="123"/>
      <c r="D4" s="130"/>
      <c r="E4" s="124" t="str">
        <f>Kalk!C1</f>
        <v>Stand 1.04.2021 ( gilt bis 31.03.2022 )</v>
      </c>
      <c r="F4" s="123"/>
      <c r="G4" s="123"/>
      <c r="H4" s="124" t="str">
        <f>Kalk!D1</f>
        <v/>
      </c>
      <c r="I4" s="123"/>
      <c r="J4" s="129"/>
      <c r="K4" s="199" t="s">
        <v>225</v>
      </c>
      <c r="L4" s="199"/>
      <c r="M4" s="556"/>
      <c r="N4" s="556"/>
      <c r="O4" s="199" t="s">
        <v>227</v>
      </c>
      <c r="P4" s="557"/>
      <c r="Q4" s="201"/>
      <c r="R4" s="201"/>
      <c r="S4" s="111"/>
    </row>
    <row r="5" spans="2:20" s="108" customFormat="1" ht="13.5" customHeight="1">
      <c r="B5" s="126" t="str">
        <f>IF(Umse!B11=0,""," Tarif   "&amp;Umse!B62)</f>
        <v xml:space="preserve"> Tarif   Stand 1.04.2021</v>
      </c>
      <c r="C5" s="126"/>
      <c r="D5" s="127"/>
      <c r="E5" s="126" t="s">
        <v>120</v>
      </c>
      <c r="F5" s="635" t="str">
        <f>Umse!B50</f>
        <v>Bund</v>
      </c>
      <c r="G5" s="635"/>
      <c r="H5" s="127" t="str">
        <f>IF(OR(Umse!$C$24=0,Umse!$B$11=0),"",IF(Kalk!B4=6,"     Vollzeit","     Vollzeit  "&amp;Kalk!E3))</f>
        <v xml:space="preserve">     Vollzeit  39 Std </v>
      </c>
      <c r="I5" s="128"/>
      <c r="J5" s="139"/>
      <c r="K5" s="199" t="s">
        <v>659</v>
      </c>
      <c r="L5" s="199"/>
      <c r="M5" s="556"/>
      <c r="N5" s="558"/>
      <c r="O5" s="199"/>
      <c r="P5" s="558"/>
      <c r="Q5" s="200"/>
      <c r="R5" s="201"/>
      <c r="S5" s="111"/>
    </row>
    <row r="6" spans="2:20" s="108" customFormat="1" ht="13.5" customHeight="1">
      <c r="I6" s="1"/>
      <c r="J6" s="180"/>
      <c r="K6" s="199" t="s">
        <v>334</v>
      </c>
      <c r="L6" s="199"/>
      <c r="M6" s="556"/>
      <c r="N6" s="559"/>
      <c r="O6" s="199"/>
      <c r="P6" s="556"/>
      <c r="Q6" s="188"/>
      <c r="R6" s="202"/>
      <c r="S6" s="111"/>
    </row>
    <row r="7" spans="2:20" s="268" customFormat="1" ht="2.25" customHeight="1">
      <c r="B7" s="131"/>
      <c r="C7" s="131"/>
      <c r="D7" s="266"/>
      <c r="E7" s="266"/>
      <c r="F7" s="266"/>
      <c r="G7" s="266"/>
      <c r="H7" s="266"/>
      <c r="I7" s="266"/>
      <c r="J7" s="132"/>
      <c r="K7" s="133"/>
      <c r="L7" s="133"/>
      <c r="M7" s="267"/>
      <c r="N7" s="267"/>
      <c r="O7" s="267"/>
      <c r="P7" s="267"/>
      <c r="Q7" s="267"/>
      <c r="R7" s="267"/>
      <c r="T7" s="108"/>
    </row>
    <row r="8" spans="2:20" s="268" customFormat="1" ht="2.25" customHeight="1">
      <c r="B8" s="266"/>
      <c r="C8" s="266"/>
      <c r="D8" s="266"/>
      <c r="E8" s="266"/>
      <c r="F8" s="266"/>
      <c r="G8" s="266"/>
      <c r="H8" s="266"/>
      <c r="I8" s="266"/>
      <c r="J8" s="134"/>
      <c r="K8" s="267"/>
      <c r="L8" s="267"/>
      <c r="M8" s="267"/>
      <c r="N8" s="267"/>
      <c r="O8" s="267"/>
      <c r="P8" s="267"/>
      <c r="Q8" s="267"/>
      <c r="R8" s="267"/>
      <c r="T8" s="108"/>
    </row>
    <row r="9" spans="2:20" s="268" customFormat="1" ht="2.25" customHeight="1">
      <c r="B9" s="266"/>
      <c r="C9" s="266"/>
      <c r="D9" s="266"/>
      <c r="E9" s="266"/>
      <c r="F9" s="266"/>
      <c r="G9" s="266"/>
      <c r="H9" s="266"/>
      <c r="I9" s="266"/>
      <c r="J9" s="134"/>
      <c r="K9" s="267"/>
      <c r="L9" s="267"/>
      <c r="M9" s="267"/>
      <c r="N9" s="267"/>
      <c r="O9" s="267"/>
      <c r="P9" s="267"/>
      <c r="Q9" s="267"/>
      <c r="R9" s="267"/>
      <c r="T9" s="108"/>
    </row>
    <row r="10" spans="2:20" s="108" customFormat="1" ht="13.5" customHeight="1">
      <c r="B10" s="638" t="str">
        <f>K10</f>
        <v>TVöD ( Bund )</v>
      </c>
      <c r="C10" s="638"/>
      <c r="D10" s="638"/>
      <c r="E10" s="636" t="str">
        <f>'B Mask'!E10&amp;'V Mask'!E10&amp;'VKr-AT Mask'!E10&amp;'Kr Mask'!E10&amp;'L Mask'!E10&amp;'AVH Mask'!E10</f>
        <v>Stundenentgelt  ( Vollzeit )</v>
      </c>
      <c r="F10" s="636"/>
      <c r="G10" s="636"/>
      <c r="H10" s="637" t="str">
        <f>IF(OR('B Mask'!H10=0,'V Mask'!H10=0,'VKr-AT Mask'!H10=0,'Kr Mask'!H10=0,'L Mask'!H10=0,'AVH Mask'!H10=0),"",'B Mask'!H10&amp;'V Mask'!H10&amp;'VKr-AT Mask'!H10&amp;'Kr Mask'!H10&amp;'L Mask'!H10&amp;'AVH Mask'!H10)</f>
        <v>Stand 1.04.2021</v>
      </c>
      <c r="I10" s="637"/>
      <c r="J10" s="140"/>
      <c r="K10" s="640" t="str">
        <f>IF(Umse!B11=0,"",'B Mask'!K10&amp;'V Mask'!K10&amp;'VKr-AT Mask'!K10&amp;'Kr Mask'!K10&amp;'L Mask'!K10&amp;'AVH Mask'!K10)</f>
        <v>TVöD ( Bund )</v>
      </c>
      <c r="L10" s="640"/>
      <c r="M10" s="640"/>
      <c r="N10" s="639" t="str">
        <f>IF(Umse!B11=0,"",'B Mask'!N10&amp;'V Mask'!N10&amp;'VKr-AT Mask'!N10&amp;'Kr Mask'!N10&amp;'L Mask'!N10&amp;'AVH Mask'!N10)</f>
        <v xml:space="preserve">Anlage A Bund  ( + 1,40 % mind 50 Euro ) </v>
      </c>
      <c r="O10" s="639"/>
      <c r="P10" s="639"/>
      <c r="Q10" s="645" t="str">
        <f>IF(OR('B Mask'!Q10=0,'V Mask'!Q10=0,'VKr-AT Mask'!Q10=0,'Kr Mask'!Q10=0,'L Mask'!Q10=0,'AVH Mask'!Q10=0),"",'B Mask'!Q10&amp;'V Mask'!Q10&amp;'VKr-AT Mask'!Q10&amp;'Kr Mask'!Q10&amp;'L Mask'!Q10&amp;'AVH Mask'!Q10)</f>
        <v>Stand 1.04.2021</v>
      </c>
      <c r="R10" s="645"/>
    </row>
    <row r="11" spans="2:20" ht="19.5" customHeight="1">
      <c r="B11" s="270" t="str">
        <f>'B Mask'!B11&amp;'V Mask'!B11&amp;'VKr-AT Mask'!B11&amp;'Kr Mask'!B11&amp;'L Mask'!B11&amp;'AVH Mask'!B11</f>
        <v xml:space="preserve">    Entgeltgruppe</v>
      </c>
      <c r="C11" s="252"/>
      <c r="D11" s="252" t="str">
        <f>'B Mask'!D11&amp;'V Mask'!D11&amp;'VKr-AT Mask'!D11&amp;'Kr Mask'!D11&amp;'L Mask'!D11&amp;'AVH Mask'!D11</f>
        <v>Stufe 1</v>
      </c>
      <c r="E11" s="252" t="str">
        <f>'B Mask'!E11&amp;'V Mask'!E11&amp;'VKr-AT Mask'!E11&amp;'Kr Mask'!E11&amp;'L Mask'!E11&amp;'AVH Mask'!E11</f>
        <v>Stufe 2</v>
      </c>
      <c r="F11" s="252" t="str">
        <f>'B Mask'!F11&amp;'V Mask'!F11&amp;'VKr-AT Mask'!F11&amp;'Kr Mask'!F11&amp;'L Mask'!F11&amp;'AVH Mask'!F11</f>
        <v>Stufe 3</v>
      </c>
      <c r="G11" s="252" t="str">
        <f>'B Mask'!G11&amp;'V Mask'!G11&amp;'VKr-AT Mask'!G11&amp;'Kr Mask'!G11&amp;'L Mask'!G11&amp;'AVH Mask'!G11</f>
        <v>Stufe 4</v>
      </c>
      <c r="H11" s="252" t="str">
        <f>'B Mask'!H11&amp;'V Mask'!H11&amp;'VKr-AT Mask'!H11&amp;'Kr Mask'!H11&amp;'L Mask'!H11&amp;'AVH Mask'!H11</f>
        <v>Stufe 5</v>
      </c>
      <c r="I11" s="252" t="str">
        <f>'B Mask'!I11&amp;'V Mask'!I11&amp;'VKr-AT Mask'!I11&amp;'Kr Mask'!I11&amp;'L Mask'!I11&amp;'AVH Mask'!I11</f>
        <v>Stufe 6</v>
      </c>
      <c r="J11" s="253" t="str">
        <f>'B Mask'!J11&amp;'V Mask'!J11&amp;'VKr-AT Mask'!J11&amp;'Kr Mask'!J11&amp;'L Mask'!J11&amp;'AVH Mask'!J11</f>
        <v>Hinweis</v>
      </c>
      <c r="K11" s="270" t="str">
        <f>'B Mask'!K11&amp;'V Mask'!K11&amp;'VKr-AT Mask'!K11&amp;'Kr Mask'!K11&amp;'L Mask'!K11&amp;'AVH Mask'!K11</f>
        <v xml:space="preserve">    Entgeltgruppe</v>
      </c>
      <c r="L11" s="270"/>
      <c r="M11" s="252" t="str">
        <f>'B Mask'!M11&amp;'V Mask'!M11&amp;'VKr-AT Mask'!M11&amp;'Kr Mask'!M11&amp;'L Mask'!M11&amp;'AVH Mask'!M11</f>
        <v>Stufe 1</v>
      </c>
      <c r="N11" s="252" t="str">
        <f>'B Mask'!N11&amp;'V Mask'!N11&amp;'VKr-AT Mask'!N11&amp;'Kr Mask'!N11&amp;'L Mask'!N11&amp;'AVH Mask'!N11</f>
        <v>Stufe 2</v>
      </c>
      <c r="O11" s="252" t="str">
        <f>'B Mask'!O11&amp;'V Mask'!O11&amp;'VKr-AT Mask'!O11&amp;'Kr Mask'!O11&amp;'L Mask'!O11&amp;'AVH Mask'!O11</f>
        <v>Stufe 3</v>
      </c>
      <c r="P11" s="252" t="str">
        <f>'B Mask'!P11&amp;'V Mask'!P11&amp;'VKr-AT Mask'!P11&amp;'Kr Mask'!P11&amp;'L Mask'!P11&amp;'AVH Mask'!P11</f>
        <v>Stufe 4</v>
      </c>
      <c r="Q11" s="252" t="str">
        <f>'B Mask'!Q11&amp;'V Mask'!Q11&amp;'VKr-AT Mask'!Q11&amp;'Kr Mask'!Q11&amp;'L Mask'!Q11&amp;'AVH Mask'!Q11</f>
        <v>Stufe 5</v>
      </c>
      <c r="R11" s="252" t="str">
        <f>'B Mask'!R11&amp;'V Mask'!R11&amp;'VKr-AT Mask'!R11&amp;'Kr Mask'!R11&amp;'L Mask'!R11&amp;'AVH Mask'!R11</f>
        <v>Stufe 6</v>
      </c>
    </row>
    <row r="12" spans="2:20" ht="10.5" customHeight="1">
      <c r="B12" s="273" t="str">
        <f>'B Mask'!B12&amp;'V Mask'!B12&amp;'VKr-AT Mask'!B12&amp;'Kr Mask'!B12&amp;'L Mask'!B12&amp;'AVH Mask'!B12</f>
        <v>EG</v>
      </c>
      <c r="C12" s="274" t="str">
        <f>'B Mask'!C12&amp;'V Mask'!C12&amp;'VKr-AT Mask'!C12&amp;'Kr Mask'!C12&amp;'L Mask'!C12&amp;'AVH Mask'!C12</f>
        <v>15Ü</v>
      </c>
      <c r="D12" s="233">
        <f>IF(OR(Umse!$C$24=0,Umse!$B$11=0),"",IF(AND('B Mask'!D12=0,'V Mask'!D12=0,'VKr-AT Mask'!D12=0,'Kr Mask'!D12=0,'L Mask'!D12=0,'AVH Mask'!D12=0),"",IF(OR('B Mask'!D12="-",'V Mask'!D12="-",'VKr-AT Mask'!D12="-",'Kr Mask'!D12="-",'L Mask'!D12="-",'AVH Mask'!D12="-"),"-",'B Mask'!D12+'V Mask'!D12+'VKr-AT Mask'!D12+'Kr Mask'!D12+'L Mask'!D12+'AVH Mask'!D12)))</f>
        <v>35.47</v>
      </c>
      <c r="E12" s="233">
        <f>IF(OR(Umse!$C$24=0,Umse!$B$11=0),"",IF(AND('B Mask'!E12=0,'V Mask'!E12=0,'VKr-AT Mask'!E12=0,'Kr Mask'!E12=0,'L Mask'!E12=0,'AVH Mask'!E12=0),"",IF(OR('B Mask'!E12="-",'V Mask'!E12="-",'VKr-AT Mask'!E12="-",'Kr Mask'!E12="-",'L Mask'!E12="-",'AVH Mask'!E12="-"),"-",'B Mask'!E12+'V Mask'!E12+'VKr-AT Mask'!E12+'Kr Mask'!E12+'L Mask'!E12+'AVH Mask'!E12)))</f>
        <v>39.36</v>
      </c>
      <c r="F12" s="233">
        <f>IF(OR(Umse!$C$24=0,Umse!$B$11=0),"",IF(AND('B Mask'!F12=0,'V Mask'!F12=0,'VKr-AT Mask'!F12=0,'Kr Mask'!F12=0,'L Mask'!F12=0,'AVH Mask'!F12=0),"",IF(OR('B Mask'!F12="-",'V Mask'!F12="-",'VKr-AT Mask'!F12="-",'Kr Mask'!F12="-",'L Mask'!F12="-",'AVH Mask'!F12="-"),"-",'B Mask'!F12+'V Mask'!F12+'VKr-AT Mask'!F12+'Kr Mask'!F12+'L Mask'!F12+'AVH Mask'!F12)))</f>
        <v>43.05</v>
      </c>
      <c r="G12" s="233">
        <f>IF(OR(Umse!$C$24=0,Umse!$B$11=0),"",IF(AND('B Mask'!G12=0,'V Mask'!G12=0,'VKr-AT Mask'!G12=0,'Kr Mask'!G12=0,'L Mask'!G12=0,'AVH Mask'!G12=0),"",IF(OR('B Mask'!G12="-",'V Mask'!G12="-",'VKr-AT Mask'!G12="-",'Kr Mask'!G12="-",'L Mask'!G12="-",'AVH Mask'!G12="-"),"-",'B Mask'!G12+'V Mask'!G12+'VKr-AT Mask'!G12+'Kr Mask'!G12+'L Mask'!G12+'AVH Mask'!G12)))</f>
        <v>45.51</v>
      </c>
      <c r="H12" s="233">
        <f>IF(OR(Umse!$C$24=0,Umse!$B$11=0),"",IF(AND('B Mask'!H12=0,'V Mask'!H12=0,'VKr-AT Mask'!H12=0,'Kr Mask'!H12=0,'L Mask'!H12=0,'AVH Mask'!H12=0),"",IF(OR('B Mask'!H12="-",'V Mask'!H12="-",'VKr-AT Mask'!H12="-",'Kr Mask'!H12="-",'L Mask'!H12="-",'AVH Mask'!H12="-"),"-",'B Mask'!H12+'V Mask'!H12+'VKr-AT Mask'!H12+'Kr Mask'!H12+'L Mask'!H12+'AVH Mask'!H12)))</f>
        <v>46.09</v>
      </c>
      <c r="I12" s="233" t="str">
        <f>IF(OR(Umse!$C$24=0,Umse!$B$11=0),"",IF(AND('B Mask'!I12=0,'V Mask'!I12=0,'VKr-AT Mask'!I12=0,'Kr Mask'!I12=0,'L Mask'!I12=0,'AVH Mask'!I12=0),"",IF(OR('B Mask'!I12="-",'V Mask'!I12="-",'VKr-AT Mask'!I12="-",'Kr Mask'!I12="-",'L Mask'!I12="-",'AVH Mask'!I12="-"),"-",'B Mask'!I12+'V Mask'!I12+'VKr-AT Mask'!I12+'Kr Mask'!I12+'L Mask'!I12+'AVH Mask'!I12)))</f>
        <v>-</v>
      </c>
      <c r="J12" s="254" t="str">
        <f>'B Mask'!J12&amp;'V Mask'!J12&amp;'VKr-AT Mask'!J12&amp;'Kr Mask'!J12&amp;'L Mask'!J12&amp;'AVH Mask'!J12</f>
        <v/>
      </c>
      <c r="K12" s="273" t="str">
        <f>'B Mask'!K12&amp;'V Mask'!K12&amp;'VKr-AT Mask'!K12&amp;'Kr Mask'!K12&amp;'L Mask'!K12&amp;'AVH Mask'!K12</f>
        <v>EG</v>
      </c>
      <c r="L12" s="274" t="str">
        <f>'B Mask'!L12&amp;'V Mask'!L12&amp;'VKr-AT Mask'!L12&amp;'Kr Mask'!L12&amp;'L Mask'!L12&amp;'AVH Mask'!L12</f>
        <v>15Ü</v>
      </c>
      <c r="M12" s="233">
        <f>IF(OR(Umse!$C$24=0,Umse!$B$11=0),"",IF(AND('B Mask'!M12=0,'V Mask'!M12=0,'VKr-AT Mask'!M12=0,'Kr Mask'!M12=0,'L Mask'!M12=0,'AVH Mask'!M12=0),"",IF(OR('B Mask'!M12="-",'V Mask'!M12="-",'VKr-AT Mask'!M12="-",'Kr Mask'!M12="-",'L Mask'!M12="-",'AVH Mask'!M12="-"),"-",'B Mask'!M12+'V Mask'!M12+'VKr-AT Mask'!M12+'Kr Mask'!M12+'L Mask'!M12+'AVH Mask'!M12)))</f>
        <v>6014.42</v>
      </c>
      <c r="N12" s="233">
        <f>IF(OR(Umse!$C$24=0,Umse!$B$11=0),"",IF(AND('B Mask'!N12=0,'V Mask'!N12=0,'VKr-AT Mask'!N12=0,'Kr Mask'!N12=0,'L Mask'!N12=0,'AVH Mask'!N12=0),"",IF(OR('B Mask'!N12="-",'V Mask'!N12="-",'VKr-AT Mask'!N12="-",'Kr Mask'!N12="-",'L Mask'!N12="-",'AVH Mask'!N12="-"),"-",'B Mask'!N12+'V Mask'!N12+'VKr-AT Mask'!N12+'Kr Mask'!N12+'L Mask'!N12+'AVH Mask'!N12)))</f>
        <v>6674.99</v>
      </c>
      <c r="O12" s="233">
        <f>IF(OR(Umse!$C$24=0,Umse!$B$11=0),"",IF(AND('B Mask'!O12=0,'V Mask'!O12=0,'VKr-AT Mask'!O12=0,'Kr Mask'!O12=0,'L Mask'!O12=0,'AVH Mask'!O12=0),"",IF(OR('B Mask'!O12="-",'V Mask'!O12="-",'VKr-AT Mask'!O12="-",'Kr Mask'!O12="-",'L Mask'!O12="-",'AVH Mask'!O12="-"),"-",'B Mask'!O12+'V Mask'!O12+'VKr-AT Mask'!O12+'Kr Mask'!O12+'L Mask'!O12+'AVH Mask'!O12)))</f>
        <v>7300.76</v>
      </c>
      <c r="P12" s="233">
        <f>IF(OR(Umse!$C$24=0,Umse!$B$11=0),"",IF(AND('B Mask'!P12=0,'V Mask'!P12=0,'VKr-AT Mask'!P12=0,'Kr Mask'!P12=0,'L Mask'!P12=0,'AVH Mask'!P12=0),"",IF(OR('B Mask'!P12="-",'V Mask'!P12="-",'VKr-AT Mask'!P12="-",'Kr Mask'!P12="-",'L Mask'!P12="-",'AVH Mask'!P12="-"),"-",'B Mask'!P12+'V Mask'!P12+'VKr-AT Mask'!P12+'Kr Mask'!P12+'L Mask'!P12+'AVH Mask'!P12)))</f>
        <v>7717.96</v>
      </c>
      <c r="Q12" s="233">
        <f>IF(OR(Umse!$C$24=0,Umse!$B$11=0),"",IF(AND('B Mask'!Q12=0,'V Mask'!Q12=0,'VKr-AT Mask'!Q12=0,'Kr Mask'!Q12=0,'L Mask'!Q12=0,'AVH Mask'!Q12=0),"",IF(OR('B Mask'!Q12="-",'V Mask'!Q12="-",'VKr-AT Mask'!Q12="-",'Kr Mask'!Q12="-",'L Mask'!Q12="-",'AVH Mask'!Q12="-"),"-",'B Mask'!Q12+'V Mask'!Q12+'VKr-AT Mask'!Q12+'Kr Mask'!Q12+'L Mask'!Q12+'AVH Mask'!Q12)))</f>
        <v>7815.3</v>
      </c>
      <c r="R12" s="233" t="str">
        <f>IF(OR(Umse!$C$24=0,Umse!$B$11=0),"",IF(AND('B Mask'!R12=0,'V Mask'!R12=0,'VKr-AT Mask'!R12=0,'Kr Mask'!R12=0,'L Mask'!R12=0,'AVH Mask'!R12=0),"",IF(OR('B Mask'!R12="-",'V Mask'!R12="-",'VKr-AT Mask'!R12="-",'Kr Mask'!R12="-",'L Mask'!R12="-",'AVH Mask'!R12="-"),"-",'B Mask'!R12+'V Mask'!R12+'VKr-AT Mask'!R12+'Kr Mask'!R12+'L Mask'!R12+'AVH Mask'!R12)))</f>
        <v>-</v>
      </c>
    </row>
    <row r="13" spans="2:20" ht="10.5" customHeight="1">
      <c r="B13" s="275" t="str">
        <f>'B Mask'!B13&amp;'V Mask'!B13&amp;'VKr-AT Mask'!B13&amp;'Kr Mask'!B13&amp;'L Mask'!B13&amp;'AVH Mask'!B13</f>
        <v>EG</v>
      </c>
      <c r="C13" s="276" t="str">
        <f>'B Mask'!C13&amp;'V Mask'!C13&amp;'VKr-AT Mask'!C13&amp;'Kr Mask'!C13&amp;'L Mask'!C13&amp;'AVH Mask'!C13</f>
        <v>15</v>
      </c>
      <c r="D13" s="234">
        <f>IF(OR(Umse!$C$24=0,Umse!$B$11=0),"",IF(AND('B Mask'!D13=0,'V Mask'!D13=0,'VKr-AT Mask'!D13=0,'Kr Mask'!D13=0,'L Mask'!D13=0,'AVH Mask'!D13=0),"",IF(OR('B Mask'!D13="-",'V Mask'!D13="-",'VKr-AT Mask'!D13="-",'Kr Mask'!D13="-",'L Mask'!D13="-",'AVH Mask'!D13="-"),"-",'B Mask'!D13+'V Mask'!D13+'VKr-AT Mask'!D13+'Kr Mask'!D13+'L Mask'!D13+'AVH Mask'!D13)))</f>
        <v>29.06</v>
      </c>
      <c r="E13" s="234">
        <f>IF(OR(Umse!$C$24=0,Umse!$B$11=0),"",IF(AND('B Mask'!E13=0,'V Mask'!E13=0,'VKr-AT Mask'!E13=0,'Kr Mask'!E13=0,'L Mask'!E13=0,'AVH Mask'!E13=0),"",IF(OR('B Mask'!E13="-",'V Mask'!E13="-",'VKr-AT Mask'!E13="-",'Kr Mask'!E13="-",'L Mask'!E13="-",'AVH Mask'!E13="-"),"-",'B Mask'!E13+'V Mask'!E13+'VKr-AT Mask'!E13+'Kr Mask'!E13+'L Mask'!E13+'AVH Mask'!E13)))</f>
        <v>31.04</v>
      </c>
      <c r="F13" s="234">
        <f>IF(OR(Umse!$C$24=0,Umse!$B$11=0),"",IF(AND('B Mask'!F13=0,'V Mask'!F13=0,'VKr-AT Mask'!F13=0,'Kr Mask'!F13=0,'L Mask'!F13=0,'AVH Mask'!F13=0),"",IF(OR('B Mask'!F13="-",'V Mask'!F13="-",'VKr-AT Mask'!F13="-",'Kr Mask'!F13="-",'L Mask'!F13="-",'AVH Mask'!F13="-"),"-",'B Mask'!F13+'V Mask'!F13+'VKr-AT Mask'!F13+'Kr Mask'!F13+'L Mask'!F13+'AVH Mask'!F13)))</f>
        <v>33.24</v>
      </c>
      <c r="G13" s="234">
        <f>IF(OR(Umse!$C$24=0,Umse!$B$11=0),"",IF(AND('B Mask'!G13=0,'V Mask'!G13=0,'VKr-AT Mask'!G13=0,'Kr Mask'!G13=0,'L Mask'!G13=0,'AVH Mask'!G13=0),"",IF(OR('B Mask'!G13="-",'V Mask'!G13="-",'VKr-AT Mask'!G13="-",'Kr Mask'!G13="-",'L Mask'!G13="-",'AVH Mask'!G13="-"),"-",'B Mask'!G13+'V Mask'!G13+'VKr-AT Mask'!G13+'Kr Mask'!G13+'L Mask'!G13+'AVH Mask'!G13)))</f>
        <v>36.25</v>
      </c>
      <c r="H13" s="234">
        <f>IF(OR(Umse!$C$24=0,Umse!$B$11=0),"",IF(AND('B Mask'!H13=0,'V Mask'!H13=0,'VKr-AT Mask'!H13=0,'Kr Mask'!H13=0,'L Mask'!H13=0,'AVH Mask'!H13=0),"",IF(OR('B Mask'!H13="-",'V Mask'!H13="-",'VKr-AT Mask'!H13="-",'Kr Mask'!H13="-",'L Mask'!H13="-",'AVH Mask'!H13="-"),"-",'B Mask'!H13+'V Mask'!H13+'VKr-AT Mask'!H13+'Kr Mask'!H13+'L Mask'!H13+'AVH Mask'!H13)))</f>
        <v>39.35</v>
      </c>
      <c r="I13" s="234">
        <f>IF(OR(Umse!$C$24=0,Umse!$B$11=0),"",IF(AND('B Mask'!I13=0,'V Mask'!I13=0,'VKr-AT Mask'!I13=0,'Kr Mask'!I13=0,'L Mask'!I13=0,'AVH Mask'!I13=0),"",IF(OR('B Mask'!I13="-",'V Mask'!I13="-",'VKr-AT Mask'!I13="-",'Kr Mask'!I13="-",'L Mask'!I13="-",'AVH Mask'!I13="-"),"-",'B Mask'!I13+'V Mask'!I13+'VKr-AT Mask'!I13+'Kr Mask'!I13+'L Mask'!I13+'AVH Mask'!I13)))</f>
        <v>41.39</v>
      </c>
      <c r="J13" s="254" t="str">
        <f>'B Mask'!J13&amp;'V Mask'!J13&amp;'VKr-AT Mask'!J13&amp;'Kr Mask'!J13&amp;'L Mask'!J13&amp;'AVH Mask'!J13</f>
        <v/>
      </c>
      <c r="K13" s="275" t="str">
        <f>'B Mask'!K13&amp;'V Mask'!K13&amp;'VKr-AT Mask'!K13&amp;'Kr Mask'!K13&amp;'L Mask'!K13&amp;'AVH Mask'!K13</f>
        <v>EG</v>
      </c>
      <c r="L13" s="276" t="str">
        <f>'B Mask'!L13&amp;'V Mask'!L13&amp;'VKr-AT Mask'!L13&amp;'Kr Mask'!L13&amp;'L Mask'!L13&amp;'AVH Mask'!L13</f>
        <v>15</v>
      </c>
      <c r="M13" s="234">
        <f>IF(OR(Umse!$C$24=0,Umse!$B$11=0),"",IF(AND('B Mask'!M13=0,'V Mask'!M13=0,'VKr-AT Mask'!M13=0,'Kr Mask'!M13=0,'L Mask'!M13=0,'AVH Mask'!M13=0),"",IF(OR('B Mask'!M13="-",'V Mask'!M13="-",'VKr-AT Mask'!M13="-",'Kr Mask'!M13="-",'L Mask'!M13="-",'AVH Mask'!M13="-"),"-",'B Mask'!M13+'V Mask'!M13+'VKr-AT Mask'!M13+'Kr Mask'!M13+'L Mask'!M13+'AVH Mask'!M13)))</f>
        <v>4928.3500000000004</v>
      </c>
      <c r="N13" s="234">
        <f>IF(OR(Umse!$C$24=0,Umse!$B$11=0),"",IF(AND('B Mask'!N13=0,'V Mask'!N13=0,'VKr-AT Mask'!N13=0,'Kr Mask'!N13=0,'L Mask'!N13=0,'AVH Mask'!N13=0),"",IF(OR('B Mask'!N13="-",'V Mask'!N13="-",'VKr-AT Mask'!N13="-",'Kr Mask'!N13="-",'L Mask'!N13="-",'AVH Mask'!N13="-"),"-",'B Mask'!N13+'V Mask'!N13+'VKr-AT Mask'!N13+'Kr Mask'!N13+'L Mask'!N13+'AVH Mask'!N13)))</f>
        <v>5263.48</v>
      </c>
      <c r="O13" s="234">
        <f>IF(OR(Umse!$C$24=0,Umse!$B$11=0),"",IF(AND('B Mask'!O13=0,'V Mask'!O13=0,'VKr-AT Mask'!O13=0,'Kr Mask'!O13=0,'L Mask'!O13=0,'AVH Mask'!O13=0),"",IF(OR('B Mask'!O13="-",'V Mask'!O13="-",'VKr-AT Mask'!O13="-",'Kr Mask'!O13="-",'L Mask'!O13="-",'AVH Mask'!O13="-"),"-",'B Mask'!O13+'V Mask'!O13+'VKr-AT Mask'!O13+'Kr Mask'!O13+'L Mask'!O13+'AVH Mask'!O13)))</f>
        <v>5637.3</v>
      </c>
      <c r="P13" s="234">
        <f>IF(OR(Umse!$C$24=0,Umse!$B$11=0),"",IF(AND('B Mask'!P13=0,'V Mask'!P13=0,'VKr-AT Mask'!P13=0,'Kr Mask'!P13=0,'L Mask'!P13=0,'AVH Mask'!P13=0),"",IF(OR('B Mask'!P13="-",'V Mask'!P13="-",'VKr-AT Mask'!P13="-",'Kr Mask'!P13="-",'L Mask'!P13="-",'AVH Mask'!P13="-"),"-",'B Mask'!P13+'V Mask'!P13+'VKr-AT Mask'!P13+'Kr Mask'!P13+'L Mask'!P13+'AVH Mask'!P13)))</f>
        <v>6147.62</v>
      </c>
      <c r="Q13" s="234">
        <f>IF(OR(Umse!$C$24=0,Umse!$B$11=0),"",IF(AND('B Mask'!Q13=0,'V Mask'!Q13=0,'VKr-AT Mask'!Q13=0,'Kr Mask'!Q13=0,'L Mask'!Q13=0,'AVH Mask'!Q13=0),"",IF(OR('B Mask'!Q13="-",'V Mask'!Q13="-",'VKr-AT Mask'!Q13="-",'Kr Mask'!Q13="-",'L Mask'!Q13="-",'AVH Mask'!Q13="-"),"-",'B Mask'!Q13+'V Mask'!Q13+'VKr-AT Mask'!Q13+'Kr Mask'!Q13+'L Mask'!Q13+'AVH Mask'!Q13)))</f>
        <v>6672.58</v>
      </c>
      <c r="R13" s="234">
        <f>IF(OR(Umse!$C$24=0,Umse!$B$11=0),"",IF(AND('B Mask'!R13=0,'V Mask'!R13=0,'VKr-AT Mask'!R13=0,'Kr Mask'!R13=0,'L Mask'!R13=0,'AVH Mask'!R13=0),"",IF(OR('B Mask'!R13="-",'V Mask'!R13="-",'VKr-AT Mask'!R13="-",'Kr Mask'!R13="-",'L Mask'!R13="-",'AVH Mask'!R13="-"),"-",'B Mask'!R13+'V Mask'!R13+'VKr-AT Mask'!R13+'Kr Mask'!R13+'L Mask'!R13+'AVH Mask'!R13)))</f>
        <v>7017.95</v>
      </c>
    </row>
    <row r="14" spans="2:20" ht="10.5" customHeight="1">
      <c r="B14" s="273" t="str">
        <f>'B Mask'!B14&amp;'V Mask'!B14&amp;'VKr-AT Mask'!B14&amp;'Kr Mask'!B14&amp;'L Mask'!B14&amp;'AVH Mask'!B14</f>
        <v>EG</v>
      </c>
      <c r="C14" s="274" t="str">
        <f>'B Mask'!C14&amp;'V Mask'!C14&amp;'VKr-AT Mask'!C14&amp;'Kr Mask'!C14&amp;'L Mask'!C14&amp;'AVH Mask'!C14</f>
        <v>14</v>
      </c>
      <c r="D14" s="233">
        <f>IF(OR(Umse!$C$24=0,Umse!$B$11=0),"",IF(AND('B Mask'!D14=0,'V Mask'!D14=0,'VKr-AT Mask'!D14=0,'Kr Mask'!D14=0,'L Mask'!D14=0,'AVH Mask'!D14=0),"",IF(OR('B Mask'!D14="-",'V Mask'!D14="-",'VKr-AT Mask'!D14="-",'Kr Mask'!D14="-",'L Mask'!D14="-",'AVH Mask'!D14="-"),"-",'B Mask'!D14+'V Mask'!D14+'VKr-AT Mask'!D14+'Kr Mask'!D14+'L Mask'!D14+'AVH Mask'!D14)))</f>
        <v>26.32</v>
      </c>
      <c r="E14" s="233">
        <f>IF(OR(Umse!$C$24=0,Umse!$B$11=0),"",IF(AND('B Mask'!E14=0,'V Mask'!E14=0,'VKr-AT Mask'!E14=0,'Kr Mask'!E14=0,'L Mask'!E14=0,'AVH Mask'!E14=0),"",IF(OR('B Mask'!E14="-",'V Mask'!E14="-",'VKr-AT Mask'!E14="-",'Kr Mask'!E14="-",'L Mask'!E14="-",'AVH Mask'!E14="-"),"-",'B Mask'!E14+'V Mask'!E14+'VKr-AT Mask'!E14+'Kr Mask'!E14+'L Mask'!E14+'AVH Mask'!E14)))</f>
        <v>28.11</v>
      </c>
      <c r="F14" s="233">
        <f>IF(OR(Umse!$C$24=0,Umse!$B$11=0),"",IF(AND('B Mask'!F14=0,'V Mask'!F14=0,'VKr-AT Mask'!F14=0,'Kr Mask'!F14=0,'L Mask'!F14=0,'AVH Mask'!F14=0),"",IF(OR('B Mask'!F14="-",'V Mask'!F14="-",'VKr-AT Mask'!F14="-",'Kr Mask'!F14="-",'L Mask'!F14="-",'AVH Mask'!F14="-"),"-",'B Mask'!F14+'V Mask'!F14+'VKr-AT Mask'!F14+'Kr Mask'!F14+'L Mask'!F14+'AVH Mask'!F14)))</f>
        <v>30.44</v>
      </c>
      <c r="G14" s="233">
        <f>IF(OR(Umse!$C$24=0,Umse!$B$11=0),"",IF(AND('B Mask'!G14=0,'V Mask'!G14=0,'VKr-AT Mask'!G14=0,'Kr Mask'!G14=0,'L Mask'!G14=0,'AVH Mask'!G14=0),"",IF(OR('B Mask'!G14="-",'V Mask'!G14="-",'VKr-AT Mask'!G14="-",'Kr Mask'!G14="-",'L Mask'!G14="-",'AVH Mask'!G14="-"),"-",'B Mask'!G14+'V Mask'!G14+'VKr-AT Mask'!G14+'Kr Mask'!G14+'L Mask'!G14+'AVH Mask'!G14)))</f>
        <v>33.04</v>
      </c>
      <c r="H14" s="233">
        <f>IF(OR(Umse!$C$24=0,Umse!$B$11=0),"",IF(AND('B Mask'!H14=0,'V Mask'!H14=0,'VKr-AT Mask'!H14=0,'Kr Mask'!H14=0,'L Mask'!H14=0,'AVH Mask'!H14=0),"",IF(OR('B Mask'!H14="-",'V Mask'!H14="-",'VKr-AT Mask'!H14="-",'Kr Mask'!H14="-",'L Mask'!H14="-",'AVH Mask'!H14="-"),"-",'B Mask'!H14+'V Mask'!H14+'VKr-AT Mask'!H14+'Kr Mask'!H14+'L Mask'!H14+'AVH Mask'!H14)))</f>
        <v>35.93</v>
      </c>
      <c r="I14" s="233">
        <f>IF(OR(Umse!$C$24=0,Umse!$B$11=0),"",IF(AND('B Mask'!I14=0,'V Mask'!I14=0,'VKr-AT Mask'!I14=0,'Kr Mask'!I14=0,'L Mask'!I14=0,'AVH Mask'!I14=0),"",IF(OR('B Mask'!I14="-",'V Mask'!I14="-",'VKr-AT Mask'!I14="-",'Kr Mask'!I14="-",'L Mask'!I14="-",'AVH Mask'!I14="-"),"-",'B Mask'!I14+'V Mask'!I14+'VKr-AT Mask'!I14+'Kr Mask'!I14+'L Mask'!I14+'AVH Mask'!I14)))</f>
        <v>38</v>
      </c>
      <c r="J14" s="254" t="str">
        <f>'B Mask'!J14&amp;'V Mask'!J14&amp;'VKr-AT Mask'!J14&amp;'Kr Mask'!J14&amp;'L Mask'!J14&amp;'AVH Mask'!J14</f>
        <v/>
      </c>
      <c r="K14" s="273" t="str">
        <f>'B Mask'!K14&amp;'V Mask'!K14&amp;'VKr-AT Mask'!K14&amp;'Kr Mask'!K14&amp;'L Mask'!K14&amp;'AVH Mask'!K14</f>
        <v>EG</v>
      </c>
      <c r="L14" s="274" t="str">
        <f>'B Mask'!L14&amp;'V Mask'!L14&amp;'VKr-AT Mask'!L14&amp;'Kr Mask'!L14&amp;'L Mask'!L14&amp;'AVH Mask'!L14</f>
        <v>14</v>
      </c>
      <c r="M14" s="233">
        <f>IF(OR(Umse!$C$24=0,Umse!$B$11=0),"",IF(AND('B Mask'!M14=0,'V Mask'!M14=0,'VKr-AT Mask'!M14=0,'Kr Mask'!M14=0,'L Mask'!M14=0,'AVH Mask'!M14=0),"",IF(OR('B Mask'!M14="-",'V Mask'!M14="-",'VKr-AT Mask'!M14="-",'Kr Mask'!M14="-",'L Mask'!M14="-",'AVH Mask'!M14="-"),"-",'B Mask'!M14+'V Mask'!M14+'VKr-AT Mask'!M14+'Kr Mask'!M14+'L Mask'!M14+'AVH Mask'!M14)))</f>
        <v>4462.6499999999996</v>
      </c>
      <c r="N14" s="233">
        <f>IF(OR(Umse!$C$24=0,Umse!$B$11=0),"",IF(AND('B Mask'!N14=0,'V Mask'!N14=0,'VKr-AT Mask'!N14=0,'Kr Mask'!N14=0,'L Mask'!N14=0,'AVH Mask'!N14=0),"",IF(OR('B Mask'!N14="-",'V Mask'!N14="-",'VKr-AT Mask'!N14="-",'Kr Mask'!N14="-",'L Mask'!N14="-",'AVH Mask'!N14="-"),"-",'B Mask'!N14+'V Mask'!N14+'VKr-AT Mask'!N14+'Kr Mask'!N14+'L Mask'!N14+'AVH Mask'!N14)))</f>
        <v>4766.1099999999997</v>
      </c>
      <c r="O14" s="233">
        <f>IF(OR(Umse!$C$24=0,Umse!$B$11=0),"",IF(AND('B Mask'!O14=0,'V Mask'!O14=0,'VKr-AT Mask'!O14=0,'Kr Mask'!O14=0,'L Mask'!O14=0,'AVH Mask'!O14=0),"",IF(OR('B Mask'!O14="-",'V Mask'!O14="-",'VKr-AT Mask'!O14="-",'Kr Mask'!O14="-",'L Mask'!O14="-",'AVH Mask'!O14="-"),"-",'B Mask'!O14+'V Mask'!O14+'VKr-AT Mask'!O14+'Kr Mask'!O14+'L Mask'!O14+'AVH Mask'!O14)))</f>
        <v>5162.41</v>
      </c>
      <c r="P14" s="233">
        <f>IF(OR(Umse!$C$24=0,Umse!$B$11=0),"",IF(AND('B Mask'!P14=0,'V Mask'!P14=0,'VKr-AT Mask'!P14=0,'Kr Mask'!P14=0,'L Mask'!P14=0,'AVH Mask'!P14=0),"",IF(OR('B Mask'!P14="-",'V Mask'!P14="-",'VKr-AT Mask'!P14="-",'Kr Mask'!P14="-",'L Mask'!P14="-",'AVH Mask'!P14="-"),"-",'B Mask'!P14+'V Mask'!P14+'VKr-AT Mask'!P14+'Kr Mask'!P14+'L Mask'!P14+'AVH Mask'!P14)))</f>
        <v>5602.17</v>
      </c>
      <c r="Q14" s="233">
        <f>IF(OR(Umse!$C$24=0,Umse!$B$11=0),"",IF(AND('B Mask'!Q14=0,'V Mask'!Q14=0,'VKr-AT Mask'!Q14=0,'Kr Mask'!Q14=0,'L Mask'!Q14=0,'AVH Mask'!Q14=0),"",IF(OR('B Mask'!Q14="-",'V Mask'!Q14="-",'VKr-AT Mask'!Q14="-",'Kr Mask'!Q14="-",'L Mask'!Q14="-",'AVH Mask'!Q14="-"),"-",'B Mask'!Q14+'V Mask'!Q14+'VKr-AT Mask'!Q14+'Kr Mask'!Q14+'L Mask'!Q14+'AVH Mask'!Q14)))</f>
        <v>6092.39</v>
      </c>
      <c r="R14" s="233">
        <f>IF(OR(Umse!$C$24=0,Umse!$B$11=0),"",IF(AND('B Mask'!R14=0,'V Mask'!R14=0,'VKr-AT Mask'!R14=0,'Kr Mask'!R14=0,'L Mask'!R14=0,'AVH Mask'!R14=0),"",IF(OR('B Mask'!R14="-",'V Mask'!R14="-",'VKr-AT Mask'!R14="-",'Kr Mask'!R14="-",'L Mask'!R14="-",'AVH Mask'!R14="-"),"-",'B Mask'!R14+'V Mask'!R14+'VKr-AT Mask'!R14+'Kr Mask'!R14+'L Mask'!R14+'AVH Mask'!R14)))</f>
        <v>6444.31</v>
      </c>
    </row>
    <row r="15" spans="2:20" ht="10.5" customHeight="1">
      <c r="B15" s="275" t="str">
        <f>'B Mask'!B15&amp;'V Mask'!B15&amp;'VKr-AT Mask'!B15&amp;'Kr Mask'!B15&amp;'L Mask'!B15&amp;'AVH Mask'!B15</f>
        <v>EG</v>
      </c>
      <c r="C15" s="276" t="str">
        <f>'B Mask'!C15&amp;'V Mask'!C15&amp;'VKr-AT Mask'!C15&amp;'Kr Mask'!C15&amp;'L Mask'!C15&amp;'AVH Mask'!C15</f>
        <v>13</v>
      </c>
      <c r="D15" s="234">
        <f>IF(OR(Umse!$C$24=0,Umse!$B$11=0),"",IF(AND('B Mask'!D15=0,'V Mask'!D15=0,'VKr-AT Mask'!D15=0,'Kr Mask'!D15=0,'L Mask'!D15=0,'AVH Mask'!D15=0),"",IF(OR('B Mask'!D15="-",'V Mask'!D15="-",'VKr-AT Mask'!D15="-",'Kr Mask'!D15="-",'L Mask'!D15="-",'AVH Mask'!D15="-"),"-",'B Mask'!D15+'V Mask'!D15+'VKr-AT Mask'!D15+'Kr Mask'!D15+'L Mask'!D15+'AVH Mask'!D15)))</f>
        <v>24.26</v>
      </c>
      <c r="E15" s="234">
        <f>IF(OR(Umse!$C$24=0,Umse!$B$11=0),"",IF(AND('B Mask'!E15=0,'V Mask'!E15=0,'VKr-AT Mask'!E15=0,'Kr Mask'!E15=0,'L Mask'!E15=0,'AVH Mask'!E15=0),"",IF(OR('B Mask'!E15="-",'V Mask'!E15="-",'VKr-AT Mask'!E15="-",'Kr Mask'!E15="-",'L Mask'!E15="-",'AVH Mask'!E15="-"),"-",'B Mask'!E15+'V Mask'!E15+'VKr-AT Mask'!E15+'Kr Mask'!E15+'L Mask'!E15+'AVH Mask'!E15)))</f>
        <v>26.22</v>
      </c>
      <c r="F15" s="234">
        <f>IF(OR(Umse!$C$24=0,Umse!$B$11=0),"",IF(AND('B Mask'!F15=0,'V Mask'!F15=0,'VKr-AT Mask'!F15=0,'Kr Mask'!F15=0,'L Mask'!F15=0,'AVH Mask'!F15=0),"",IF(OR('B Mask'!F15="-",'V Mask'!F15="-",'VKr-AT Mask'!F15="-",'Kr Mask'!F15="-",'L Mask'!F15="-",'AVH Mask'!F15="-"),"-",'B Mask'!F15+'V Mask'!F15+'VKr-AT Mask'!F15+'Kr Mask'!F15+'L Mask'!F15+'AVH Mask'!F15)))</f>
        <v>28.45</v>
      </c>
      <c r="G15" s="234">
        <f>IF(OR(Umse!$C$24=0,Umse!$B$11=0),"",IF(AND('B Mask'!G15=0,'V Mask'!G15=0,'VKr-AT Mask'!G15=0,'Kr Mask'!G15=0,'L Mask'!G15=0,'AVH Mask'!G15=0),"",IF(OR('B Mask'!G15="-",'V Mask'!G15="-",'VKr-AT Mask'!G15="-",'Kr Mask'!G15="-",'L Mask'!G15="-",'AVH Mask'!G15="-"),"-",'B Mask'!G15+'V Mask'!G15+'VKr-AT Mask'!G15+'Kr Mask'!G15+'L Mask'!G15+'AVH Mask'!G15)))</f>
        <v>30.88</v>
      </c>
      <c r="H15" s="234">
        <f>IF(OR(Umse!$C$24=0,Umse!$B$11=0),"",IF(AND('B Mask'!H15=0,'V Mask'!H15=0,'VKr-AT Mask'!H15=0,'Kr Mask'!H15=0,'L Mask'!H15=0,'AVH Mask'!H15=0),"",IF(OR('B Mask'!H15="-",'V Mask'!H15="-",'VKr-AT Mask'!H15="-",'Kr Mask'!H15="-",'L Mask'!H15="-",'AVH Mask'!H15="-"),"-",'B Mask'!H15+'V Mask'!H15+'VKr-AT Mask'!H15+'Kr Mask'!H15+'L Mask'!H15+'AVH Mask'!H15)))</f>
        <v>33.729999999999997</v>
      </c>
      <c r="I15" s="234">
        <f>IF(OR(Umse!$C$24=0,Umse!$B$11=0),"",IF(AND('B Mask'!I15=0,'V Mask'!I15=0,'VKr-AT Mask'!I15=0,'Kr Mask'!I15=0,'L Mask'!I15=0,'AVH Mask'!I15=0),"",IF(OR('B Mask'!I15="-",'V Mask'!I15="-",'VKr-AT Mask'!I15="-",'Kr Mask'!I15="-",'L Mask'!I15="-",'AVH Mask'!I15="-"),"-",'B Mask'!I15+'V Mask'!I15+'VKr-AT Mask'!I15+'Kr Mask'!I15+'L Mask'!I15+'AVH Mask'!I15)))</f>
        <v>35.28</v>
      </c>
      <c r="J15" s="254" t="str">
        <f>'B Mask'!J15&amp;'V Mask'!J15&amp;'VKr-AT Mask'!J15&amp;'Kr Mask'!J15&amp;'L Mask'!J15&amp;'AVH Mask'!J15</f>
        <v/>
      </c>
      <c r="K15" s="275" t="str">
        <f>'B Mask'!K15&amp;'V Mask'!K15&amp;'VKr-AT Mask'!K15&amp;'Kr Mask'!K15&amp;'L Mask'!K15&amp;'AVH Mask'!K15</f>
        <v>EG</v>
      </c>
      <c r="L15" s="276" t="str">
        <f>'B Mask'!L15&amp;'V Mask'!L15&amp;'VKr-AT Mask'!L15&amp;'Kr Mask'!L15&amp;'L Mask'!L15&amp;'AVH Mask'!L15</f>
        <v>13</v>
      </c>
      <c r="M15" s="234">
        <f>IF(OR(Umse!$C$24=0,Umse!$B$11=0),"",IF(AND('B Mask'!M15=0,'V Mask'!M15=0,'VKr-AT Mask'!M15=0,'Kr Mask'!M15=0,'L Mask'!M15=0,'AVH Mask'!M15=0),"",IF(OR('B Mask'!M15="-",'V Mask'!M15="-",'VKr-AT Mask'!M15="-",'Kr Mask'!M15="-",'L Mask'!M15="-",'AVH Mask'!M15="-"),"-",'B Mask'!M15+'V Mask'!M15+'VKr-AT Mask'!M15+'Kr Mask'!M15+'L Mask'!M15+'AVH Mask'!M15)))</f>
        <v>4113.41</v>
      </c>
      <c r="N15" s="234">
        <f>IF(OR(Umse!$C$24=0,Umse!$B$11=0),"",IF(AND('B Mask'!N15=0,'V Mask'!N15=0,'VKr-AT Mask'!N15=0,'Kr Mask'!N15=0,'L Mask'!N15=0,'AVH Mask'!N15=0),"",IF(OR('B Mask'!N15="-",'V Mask'!N15="-",'VKr-AT Mask'!N15="-",'Kr Mask'!N15="-",'L Mask'!N15="-",'AVH Mask'!N15="-"),"-",'B Mask'!N15+'V Mask'!N15+'VKr-AT Mask'!N15+'Kr Mask'!N15+'L Mask'!N15+'AVH Mask'!N15)))</f>
        <v>4445.99</v>
      </c>
      <c r="O15" s="234">
        <f>IF(OR(Umse!$C$24=0,Umse!$B$11=0),"",IF(AND('B Mask'!O15=0,'V Mask'!O15=0,'VKr-AT Mask'!O15=0,'Kr Mask'!O15=0,'L Mask'!O15=0,'AVH Mask'!O15=0),"",IF(OR('B Mask'!O15="-",'V Mask'!O15="-",'VKr-AT Mask'!O15="-",'Kr Mask'!O15="-",'L Mask'!O15="-",'AVH Mask'!O15="-"),"-",'B Mask'!O15+'V Mask'!O15+'VKr-AT Mask'!O15+'Kr Mask'!O15+'L Mask'!O15+'AVH Mask'!O15)))</f>
        <v>4824.6000000000004</v>
      </c>
      <c r="P15" s="234">
        <f>IF(OR(Umse!$C$24=0,Umse!$B$11=0),"",IF(AND('B Mask'!P15=0,'V Mask'!P15=0,'VKr-AT Mask'!P15=0,'Kr Mask'!P15=0,'L Mask'!P15=0,'AVH Mask'!P15=0),"",IF(OR('B Mask'!P15="-",'V Mask'!P15="-",'VKr-AT Mask'!P15="-",'Kr Mask'!P15="-",'L Mask'!P15="-",'AVH Mask'!P15="-"),"-",'B Mask'!P15+'V Mask'!P15+'VKr-AT Mask'!P15+'Kr Mask'!P15+'L Mask'!P15+'AVH Mask'!P15)))</f>
        <v>5235.66</v>
      </c>
      <c r="Q15" s="234">
        <f>IF(OR(Umse!$C$24=0,Umse!$B$11=0),"",IF(AND('B Mask'!Q15=0,'V Mask'!Q15=0,'VKr-AT Mask'!Q15=0,'Kr Mask'!Q15=0,'L Mask'!Q15=0,'AVH Mask'!Q15=0),"",IF(OR('B Mask'!Q15="-",'V Mask'!Q15="-",'VKr-AT Mask'!Q15="-",'Kr Mask'!Q15="-",'L Mask'!Q15="-",'AVH Mask'!Q15="-"),"-",'B Mask'!Q15+'V Mask'!Q15+'VKr-AT Mask'!Q15+'Kr Mask'!Q15+'L Mask'!Q15+'AVH Mask'!Q15)))</f>
        <v>5719.35</v>
      </c>
      <c r="R15" s="234">
        <f>IF(OR(Umse!$C$24=0,Umse!$B$11=0),"",IF(AND('B Mask'!R15=0,'V Mask'!R15=0,'VKr-AT Mask'!R15=0,'Kr Mask'!R15=0,'L Mask'!R15=0,'AVH Mask'!R15=0),"",IF(OR('B Mask'!R15="-",'V Mask'!R15="-",'VKr-AT Mask'!R15="-",'Kr Mask'!R15="-",'L Mask'!R15="-",'AVH Mask'!R15="-"),"-",'B Mask'!R15+'V Mask'!R15+'VKr-AT Mask'!R15+'Kr Mask'!R15+'L Mask'!R15+'AVH Mask'!R15)))</f>
        <v>5981.85</v>
      </c>
    </row>
    <row r="16" spans="2:20" ht="10.5" customHeight="1">
      <c r="B16" s="273" t="str">
        <f>'B Mask'!B16&amp;'V Mask'!B16&amp;'VKr-AT Mask'!B16&amp;'Kr Mask'!B16&amp;'L Mask'!B16&amp;'AVH Mask'!B16</f>
        <v>EG</v>
      </c>
      <c r="C16" s="274" t="str">
        <f>'B Mask'!C16&amp;'V Mask'!C16&amp;'VKr-AT Mask'!C16&amp;'Kr Mask'!C16&amp;'L Mask'!C16&amp;'AVH Mask'!C16</f>
        <v>12</v>
      </c>
      <c r="D16" s="233">
        <f>IF(OR(Umse!$C$24=0,Umse!$B$11=0),"",IF(AND('B Mask'!D16=0,'V Mask'!D16=0,'VKr-AT Mask'!D16=0,'Kr Mask'!D16=0,'L Mask'!D16=0,'AVH Mask'!D16=0),"",IF(OR('B Mask'!D16="-",'V Mask'!D16="-",'VKr-AT Mask'!D16="-",'Kr Mask'!D16="-",'L Mask'!D16="-",'AVH Mask'!D16="-"),"-",'B Mask'!D16+'V Mask'!D16+'VKr-AT Mask'!D16+'Kr Mask'!D16+'L Mask'!D16+'AVH Mask'!D16)))</f>
        <v>21.74</v>
      </c>
      <c r="E16" s="233">
        <f>IF(OR(Umse!$C$24=0,Umse!$B$11=0),"",IF(AND('B Mask'!E16=0,'V Mask'!E16=0,'VKr-AT Mask'!E16=0,'Kr Mask'!E16=0,'L Mask'!E16=0,'AVH Mask'!E16=0),"",IF(OR('B Mask'!E16="-",'V Mask'!E16="-",'VKr-AT Mask'!E16="-",'Kr Mask'!E16="-",'L Mask'!E16="-",'AVH Mask'!E16="-"),"-",'B Mask'!E16+'V Mask'!E16+'VKr-AT Mask'!E16+'Kr Mask'!E16+'L Mask'!E16+'AVH Mask'!E16)))</f>
        <v>24</v>
      </c>
      <c r="F16" s="233">
        <f>IF(OR(Umse!$C$24=0,Umse!$B$11=0),"",IF(AND('B Mask'!F16=0,'V Mask'!F16=0,'VKr-AT Mask'!F16=0,'Kr Mask'!F16=0,'L Mask'!F16=0,'AVH Mask'!F16=0),"",IF(OR('B Mask'!F16="-",'V Mask'!F16="-",'VKr-AT Mask'!F16="-",'Kr Mask'!F16="-",'L Mask'!F16="-",'AVH Mask'!F16="-"),"-",'B Mask'!F16+'V Mask'!F16+'VKr-AT Mask'!F16+'Kr Mask'!F16+'L Mask'!F16+'AVH Mask'!F16)))</f>
        <v>26.63</v>
      </c>
      <c r="G16" s="233">
        <f>IF(OR(Umse!$C$24=0,Umse!$B$11=0),"",IF(AND('B Mask'!G16=0,'V Mask'!G16=0,'VKr-AT Mask'!G16=0,'Kr Mask'!G16=0,'L Mask'!G16=0,'AVH Mask'!G16=0),"",IF(OR('B Mask'!G16="-",'V Mask'!G16="-",'VKr-AT Mask'!G16="-",'Kr Mask'!G16="-",'L Mask'!G16="-",'AVH Mask'!G16="-"),"-",'B Mask'!G16+'V Mask'!G16+'VKr-AT Mask'!G16+'Kr Mask'!G16+'L Mask'!G16+'AVH Mask'!G16)))</f>
        <v>29.56</v>
      </c>
      <c r="H16" s="233">
        <f>IF(OR(Umse!$C$24=0,Umse!$B$11=0),"",IF(AND('B Mask'!H16=0,'V Mask'!H16=0,'VKr-AT Mask'!H16=0,'Kr Mask'!H16=0,'L Mask'!H16=0,'AVH Mask'!H16=0),"",IF(OR('B Mask'!H16="-",'V Mask'!H16="-",'VKr-AT Mask'!H16="-",'Kr Mask'!H16="-",'L Mask'!H16="-",'AVH Mask'!H16="-"),"-",'B Mask'!H16+'V Mask'!H16+'VKr-AT Mask'!H16+'Kr Mask'!H16+'L Mask'!H16+'AVH Mask'!H16)))</f>
        <v>33</v>
      </c>
      <c r="I16" s="233">
        <f>IF(OR(Umse!$C$24=0,Umse!$B$11=0),"",IF(AND('B Mask'!I16=0,'V Mask'!I16=0,'VKr-AT Mask'!I16=0,'Kr Mask'!I16=0,'L Mask'!I16=0,'AVH Mask'!I16=0),"",IF(OR('B Mask'!I16="-",'V Mask'!I16="-",'VKr-AT Mask'!I16="-",'Kr Mask'!I16="-",'L Mask'!I16="-",'AVH Mask'!I16="-"),"-",'B Mask'!I16+'V Mask'!I16+'VKr-AT Mask'!I16+'Kr Mask'!I16+'L Mask'!I16+'AVH Mask'!I16)))</f>
        <v>34.619999999999997</v>
      </c>
      <c r="J16" s="254" t="str">
        <f>'B Mask'!J16&amp;'V Mask'!J16&amp;'VKr-AT Mask'!J16&amp;'Kr Mask'!J16&amp;'L Mask'!J16&amp;'AVH Mask'!J16</f>
        <v/>
      </c>
      <c r="K16" s="273" t="str">
        <f>'B Mask'!K16&amp;'V Mask'!K16&amp;'VKr-AT Mask'!K16&amp;'Kr Mask'!K16&amp;'L Mask'!K16&amp;'AVH Mask'!K16</f>
        <v>EG</v>
      </c>
      <c r="L16" s="274" t="str">
        <f>'B Mask'!L16&amp;'V Mask'!L16&amp;'VKr-AT Mask'!L16&amp;'Kr Mask'!L16&amp;'L Mask'!L16&amp;'AVH Mask'!L16</f>
        <v>12</v>
      </c>
      <c r="M16" s="233">
        <f>IF(OR(Umse!$C$24=0,Umse!$B$11=0),"",IF(AND('B Mask'!M16=0,'V Mask'!M16=0,'VKr-AT Mask'!M16=0,'Kr Mask'!M16=0,'L Mask'!M16=0,'AVH Mask'!M16=0),"",IF(OR('B Mask'!M16="-",'V Mask'!M16="-",'VKr-AT Mask'!M16="-",'Kr Mask'!M16="-",'L Mask'!M16="-",'AVH Mask'!M16="-"),"-",'B Mask'!M16+'V Mask'!M16+'VKr-AT Mask'!M16+'Kr Mask'!M16+'L Mask'!M16+'AVH Mask'!M16)))</f>
        <v>3686.55</v>
      </c>
      <c r="N16" s="233">
        <f>IF(OR(Umse!$C$24=0,Umse!$B$11=0),"",IF(AND('B Mask'!N16=0,'V Mask'!N16=0,'VKr-AT Mask'!N16=0,'Kr Mask'!N16=0,'L Mask'!N16=0,'AVH Mask'!N16=0),"",IF(OR('B Mask'!N16="-",'V Mask'!N16="-",'VKr-AT Mask'!N16="-",'Kr Mask'!N16="-",'L Mask'!N16="-",'AVH Mask'!N16="-"),"-",'B Mask'!N16+'V Mask'!N16+'VKr-AT Mask'!N16+'Kr Mask'!N16+'L Mask'!N16+'AVH Mask'!N16)))</f>
        <v>4069.25</v>
      </c>
      <c r="O16" s="233">
        <f>IF(OR(Umse!$C$24=0,Umse!$B$11=0),"",IF(AND('B Mask'!O16=0,'V Mask'!O16=0,'VKr-AT Mask'!O16=0,'Kr Mask'!O16=0,'L Mask'!O16=0,'AVH Mask'!O16=0),"",IF(OR('B Mask'!O16="-",'V Mask'!O16="-",'VKr-AT Mask'!O16="-",'Kr Mask'!O16="-",'L Mask'!O16="-",'AVH Mask'!O16="-"),"-",'B Mask'!O16+'V Mask'!O16+'VKr-AT Mask'!O16+'Kr Mask'!O16+'L Mask'!O16+'AVH Mask'!O16)))</f>
        <v>4516.49</v>
      </c>
      <c r="P16" s="233">
        <f>IF(OR(Umse!$C$24=0,Umse!$B$11=0),"",IF(AND('B Mask'!P16=0,'V Mask'!P16=0,'VKr-AT Mask'!P16=0,'Kr Mask'!P16=0,'L Mask'!P16=0,'AVH Mask'!P16=0),"",IF(OR('B Mask'!P16="-",'V Mask'!P16="-",'VKr-AT Mask'!P16="-",'Kr Mask'!P16="-",'L Mask'!P16="-",'AVH Mask'!P16="-"),"-",'B Mask'!P16+'V Mask'!P16+'VKr-AT Mask'!P16+'Kr Mask'!P16+'L Mask'!P16+'AVH Mask'!P16)))</f>
        <v>5012.74</v>
      </c>
      <c r="Q16" s="233">
        <f>IF(OR(Umse!$C$24=0,Umse!$B$11=0),"",IF(AND('B Mask'!Q16=0,'V Mask'!Q16=0,'VKr-AT Mask'!Q16=0,'Kr Mask'!Q16=0,'L Mask'!Q16=0,'AVH Mask'!Q16=0),"",IF(OR('B Mask'!Q16="-",'V Mask'!Q16="-",'VKr-AT Mask'!Q16="-",'Kr Mask'!Q16="-",'L Mask'!Q16="-",'AVH Mask'!Q16="-"),"-",'B Mask'!Q16+'V Mask'!Q16+'VKr-AT Mask'!Q16+'Kr Mask'!Q16+'L Mask'!Q16+'AVH Mask'!Q16)))</f>
        <v>5595.03</v>
      </c>
      <c r="R16" s="233">
        <f>IF(OR(Umse!$C$24=0,Umse!$B$11=0),"",IF(AND('B Mask'!R16=0,'V Mask'!R16=0,'VKr-AT Mask'!R16=0,'Kr Mask'!R16=0,'L Mask'!R16=0,'AVH Mask'!R16=0),"",IF(OR('B Mask'!R16="-",'V Mask'!R16="-",'VKr-AT Mask'!R16="-",'Kr Mask'!R16="-",'L Mask'!R16="-",'AVH Mask'!R16="-"),"-",'B Mask'!R16+'V Mask'!R16+'VKr-AT Mask'!R16+'Kr Mask'!R16+'L Mask'!R16+'AVH Mask'!R16)))</f>
        <v>5871.32</v>
      </c>
    </row>
    <row r="17" spans="2:20" ht="10.5" customHeight="1">
      <c r="B17" s="275" t="str">
        <f>'B Mask'!B17&amp;'V Mask'!B17&amp;'VKr-AT Mask'!B17&amp;'Kr Mask'!B17&amp;'L Mask'!B17&amp;'AVH Mask'!B17</f>
        <v>EG</v>
      </c>
      <c r="C17" s="276" t="str">
        <f>'B Mask'!C17&amp;'V Mask'!C17&amp;'VKr-AT Mask'!C17&amp;'Kr Mask'!C17&amp;'L Mask'!C17&amp;'AVH Mask'!C17</f>
        <v>11</v>
      </c>
      <c r="D17" s="234">
        <f>IF(OR(Umse!$C$24=0,Umse!$B$11=0),"",IF(AND('B Mask'!D17=0,'V Mask'!D17=0,'VKr-AT Mask'!D17=0,'Kr Mask'!D17=0,'L Mask'!D17=0,'AVH Mask'!D17=0),"",IF(OR('B Mask'!D17="-",'V Mask'!D17="-",'VKr-AT Mask'!D17="-",'Kr Mask'!D17="-",'L Mask'!D17="-",'AVH Mask'!D17="-"),"-",'B Mask'!D17+'V Mask'!D17+'VKr-AT Mask'!D17+'Kr Mask'!D17+'L Mask'!D17+'AVH Mask'!D17)))</f>
        <v>20.98</v>
      </c>
      <c r="E17" s="234">
        <f>IF(OR(Umse!$C$24=0,Umse!$B$11=0),"",IF(AND('B Mask'!E17=0,'V Mask'!E17=0,'VKr-AT Mask'!E17=0,'Kr Mask'!E17=0,'L Mask'!E17=0,'AVH Mask'!E17=0),"",IF(OR('B Mask'!E17="-",'V Mask'!E17="-",'VKr-AT Mask'!E17="-",'Kr Mask'!E17="-",'L Mask'!E17="-",'AVH Mask'!E17="-"),"-",'B Mask'!E17+'V Mask'!E17+'VKr-AT Mask'!E17+'Kr Mask'!E17+'L Mask'!E17+'AVH Mask'!E17)))</f>
        <v>23.06</v>
      </c>
      <c r="F17" s="234">
        <f>IF(OR(Umse!$C$24=0,Umse!$B$11=0),"",IF(AND('B Mask'!F17=0,'V Mask'!F17=0,'VKr-AT Mask'!F17=0,'Kr Mask'!F17=0,'L Mask'!F17=0,'AVH Mask'!F17=0),"",IF(OR('B Mask'!F17="-",'V Mask'!F17="-",'VKr-AT Mask'!F17="-",'Kr Mask'!F17="-",'L Mask'!F17="-",'AVH Mask'!F17="-"),"-",'B Mask'!F17+'V Mask'!F17+'VKr-AT Mask'!F17+'Kr Mask'!F17+'L Mask'!F17+'AVH Mask'!F17)))</f>
        <v>25.01</v>
      </c>
      <c r="G17" s="234">
        <f>IF(OR(Umse!$C$24=0,Umse!$B$11=0),"",IF(AND('B Mask'!G17=0,'V Mask'!G17=0,'VKr-AT Mask'!G17=0,'Kr Mask'!G17=0,'L Mask'!G17=0,'AVH Mask'!G17=0),"",IF(OR('B Mask'!G17="-",'V Mask'!G17="-",'VKr-AT Mask'!G17="-",'Kr Mask'!G17="-",'L Mask'!G17="-",'AVH Mask'!G17="-"),"-",'B Mask'!G17+'V Mask'!G17+'VKr-AT Mask'!G17+'Kr Mask'!G17+'L Mask'!G17+'AVH Mask'!G17)))</f>
        <v>27.13</v>
      </c>
      <c r="H17" s="234">
        <f>IF(OR(Umse!$C$24=0,Umse!$B$11=0),"",IF(AND('B Mask'!H17=0,'V Mask'!H17=0,'VKr-AT Mask'!H17=0,'Kr Mask'!H17=0,'L Mask'!H17=0,'AVH Mask'!H17=0),"",IF(OR('B Mask'!H17="-",'V Mask'!H17="-",'VKr-AT Mask'!H17="-",'Kr Mask'!H17="-",'L Mask'!H17="-",'AVH Mask'!H17="-"),"-",'B Mask'!H17+'V Mask'!H17+'VKr-AT Mask'!H17+'Kr Mask'!H17+'L Mask'!H17+'AVH Mask'!H17)))</f>
        <v>30.02</v>
      </c>
      <c r="I17" s="234">
        <f>IF(OR(Umse!$C$24=0,Umse!$B$11=0),"",IF(AND('B Mask'!I17=0,'V Mask'!I17=0,'VKr-AT Mask'!I17=0,'Kr Mask'!I17=0,'L Mask'!I17=0,'AVH Mask'!I17=0),"",IF(OR('B Mask'!I17="-",'V Mask'!I17="-",'VKr-AT Mask'!I17="-",'Kr Mask'!I17="-",'L Mask'!I17="-",'AVH Mask'!I17="-"),"-",'B Mask'!I17+'V Mask'!I17+'VKr-AT Mask'!I17+'Kr Mask'!I17+'L Mask'!I17+'AVH Mask'!I17)))</f>
        <v>31.65</v>
      </c>
      <c r="J17" s="254" t="str">
        <f>'B Mask'!J17&amp;'V Mask'!J17&amp;'VKr-AT Mask'!J17&amp;'Kr Mask'!J17&amp;'L Mask'!J17&amp;'AVH Mask'!J17</f>
        <v/>
      </c>
      <c r="K17" s="275" t="str">
        <f>'B Mask'!K17&amp;'V Mask'!K17&amp;'VKr-AT Mask'!K17&amp;'Kr Mask'!K17&amp;'L Mask'!K17&amp;'AVH Mask'!K17</f>
        <v>EG</v>
      </c>
      <c r="L17" s="276" t="str">
        <f>'B Mask'!L17&amp;'V Mask'!L17&amp;'VKr-AT Mask'!L17&amp;'Kr Mask'!L17&amp;'L Mask'!L17&amp;'AVH Mask'!L17</f>
        <v>11</v>
      </c>
      <c r="M17" s="234">
        <f>IF(OR(Umse!$C$24=0,Umse!$B$11=0),"",IF(AND('B Mask'!M17=0,'V Mask'!M17=0,'VKr-AT Mask'!M17=0,'Kr Mask'!M17=0,'L Mask'!M17=0,'AVH Mask'!M17=0),"",IF(OR('B Mask'!M17="-",'V Mask'!M17="-",'VKr-AT Mask'!M17="-",'Kr Mask'!M17="-",'L Mask'!M17="-",'AVH Mask'!M17="-"),"-",'B Mask'!M17+'V Mask'!M17+'VKr-AT Mask'!M17+'Kr Mask'!M17+'L Mask'!M17+'AVH Mask'!M17)))</f>
        <v>3558.11</v>
      </c>
      <c r="N17" s="234">
        <f>IF(OR(Umse!$C$24=0,Umse!$B$11=0),"",IF(AND('B Mask'!N17=0,'V Mask'!N17=0,'VKr-AT Mask'!N17=0,'Kr Mask'!N17=0,'L Mask'!N17=0,'AVH Mask'!N17=0),"",IF(OR('B Mask'!N17="-",'V Mask'!N17="-",'VKr-AT Mask'!N17="-",'Kr Mask'!N17="-",'L Mask'!N17="-",'AVH Mask'!N17="-"),"-",'B Mask'!N17+'V Mask'!N17+'VKr-AT Mask'!N17+'Kr Mask'!N17+'L Mask'!N17+'AVH Mask'!N17)))</f>
        <v>3910.1</v>
      </c>
      <c r="O17" s="234">
        <f>IF(OR(Umse!$C$24=0,Umse!$B$11=0),"",IF(AND('B Mask'!O17=0,'V Mask'!O17=0,'VKr-AT Mask'!O17=0,'Kr Mask'!O17=0,'L Mask'!O17=0,'AVH Mask'!O17=0),"",IF(OR('B Mask'!O17="-",'V Mask'!O17="-",'VKr-AT Mask'!O17="-",'Kr Mask'!O17="-",'L Mask'!O17="-",'AVH Mask'!O17="-"),"-",'B Mask'!O17+'V Mask'!O17+'VKr-AT Mask'!O17+'Kr Mask'!O17+'L Mask'!O17+'AVH Mask'!O17)))</f>
        <v>4240.84</v>
      </c>
      <c r="P17" s="234">
        <f>IF(OR(Umse!$C$24=0,Umse!$B$11=0),"",IF(AND('B Mask'!P17=0,'V Mask'!P17=0,'VKr-AT Mask'!P17=0,'Kr Mask'!P17=0,'L Mask'!P17=0,'AVH Mask'!P17=0),"",IF(OR('B Mask'!P17="-",'V Mask'!P17="-",'VKr-AT Mask'!P17="-",'Kr Mask'!P17="-",'L Mask'!P17="-",'AVH Mask'!P17="-"),"-",'B Mask'!P17+'V Mask'!P17+'VKr-AT Mask'!P17+'Kr Mask'!P17+'L Mask'!P17+'AVH Mask'!P17)))</f>
        <v>4599.68</v>
      </c>
      <c r="Q17" s="234">
        <f>IF(OR(Umse!$C$24=0,Umse!$B$11=0),"",IF(AND('B Mask'!Q17=0,'V Mask'!Q17=0,'VKr-AT Mask'!Q17=0,'Kr Mask'!Q17=0,'L Mask'!Q17=0,'AVH Mask'!Q17=0),"",IF(OR('B Mask'!Q17="-",'V Mask'!Q17="-",'VKr-AT Mask'!Q17="-",'Kr Mask'!Q17="-",'L Mask'!Q17="-",'AVH Mask'!Q17="-"),"-",'B Mask'!Q17+'V Mask'!Q17+'VKr-AT Mask'!Q17+'Kr Mask'!Q17+'L Mask'!Q17+'AVH Mask'!Q17)))</f>
        <v>5090.78</v>
      </c>
      <c r="R17" s="234">
        <f>IF(OR(Umse!$C$24=0,Umse!$B$11=0),"",IF(AND('B Mask'!R17=0,'V Mask'!R17=0,'VKr-AT Mask'!R17=0,'Kr Mask'!R17=0,'L Mask'!R17=0,'AVH Mask'!R17=0),"",IF(OR('B Mask'!R17="-",'V Mask'!R17="-",'VKr-AT Mask'!R17="-",'Kr Mask'!R17="-",'L Mask'!R17="-",'AVH Mask'!R17="-"),"-",'B Mask'!R17+'V Mask'!R17+'VKr-AT Mask'!R17+'Kr Mask'!R17+'L Mask'!R17+'AVH Mask'!R17)))</f>
        <v>5367.08</v>
      </c>
    </row>
    <row r="18" spans="2:20" ht="10.5" customHeight="1">
      <c r="B18" s="273" t="str">
        <f>'B Mask'!B18&amp;'V Mask'!B18&amp;'VKr-AT Mask'!B18&amp;'Kr Mask'!B18&amp;'L Mask'!B18&amp;'AVH Mask'!B18</f>
        <v>EG</v>
      </c>
      <c r="C18" s="274" t="str">
        <f>'B Mask'!C18&amp;'V Mask'!C18&amp;'VKr-AT Mask'!C18&amp;'Kr Mask'!C18&amp;'L Mask'!C18&amp;'AVH Mask'!C18</f>
        <v>10</v>
      </c>
      <c r="D18" s="233">
        <f>IF(OR(Umse!$C$24=0,Umse!$B$11=0),"",IF(AND('B Mask'!D18=0,'V Mask'!D18=0,'VKr-AT Mask'!D18=0,'Kr Mask'!D18=0,'L Mask'!D18=0,'AVH Mask'!D18=0),"",IF(OR('B Mask'!D18="-",'V Mask'!D18="-",'VKr-AT Mask'!D18="-",'Kr Mask'!D18="-",'L Mask'!D18="-",'AVH Mask'!D18="-"),"-",'B Mask'!D18+'V Mask'!D18+'VKr-AT Mask'!D18+'Kr Mask'!D18+'L Mask'!D18+'AVH Mask'!D18)))</f>
        <v>20.23</v>
      </c>
      <c r="E18" s="233">
        <f>IF(OR(Umse!$C$24=0,Umse!$B$11=0),"",IF(AND('B Mask'!E18=0,'V Mask'!E18=0,'VKr-AT Mask'!E18=0,'Kr Mask'!E18=0,'L Mask'!E18=0,'AVH Mask'!E18=0),"",IF(OR('B Mask'!E18="-",'V Mask'!E18="-",'VKr-AT Mask'!E18="-",'Kr Mask'!E18="-",'L Mask'!E18="-",'AVH Mask'!E18="-"),"-",'B Mask'!E18+'V Mask'!E18+'VKr-AT Mask'!E18+'Kr Mask'!E18+'L Mask'!E18+'AVH Mask'!E18)))</f>
        <v>21.86</v>
      </c>
      <c r="F18" s="233">
        <f>IF(OR(Umse!$C$24=0,Umse!$B$11=0),"",IF(AND('B Mask'!F18=0,'V Mask'!F18=0,'VKr-AT Mask'!F18=0,'Kr Mask'!F18=0,'L Mask'!F18=0,'AVH Mask'!F18=0),"",IF(OR('B Mask'!F18="-",'V Mask'!F18="-",'VKr-AT Mask'!F18="-",'Kr Mask'!F18="-",'L Mask'!F18="-",'AVH Mask'!F18="-"),"-",'B Mask'!F18+'V Mask'!F18+'VKr-AT Mask'!F18+'Kr Mask'!F18+'L Mask'!F18+'AVH Mask'!F18)))</f>
        <v>23.71</v>
      </c>
      <c r="G18" s="233">
        <f>IF(OR(Umse!$C$24=0,Umse!$B$11=0),"",IF(AND('B Mask'!G18=0,'V Mask'!G18=0,'VKr-AT Mask'!G18=0,'Kr Mask'!G18=0,'L Mask'!G18=0,'AVH Mask'!G18=0),"",IF(OR('B Mask'!G18="-",'V Mask'!G18="-",'VKr-AT Mask'!G18="-",'Kr Mask'!G18="-",'L Mask'!G18="-",'AVH Mask'!G18="-"),"-",'B Mask'!G18+'V Mask'!G18+'VKr-AT Mask'!G18+'Kr Mask'!G18+'L Mask'!G18+'AVH Mask'!G18)))</f>
        <v>25.71</v>
      </c>
      <c r="H18" s="233">
        <f>IF(OR(Umse!$C$24=0,Umse!$B$11=0),"",IF(AND('B Mask'!H18=0,'V Mask'!H18=0,'VKr-AT Mask'!H18=0,'Kr Mask'!H18=0,'L Mask'!H18=0,'AVH Mask'!H18=0),"",IF(OR('B Mask'!H18="-",'V Mask'!H18="-",'VKr-AT Mask'!H18="-",'Kr Mask'!H18="-",'L Mask'!H18="-",'AVH Mask'!H18="-"),"-",'B Mask'!H18+'V Mask'!H18+'VKr-AT Mask'!H18+'Kr Mask'!H18+'L Mask'!H18+'AVH Mask'!H18)))</f>
        <v>27.94</v>
      </c>
      <c r="I18" s="233">
        <f>IF(OR(Umse!$C$24=0,Umse!$B$11=0),"",IF(AND('B Mask'!I18=0,'V Mask'!I18=0,'VKr-AT Mask'!I18=0,'Kr Mask'!I18=0,'L Mask'!I18=0,'AVH Mask'!I18=0),"",IF(OR('B Mask'!I18="-",'V Mask'!I18="-",'VKr-AT Mask'!I18="-",'Kr Mask'!I18="-",'L Mask'!I18="-",'AVH Mask'!I18="-"),"-",'B Mask'!I18+'V Mask'!I18+'VKr-AT Mask'!I18+'Kr Mask'!I18+'L Mask'!I18+'AVH Mask'!I18)))</f>
        <v>28.68</v>
      </c>
      <c r="J18" s="254" t="str">
        <f>'B Mask'!J18&amp;'V Mask'!J18&amp;'VKr-AT Mask'!J18&amp;'Kr Mask'!J18&amp;'L Mask'!J18&amp;'AVH Mask'!J18</f>
        <v>* Ergebnis der Redaktion:</v>
      </c>
      <c r="K18" s="273" t="str">
        <f>'B Mask'!K18&amp;'V Mask'!K18&amp;'VKr-AT Mask'!K18&amp;'Kr Mask'!K18&amp;'L Mask'!K18&amp;'AVH Mask'!K18</f>
        <v>EG</v>
      </c>
      <c r="L18" s="274" t="str">
        <f>'B Mask'!L18&amp;'V Mask'!L18&amp;'VKr-AT Mask'!L18&amp;'Kr Mask'!L18&amp;'L Mask'!L18&amp;'AVH Mask'!L18</f>
        <v>10</v>
      </c>
      <c r="M18" s="233">
        <f>IF(OR(Umse!$C$24=0,Umse!$B$11=0),"",IF(AND('B Mask'!M18=0,'V Mask'!M18=0,'VKr-AT Mask'!M18=0,'Kr Mask'!M18=0,'L Mask'!M18=0,'AVH Mask'!M18=0),"",IF(OR('B Mask'!M18="-",'V Mask'!M18="-",'VKr-AT Mask'!M18="-",'Kr Mask'!M18="-",'L Mask'!M18="-",'AVH Mask'!M18="-"),"-",'B Mask'!M18+'V Mask'!M18+'VKr-AT Mask'!M18+'Kr Mask'!M18+'L Mask'!M18+'AVH Mask'!M18)))</f>
        <v>3430.51</v>
      </c>
      <c r="N18" s="233">
        <f>IF(OR(Umse!$C$24=0,Umse!$B$11=0),"",IF(AND('B Mask'!N18=0,'V Mask'!N18=0,'VKr-AT Mask'!N18=0,'Kr Mask'!N18=0,'L Mask'!N18=0,'AVH Mask'!N18=0),"",IF(OR('B Mask'!N18="-",'V Mask'!N18="-",'VKr-AT Mask'!N18="-",'Kr Mask'!N18="-",'L Mask'!N18="-",'AVH Mask'!N18="-"),"-",'B Mask'!N18+'V Mask'!N18+'VKr-AT Mask'!N18+'Kr Mask'!N18+'L Mask'!N18+'AVH Mask'!N18)))</f>
        <v>3706.3</v>
      </c>
      <c r="O18" s="233">
        <f>IF(OR(Umse!$C$24=0,Umse!$B$11=0),"",IF(AND('B Mask'!O18=0,'V Mask'!O18=0,'VKr-AT Mask'!O18=0,'Kr Mask'!O18=0,'L Mask'!O18=0,'AVH Mask'!O18=0),"",IF(OR('B Mask'!O18="-",'V Mask'!O18="-",'VKr-AT Mask'!O18="-",'Kr Mask'!O18="-",'L Mask'!O18="-",'AVH Mask'!O18="-"),"-",'B Mask'!O18+'V Mask'!O18+'VKr-AT Mask'!O18+'Kr Mask'!O18+'L Mask'!O18+'AVH Mask'!O18)))</f>
        <v>4019.82</v>
      </c>
      <c r="P18" s="233">
        <f>IF(OR(Umse!$C$24=0,Umse!$B$11=0),"",IF(AND('B Mask'!P18=0,'V Mask'!P18=0,'VKr-AT Mask'!P18=0,'Kr Mask'!P18=0,'L Mask'!P18=0,'AVH Mask'!P18=0),"",IF(OR('B Mask'!P18="-",'V Mask'!P18="-",'VKr-AT Mask'!P18="-",'Kr Mask'!P18="-",'L Mask'!P18="-",'AVH Mask'!P18="-"),"-",'B Mask'!P18+'V Mask'!P18+'VKr-AT Mask'!P18+'Kr Mask'!P18+'L Mask'!P18+'AVH Mask'!P18)))</f>
        <v>4359.8500000000004</v>
      </c>
      <c r="Q18" s="233">
        <f>IF(OR(Umse!$C$24=0,Umse!$B$11=0),"",IF(AND('B Mask'!Q18=0,'V Mask'!Q18=0,'VKr-AT Mask'!Q18=0,'Kr Mask'!Q18=0,'L Mask'!Q18=0,'AVH Mask'!Q18=0),"",IF(OR('B Mask'!Q18="-",'V Mask'!Q18="-",'VKr-AT Mask'!Q18="-",'Kr Mask'!Q18="-",'L Mask'!Q18="-",'AVH Mask'!Q18="-"),"-",'B Mask'!Q18+'V Mask'!Q18+'VKr-AT Mask'!Q18+'Kr Mask'!Q18+'L Mask'!Q18+'AVH Mask'!Q18)))</f>
        <v>4738.5</v>
      </c>
      <c r="R18" s="233">
        <f>IF(OR(Umse!$C$24=0,Umse!$B$11=0),"",IF(AND('B Mask'!R18=0,'V Mask'!R18=0,'VKr-AT Mask'!R18=0,'Kr Mask'!R18=0,'L Mask'!R18=0,'AVH Mask'!R18=0),"",IF(OR('B Mask'!R18="-",'V Mask'!R18="-",'VKr-AT Mask'!R18="-",'Kr Mask'!R18="-",'L Mask'!R18="-",'AVH Mask'!R18="-"),"-",'B Mask'!R18+'V Mask'!R18+'VKr-AT Mask'!R18+'Kr Mask'!R18+'L Mask'!R18+'AVH Mask'!R18)))</f>
        <v>4862.83</v>
      </c>
    </row>
    <row r="19" spans="2:20" ht="10.5" customHeight="1">
      <c r="B19" s="275" t="str">
        <f>'B Mask'!B19&amp;'V Mask'!B19&amp;'VKr-AT Mask'!B19&amp;'Kr Mask'!B19&amp;'L Mask'!B19&amp;'AVH Mask'!B19</f>
        <v>EG</v>
      </c>
      <c r="C19" s="276" t="str">
        <f>'B Mask'!C19&amp;'V Mask'!C19&amp;'VKr-AT Mask'!C19&amp;'Kr Mask'!C19&amp;'L Mask'!C19&amp;'AVH Mask'!C19</f>
        <v>9c *</v>
      </c>
      <c r="D19" s="234">
        <f>IF(OR(Umse!$C$24=0,Umse!$B$11=0),"",IF(AND('B Mask'!D19=0,'V Mask'!D19=0,'VKr-AT Mask'!D19=0,'Kr Mask'!D19=0,'L Mask'!D19=0,'AVH Mask'!D19=0),"",IF(OR('B Mask'!D19="-",'V Mask'!D19="-",'VKr-AT Mask'!D19="-",'Kr Mask'!D19="-",'L Mask'!D19="-",'AVH Mask'!D19="-"),"-",'B Mask'!D19+'V Mask'!D19+'VKr-AT Mask'!D19+'Kr Mask'!D19+'L Mask'!D19+'AVH Mask'!D19)))</f>
        <v>19.47</v>
      </c>
      <c r="E19" s="234">
        <f>IF(OR(Umse!$C$24=0,Umse!$B$11=0),"",IF(AND('B Mask'!E19=0,'V Mask'!E19=0,'VKr-AT Mask'!E19=0,'Kr Mask'!E19=0,'L Mask'!E19=0,'AVH Mask'!E19=0),"",IF(OR('B Mask'!E19="-",'V Mask'!E19="-",'VKr-AT Mask'!E19="-",'Kr Mask'!E19="-",'L Mask'!E19="-",'AVH Mask'!E19="-"),"-",'B Mask'!E19+'V Mask'!E19+'VKr-AT Mask'!E19+'Kr Mask'!E19+'L Mask'!E19+'AVH Mask'!E19)))</f>
        <v>20.88</v>
      </c>
      <c r="F19" s="234">
        <f>IF(OR(Umse!$C$24=0,Umse!$B$11=0),"",IF(AND('B Mask'!F19=0,'V Mask'!F19=0,'VKr-AT Mask'!F19=0,'Kr Mask'!F19=0,'L Mask'!F19=0,'AVH Mask'!F19=0),"",IF(OR('B Mask'!F19="-",'V Mask'!F19="-",'VKr-AT Mask'!F19="-",'Kr Mask'!F19="-",'L Mask'!F19="-",'AVH Mask'!F19="-"),"-",'B Mask'!F19+'V Mask'!F19+'VKr-AT Mask'!F19+'Kr Mask'!F19+'L Mask'!F19+'AVH Mask'!F19)))</f>
        <v>22.64</v>
      </c>
      <c r="G19" s="234">
        <f>IF(OR(Umse!$C$24=0,Umse!$B$11=0),"",IF(AND('B Mask'!G19=0,'V Mask'!G19=0,'VKr-AT Mask'!G19=0,'Kr Mask'!G19=0,'L Mask'!G19=0,'AVH Mask'!G19=0),"",IF(OR('B Mask'!G19="-",'V Mask'!G19="-",'VKr-AT Mask'!G19="-",'Kr Mask'!G19="-",'L Mask'!G19="-",'AVH Mask'!G19="-"),"-",'B Mask'!G19+'V Mask'!G19+'VKr-AT Mask'!G19+'Kr Mask'!G19+'L Mask'!G19+'AVH Mask'!G19)))</f>
        <v>24.56</v>
      </c>
      <c r="H19" s="234">
        <f>IF(OR(Umse!$C$24=0,Umse!$B$11=0),"",IF(AND('B Mask'!H19=0,'V Mask'!H19=0,'VKr-AT Mask'!H19=0,'Kr Mask'!H19=0,'L Mask'!H19=0,'AVH Mask'!H19=0),"",IF(OR('B Mask'!H19="-",'V Mask'!H19="-",'VKr-AT Mask'!H19="-",'Kr Mask'!H19="-",'L Mask'!H19="-",'AVH Mask'!H19="-"),"-",'B Mask'!H19+'V Mask'!H19+'VKr-AT Mask'!H19+'Kr Mask'!H19+'L Mask'!H19+'AVH Mask'!H19)))</f>
        <v>26.63</v>
      </c>
      <c r="I19" s="234">
        <f>IF(OR(Umse!$C$24=0,Umse!$B$11=0),"",IF(AND('B Mask'!I19=0,'V Mask'!I19=0,'VKr-AT Mask'!I19=0,'Kr Mask'!I19=0,'L Mask'!I19=0,'AVH Mask'!I19=0),"",IF(OR('B Mask'!I19="-",'V Mask'!I19="-",'VKr-AT Mask'!I19="-",'Kr Mask'!I19="-",'L Mask'!I19="-",'AVH Mask'!I19="-"),"-",'B Mask'!I19+'V Mask'!I19+'VKr-AT Mask'!I19+'Kr Mask'!I19+'L Mask'!I19+'AVH Mask'!I19)))</f>
        <v>27.3</v>
      </c>
      <c r="J19" s="254" t="str">
        <f>'B Mask'!J19&amp;'V Mask'!J19&amp;'VKr-AT Mask'!J19&amp;'Kr Mask'!J19&amp;'L Mask'!J19&amp;'AVH Mask'!J19</f>
        <v>EG 9c und 9b in Stufe 1</v>
      </c>
      <c r="K19" s="275" t="str">
        <f>'B Mask'!K19&amp;'V Mask'!K19&amp;'VKr-AT Mask'!K19&amp;'Kr Mask'!K19&amp;'L Mask'!K19&amp;'AVH Mask'!K19</f>
        <v>EG</v>
      </c>
      <c r="L19" s="276" t="str">
        <f>'B Mask'!L19&amp;'V Mask'!L19&amp;'VKr-AT Mask'!L19&amp;'Kr Mask'!L19&amp;'L Mask'!L19&amp;'AVH Mask'!L19</f>
        <v>9c *</v>
      </c>
      <c r="M19" s="234">
        <f>IF(OR(Umse!$C$24=0,Umse!$B$11=0),"",IF(AND('B Mask'!M19=0,'V Mask'!M19=0,'VKr-AT Mask'!M19=0,'Kr Mask'!M19=0,'L Mask'!M19=0,'AVH Mask'!M19=0),"",IF(OR('B Mask'!M19="-",'V Mask'!M19="-",'VKr-AT Mask'!M19="-",'Kr Mask'!M19="-",'L Mask'!M19="-",'AVH Mask'!M19="-"),"-",'B Mask'!M19+'V Mask'!M19+'VKr-AT Mask'!M19+'Kr Mask'!M19+'L Mask'!M19+'AVH Mask'!M19)))</f>
        <v>3301.9066666666668</v>
      </c>
      <c r="N19" s="234">
        <f>IF(OR(Umse!$C$24=0,Umse!$B$11=0),"",IF(AND('B Mask'!N19=0,'V Mask'!N19=0,'VKr-AT Mask'!N19=0,'Kr Mask'!N19=0,'L Mask'!N19=0,'AVH Mask'!N19=0),"",IF(OR('B Mask'!N19="-",'V Mask'!N19="-",'VKr-AT Mask'!N19="-",'Kr Mask'!N19="-",'L Mask'!N19="-",'AVH Mask'!N19="-"),"-",'B Mask'!N19+'V Mask'!N19+'VKr-AT Mask'!N19+'Kr Mask'!N19+'L Mask'!N19+'AVH Mask'!N19)))</f>
        <v>3540.82</v>
      </c>
      <c r="O19" s="234">
        <f>IF(OR(Umse!$C$24=0,Umse!$B$11=0),"",IF(AND('B Mask'!O19=0,'V Mask'!O19=0,'VKr-AT Mask'!O19=0,'Kr Mask'!O19=0,'L Mask'!O19=0,'AVH Mask'!O19=0),"",IF(OR('B Mask'!O19="-",'V Mask'!O19="-",'VKr-AT Mask'!O19="-",'Kr Mask'!O19="-",'L Mask'!O19="-",'AVH Mask'!O19="-"),"-",'B Mask'!O19+'V Mask'!O19+'VKr-AT Mask'!O19+'Kr Mask'!O19+'L Mask'!O19+'AVH Mask'!O19)))</f>
        <v>3839.03</v>
      </c>
      <c r="P19" s="234">
        <f>IF(OR(Umse!$C$24=0,Umse!$B$11=0),"",IF(AND('B Mask'!P19=0,'V Mask'!P19=0,'VKr-AT Mask'!P19=0,'Kr Mask'!P19=0,'L Mask'!P19=0,'AVH Mask'!P19=0),"",IF(OR('B Mask'!P19="-",'V Mask'!P19="-",'VKr-AT Mask'!P19="-",'Kr Mask'!P19="-",'L Mask'!P19="-",'AVH Mask'!P19="-"),"-",'B Mask'!P19+'V Mask'!P19+'VKr-AT Mask'!P19+'Kr Mask'!P19+'L Mask'!P19+'AVH Mask'!P19)))</f>
        <v>4163.95</v>
      </c>
      <c r="Q19" s="234">
        <f>IF(OR(Umse!$C$24=0,Umse!$B$11=0),"",IF(AND('B Mask'!Q19=0,'V Mask'!Q19=0,'VKr-AT Mask'!Q19=0,'Kr Mask'!Q19=0,'L Mask'!Q19=0,'AVH Mask'!Q19=0),"",IF(OR('B Mask'!Q19="-",'V Mask'!Q19="-",'VKr-AT Mask'!Q19="-",'Kr Mask'!Q19="-",'L Mask'!Q19="-",'AVH Mask'!Q19="-"),"-",'B Mask'!Q19+'V Mask'!Q19+'VKr-AT Mask'!Q19+'Kr Mask'!Q19+'L Mask'!Q19+'AVH Mask'!Q19)))</f>
        <v>4516.2299999999996</v>
      </c>
      <c r="R19" s="234">
        <f>IF(OR(Umse!$C$24=0,Umse!$B$11=0),"",IF(AND('B Mask'!R19=0,'V Mask'!R19=0,'VKr-AT Mask'!R19=0,'Kr Mask'!R19=0,'L Mask'!R19=0,'AVH Mask'!R19=0),"",IF(OR('B Mask'!R19="-",'V Mask'!R19="-",'VKr-AT Mask'!R19="-",'Kr Mask'!R19="-",'L Mask'!R19="-",'AVH Mask'!R19="-"),"-",'B Mask'!R19+'V Mask'!R19+'VKr-AT Mask'!R19+'Kr Mask'!R19+'L Mask'!R19+'AVH Mask'!R19)))</f>
        <v>4629.3100000000004</v>
      </c>
      <c r="T19" s="255"/>
    </row>
    <row r="20" spans="2:20" ht="10.5" customHeight="1">
      <c r="B20" s="273" t="str">
        <f>'B Mask'!B20&amp;'V Mask'!B20&amp;'VKr-AT Mask'!B20&amp;'Kr Mask'!B20&amp;'L Mask'!B20&amp;'AVH Mask'!B20</f>
        <v>EG</v>
      </c>
      <c r="C20" s="274" t="str">
        <f>'B Mask'!C20&amp;'V Mask'!C20&amp;'VKr-AT Mask'!C20&amp;'Kr Mask'!C20&amp;'L Mask'!C20&amp;'AVH Mask'!C20</f>
        <v>9b *</v>
      </c>
      <c r="D20" s="233">
        <f>IF(OR(Umse!$C$24=0,Umse!$B$11=0),"",IF(AND('B Mask'!D20=0,'V Mask'!D20=0,'VKr-AT Mask'!D20=0,'Kr Mask'!D20=0,'L Mask'!D20=0,'AVH Mask'!D20=0),"",IF(OR('B Mask'!D20="-",'V Mask'!D20="-",'VKr-AT Mask'!D20="-",'Kr Mask'!D20="-",'L Mask'!D20="-",'AVH Mask'!D20="-"),"-",'B Mask'!D20+'V Mask'!D20+'VKr-AT Mask'!D20+'Kr Mask'!D20+'L Mask'!D20+'AVH Mask'!D20)))</f>
        <v>18.71</v>
      </c>
      <c r="E20" s="233">
        <f>IF(OR(Umse!$C$24=0,Umse!$B$11=0),"",IF(AND('B Mask'!E20=0,'V Mask'!E20=0,'VKr-AT Mask'!E20=0,'Kr Mask'!E20=0,'L Mask'!E20=0,'AVH Mask'!E20=0),"",IF(OR('B Mask'!E20="-",'V Mask'!E20="-",'VKr-AT Mask'!E20="-",'Kr Mask'!E20="-",'L Mask'!E20="-",'AVH Mask'!E20="-"),"-",'B Mask'!E20+'V Mask'!E20+'VKr-AT Mask'!E20+'Kr Mask'!E20+'L Mask'!E20+'AVH Mask'!E20)))</f>
        <v>19.36</v>
      </c>
      <c r="F20" s="233">
        <f>IF(OR(Umse!$C$24=0,Umse!$B$11=0),"",IF(AND('B Mask'!F20=0,'V Mask'!F20=0,'VKr-AT Mask'!F20=0,'Kr Mask'!F20=0,'L Mask'!F20=0,'AVH Mask'!F20=0),"",IF(OR('B Mask'!F20="-",'V Mask'!F20="-",'VKr-AT Mask'!F20="-",'Kr Mask'!F20="-",'L Mask'!F20="-",'AVH Mask'!F20="-"),"-",'B Mask'!F20+'V Mask'!F20+'VKr-AT Mask'!F20+'Kr Mask'!F20+'L Mask'!F20+'AVH Mask'!F20)))</f>
        <v>20.97</v>
      </c>
      <c r="G20" s="233">
        <f>IF(OR(Umse!$C$24=0,Umse!$B$11=0),"",IF(AND('B Mask'!G20=0,'V Mask'!G20=0,'VKr-AT Mask'!G20=0,'Kr Mask'!G20=0,'L Mask'!G20=0,'AVH Mask'!G20=0),"",IF(OR('B Mask'!G20="-",'V Mask'!G20="-",'VKr-AT Mask'!G20="-",'Kr Mask'!G20="-",'L Mask'!G20="-",'AVH Mask'!G20="-"),"-",'B Mask'!G20+'V Mask'!G20+'VKr-AT Mask'!G20+'Kr Mask'!G20+'L Mask'!G20+'AVH Mask'!G20)))</f>
        <v>22.74</v>
      </c>
      <c r="H20" s="233">
        <f>IF(OR(Umse!$C$24=0,Umse!$B$11=0),"",IF(AND('B Mask'!H20=0,'V Mask'!H20=0,'VKr-AT Mask'!H20=0,'Kr Mask'!H20=0,'L Mask'!H20=0,'AVH Mask'!H20=0),"",IF(OR('B Mask'!H20="-",'V Mask'!H20="-",'VKr-AT Mask'!H20="-",'Kr Mask'!H20="-",'L Mask'!H20="-",'AVH Mask'!H20="-"),"-",'B Mask'!H20+'V Mask'!H20+'VKr-AT Mask'!H20+'Kr Mask'!H20+'L Mask'!H20+'AVH Mask'!H20)))</f>
        <v>24.69</v>
      </c>
      <c r="I20" s="233">
        <f>IF(OR(Umse!$C$24=0,Umse!$B$11=0),"",IF(AND('B Mask'!I20=0,'V Mask'!I20=0,'VKr-AT Mask'!I20=0,'Kr Mask'!I20=0,'L Mask'!I20=0,'AVH Mask'!I20=0),"",IF(OR('B Mask'!I20="-",'V Mask'!I20="-",'VKr-AT Mask'!I20="-",'Kr Mask'!I20="-",'L Mask'!I20="-",'AVH Mask'!I20="-"),"-",'B Mask'!I20+'V Mask'!I20+'VKr-AT Mask'!I20+'Kr Mask'!I20+'L Mask'!I20+'AVH Mask'!I20)))</f>
        <v>26.31</v>
      </c>
      <c r="J20" s="254" t="str">
        <f>'B Mask'!J20&amp;'V Mask'!J20&amp;'VKr-AT Mask'!J20&amp;'Kr Mask'!J20&amp;'L Mask'!J20&amp;'AVH Mask'!J20</f>
        <v>differenziert angehoben</v>
      </c>
      <c r="K20" s="273" t="str">
        <f>'B Mask'!K20&amp;'V Mask'!K20&amp;'VKr-AT Mask'!K20&amp;'Kr Mask'!K20&amp;'L Mask'!K20&amp;'AVH Mask'!K20</f>
        <v>EG</v>
      </c>
      <c r="L20" s="274" t="str">
        <f>'B Mask'!L20&amp;'V Mask'!L20&amp;'VKr-AT Mask'!L20&amp;'Kr Mask'!L20&amp;'L Mask'!L20&amp;'AVH Mask'!L20</f>
        <v>9b *</v>
      </c>
      <c r="M20" s="233">
        <f>IF(OR(Umse!$C$24=0,Umse!$B$11=0),"",IF(AND('B Mask'!M20=0,'V Mask'!M20=0,'VKr-AT Mask'!M20=0,'Kr Mask'!M20=0,'L Mask'!M20=0,'AVH Mask'!M20=0),"",IF(OR('B Mask'!M20="-",'V Mask'!M20="-",'VKr-AT Mask'!M20="-",'Kr Mask'!M20="-",'L Mask'!M20="-",'AVH Mask'!M20="-"),"-",'B Mask'!M20+'V Mask'!M20+'VKr-AT Mask'!M20+'Kr Mask'!M20+'L Mask'!M20+'AVH Mask'!M20)))</f>
        <v>3173.3033333333333</v>
      </c>
      <c r="N20" s="233">
        <f>IF(OR(Umse!$C$24=0,Umse!$B$11=0),"",IF(AND('B Mask'!N20=0,'V Mask'!N20=0,'VKr-AT Mask'!N20=0,'Kr Mask'!N20=0,'L Mask'!N20=0,'AVH Mask'!N20=0),"",IF(OR('B Mask'!N20="-",'V Mask'!N20="-",'VKr-AT Mask'!N20="-",'Kr Mask'!N20="-",'L Mask'!N20="-",'AVH Mask'!N20="-"),"-",'B Mask'!N20+'V Mask'!N20+'VKr-AT Mask'!N20+'Kr Mask'!N20+'L Mask'!N20+'AVH Mask'!N20)))</f>
        <v>3282.46</v>
      </c>
      <c r="O20" s="233">
        <f>IF(OR(Umse!$C$24=0,Umse!$B$11=0),"",IF(AND('B Mask'!O20=0,'V Mask'!O20=0,'VKr-AT Mask'!O20=0,'Kr Mask'!O20=0,'L Mask'!O20=0,'AVH Mask'!O20=0),"",IF(OR('B Mask'!O20="-",'V Mask'!O20="-",'VKr-AT Mask'!O20="-",'Kr Mask'!O20="-",'L Mask'!O20="-",'AVH Mask'!O20="-"),"-",'B Mask'!O20+'V Mask'!O20+'VKr-AT Mask'!O20+'Kr Mask'!O20+'L Mask'!O20+'AVH Mask'!O20)))</f>
        <v>3555.82</v>
      </c>
      <c r="P20" s="233">
        <f>IF(OR(Umse!$C$24=0,Umse!$B$11=0),"",IF(AND('B Mask'!P20=0,'V Mask'!P20=0,'VKr-AT Mask'!P20=0,'Kr Mask'!P20=0,'L Mask'!P20=0,'AVH Mask'!P20=0),"",IF(OR('B Mask'!P20="-",'V Mask'!P20="-",'VKr-AT Mask'!P20="-",'Kr Mask'!P20="-",'L Mask'!P20="-",'AVH Mask'!P20="-"),"-",'B Mask'!P20+'V Mask'!P20+'VKr-AT Mask'!P20+'Kr Mask'!P20+'L Mask'!P20+'AVH Mask'!P20)))</f>
        <v>3855.78</v>
      </c>
      <c r="Q20" s="233">
        <f>IF(OR(Umse!$C$24=0,Umse!$B$11=0),"",IF(AND('B Mask'!Q20=0,'V Mask'!Q20=0,'VKr-AT Mask'!Q20=0,'Kr Mask'!Q20=0,'L Mask'!Q20=0,'AVH Mask'!Q20=0),"",IF(OR('B Mask'!Q20="-",'V Mask'!Q20="-",'VKr-AT Mask'!Q20="-",'Kr Mask'!Q20="-",'L Mask'!Q20="-",'AVH Mask'!Q20="-"),"-",'B Mask'!Q20+'V Mask'!Q20+'VKr-AT Mask'!Q20+'Kr Mask'!Q20+'L Mask'!Q20+'AVH Mask'!Q20)))</f>
        <v>4185.91</v>
      </c>
      <c r="R20" s="233">
        <f>IF(OR(Umse!$C$24=0,Umse!$B$11=0),"",IF(AND('B Mask'!R20=0,'V Mask'!R20=0,'VKr-AT Mask'!R20=0,'Kr Mask'!R20=0,'L Mask'!R20=0,'AVH Mask'!R20=0),"",IF(OR('B Mask'!R20="-",'V Mask'!R20="-",'VKr-AT Mask'!R20="-",'Kr Mask'!R20="-",'L Mask'!R20="-",'AVH Mask'!R20="-"),"-",'B Mask'!R20+'V Mask'!R20+'VKr-AT Mask'!R20+'Kr Mask'!R20+'L Mask'!R20+'AVH Mask'!R20)))</f>
        <v>4462.1899999999996</v>
      </c>
    </row>
    <row r="21" spans="2:20" ht="10.5" customHeight="1">
      <c r="B21" s="275" t="str">
        <f>'B Mask'!B21&amp;'V Mask'!B21&amp;'VKr-AT Mask'!B21&amp;'Kr Mask'!B21&amp;'L Mask'!B21&amp;'AVH Mask'!B21</f>
        <v>EG</v>
      </c>
      <c r="C21" s="276" t="str">
        <f>'B Mask'!C21&amp;'V Mask'!C21&amp;'VKr-AT Mask'!C21&amp;'Kr Mask'!C21&amp;'L Mask'!C21&amp;'AVH Mask'!C21</f>
        <v>9a</v>
      </c>
      <c r="D21" s="234">
        <f>IF(OR(Umse!$C$24=0,Umse!$B$11=0),"",IF(AND('B Mask'!D21=0,'V Mask'!D21=0,'VKr-AT Mask'!D21=0,'Kr Mask'!D21=0,'L Mask'!D21=0,'AVH Mask'!D21=0),"",IF(OR('B Mask'!D21="-",'V Mask'!D21="-",'VKr-AT Mask'!D21="-",'Kr Mask'!D21="-",'L Mask'!D21="-",'AVH Mask'!D21="-"),"-",'B Mask'!D21+'V Mask'!D21+'VKr-AT Mask'!D21+'Kr Mask'!D21+'L Mask'!D21+'AVH Mask'!D21)))</f>
        <v>17.96</v>
      </c>
      <c r="E21" s="234">
        <f>IF(OR(Umse!$C$24=0,Umse!$B$11=0),"",IF(AND('B Mask'!E21=0,'V Mask'!E21=0,'VKr-AT Mask'!E21=0,'Kr Mask'!E21=0,'L Mask'!E21=0,'AVH Mask'!E21=0),"",IF(OR('B Mask'!E21="-",'V Mask'!E21="-",'VKr-AT Mask'!E21="-",'Kr Mask'!E21="-",'L Mask'!E21="-",'AVH Mask'!E21="-"),"-",'B Mask'!E21+'V Mask'!E21+'VKr-AT Mask'!E21+'Kr Mask'!E21+'L Mask'!E21+'AVH Mask'!E21)))</f>
        <v>19.16</v>
      </c>
      <c r="F21" s="234">
        <f>IF(OR(Umse!$C$24=0,Umse!$B$11=0),"",IF(AND('B Mask'!F21=0,'V Mask'!F21=0,'VKr-AT Mask'!F21=0,'Kr Mask'!F21=0,'L Mask'!F21=0,'AVH Mask'!F21=0),"",IF(OR('B Mask'!F21="-",'V Mask'!F21="-",'VKr-AT Mask'!F21="-",'Kr Mask'!F21="-",'L Mask'!F21="-",'AVH Mask'!F21="-"),"-",'B Mask'!F21+'V Mask'!F21+'VKr-AT Mask'!F21+'Kr Mask'!F21+'L Mask'!F21+'AVH Mask'!F21)))</f>
        <v>19.489999999999998</v>
      </c>
      <c r="G21" s="234">
        <f>IF(OR(Umse!$C$24=0,Umse!$B$11=0),"",IF(AND('B Mask'!G21=0,'V Mask'!G21=0,'VKr-AT Mask'!G21=0,'Kr Mask'!G21=0,'L Mask'!G21=0,'AVH Mask'!G21=0),"",IF(OR('B Mask'!G21="-",'V Mask'!G21="-",'VKr-AT Mask'!G21="-",'Kr Mask'!G21="-",'L Mask'!G21="-",'AVH Mask'!G21="-"),"-",'B Mask'!G21+'V Mask'!G21+'VKr-AT Mask'!G21+'Kr Mask'!G21+'L Mask'!G21+'AVH Mask'!G21)))</f>
        <v>20.6</v>
      </c>
      <c r="H21" s="234">
        <f>IF(OR(Umse!$C$24=0,Umse!$B$11=0),"",IF(AND('B Mask'!H21=0,'V Mask'!H21=0,'VKr-AT Mask'!H21=0,'Kr Mask'!H21=0,'L Mask'!H21=0,'AVH Mask'!H21=0),"",IF(OR('B Mask'!H21="-",'V Mask'!H21="-",'VKr-AT Mask'!H21="-",'Kr Mask'!H21="-",'L Mask'!H21="-",'AVH Mask'!H21="-"),"-",'B Mask'!H21+'V Mask'!H21+'VKr-AT Mask'!H21+'Kr Mask'!H21+'L Mask'!H21+'AVH Mask'!H21)))</f>
        <v>22.65</v>
      </c>
      <c r="I21" s="234">
        <f>IF(OR(Umse!$C$24=0,Umse!$B$11=0),"",IF(AND('B Mask'!I21=0,'V Mask'!I21=0,'VKr-AT Mask'!I21=0,'Kr Mask'!I21=0,'L Mask'!I21=0,'AVH Mask'!I21=0),"",IF(OR('B Mask'!I21="-",'V Mask'!I21="-",'VKr-AT Mask'!I21="-",'Kr Mask'!I21="-",'L Mask'!I21="-",'AVH Mask'!I21="-"),"-",'B Mask'!I21+'V Mask'!I21+'VKr-AT Mask'!I21+'Kr Mask'!I21+'L Mask'!I21+'AVH Mask'!I21)))</f>
        <v>23.46</v>
      </c>
      <c r="J21" s="254" t="str">
        <f>'B Mask'!J21&amp;'V Mask'!J21&amp;'VKr-AT Mask'!J21&amp;'Kr Mask'!J21&amp;'L Mask'!J21&amp;'AVH Mask'!J21</f>
        <v/>
      </c>
      <c r="K21" s="275" t="str">
        <f>'B Mask'!K21&amp;'V Mask'!K21&amp;'VKr-AT Mask'!K21&amp;'Kr Mask'!K21&amp;'L Mask'!K21&amp;'AVH Mask'!K21</f>
        <v>EG</v>
      </c>
      <c r="L21" s="276" t="str">
        <f>'B Mask'!L21&amp;'V Mask'!L21&amp;'VKr-AT Mask'!L21&amp;'Kr Mask'!L21&amp;'L Mask'!L21&amp;'AVH Mask'!L21</f>
        <v>9a</v>
      </c>
      <c r="M21" s="234">
        <f>IF(OR(Umse!$C$24=0,Umse!$B$11=0),"",IF(AND('B Mask'!M21=0,'V Mask'!M21=0,'VKr-AT Mask'!M21=0,'Kr Mask'!M21=0,'L Mask'!M21=0,'AVH Mask'!M21=0),"",IF(OR('B Mask'!M21="-",'V Mask'!M21="-",'VKr-AT Mask'!M21="-",'Kr Mask'!M21="-",'L Mask'!M21="-",'AVH Mask'!M21="-"),"-",'B Mask'!M21+'V Mask'!M21+'VKr-AT Mask'!M21+'Kr Mask'!M21+'L Mask'!M21+'AVH Mask'!M21)))</f>
        <v>3044.7</v>
      </c>
      <c r="N21" s="234">
        <f>IF(OR(Umse!$C$24=0,Umse!$B$11=0),"",IF(AND('B Mask'!N21=0,'V Mask'!N21=0,'VKr-AT Mask'!N21=0,'Kr Mask'!N21=0,'L Mask'!N21=0,'AVH Mask'!N21=0),"",IF(OR('B Mask'!N21="-",'V Mask'!N21="-",'VKr-AT Mask'!N21="-",'Kr Mask'!N21="-",'L Mask'!N21="-",'AVH Mask'!N21="-"),"-",'B Mask'!N21+'V Mask'!N21+'VKr-AT Mask'!N21+'Kr Mask'!N21+'L Mask'!N21+'AVH Mask'!N21)))</f>
        <v>3248.34</v>
      </c>
      <c r="O21" s="234">
        <f>IF(OR(Umse!$C$24=0,Umse!$B$11=0),"",IF(AND('B Mask'!O21=0,'V Mask'!O21=0,'VKr-AT Mask'!O21=0,'Kr Mask'!O21=0,'L Mask'!O21=0,'AVH Mask'!O21=0),"",IF(OR('B Mask'!O21="-",'V Mask'!O21="-",'VKr-AT Mask'!O21="-",'Kr Mask'!O21="-",'L Mask'!O21="-",'AVH Mask'!O21="-"),"-",'B Mask'!O21+'V Mask'!O21+'VKr-AT Mask'!O21+'Kr Mask'!O21+'L Mask'!O21+'AVH Mask'!O21)))</f>
        <v>3304.35</v>
      </c>
      <c r="P21" s="234">
        <f>IF(OR(Umse!$C$24=0,Umse!$B$11=0),"",IF(AND('B Mask'!P21=0,'V Mask'!P21=0,'VKr-AT Mask'!P21=0,'Kr Mask'!P21=0,'L Mask'!P21=0,'AVH Mask'!P21=0),"",IF(OR('B Mask'!P21="-",'V Mask'!P21="-",'VKr-AT Mask'!P21="-",'Kr Mask'!P21="-",'L Mask'!P21="-",'AVH Mask'!P21="-"),"-",'B Mask'!P21+'V Mask'!P21+'VKr-AT Mask'!P21+'Kr Mask'!P21+'L Mask'!P21+'AVH Mask'!P21)))</f>
        <v>3493.66</v>
      </c>
      <c r="Q21" s="234">
        <f>IF(OR(Umse!$C$24=0,Umse!$B$11=0),"",IF(AND('B Mask'!Q21=0,'V Mask'!Q21=0,'VKr-AT Mask'!Q21=0,'Kr Mask'!Q21=0,'L Mask'!Q21=0,'AVH Mask'!Q21=0),"",IF(OR('B Mask'!Q21="-",'V Mask'!Q21="-",'VKr-AT Mask'!Q21="-",'Kr Mask'!Q21="-",'L Mask'!Q21="-",'AVH Mask'!Q21="-"),"-",'B Mask'!Q21+'V Mask'!Q21+'VKr-AT Mask'!Q21+'Kr Mask'!Q21+'L Mask'!Q21+'AVH Mask'!Q21)))</f>
        <v>3840.53</v>
      </c>
      <c r="R21" s="234">
        <f>IF(OR(Umse!$C$24=0,Umse!$B$11=0),"",IF(AND('B Mask'!R21=0,'V Mask'!R21=0,'VKr-AT Mask'!R21=0,'Kr Mask'!R21=0,'L Mask'!R21=0,'AVH Mask'!R21=0),"",IF(OR('B Mask'!R21="-",'V Mask'!R21="-",'VKr-AT Mask'!R21="-",'Kr Mask'!R21="-",'L Mask'!R21="-",'AVH Mask'!R21="-"),"-",'B Mask'!R21+'V Mask'!R21+'VKr-AT Mask'!R21+'Kr Mask'!R21+'L Mask'!R21+'AVH Mask'!R21)))</f>
        <v>3977.78</v>
      </c>
    </row>
    <row r="22" spans="2:20" ht="10.5" customHeight="1">
      <c r="B22" s="273" t="str">
        <f>'B Mask'!B22&amp;'V Mask'!B22&amp;'VKr-AT Mask'!B22&amp;'Kr Mask'!B22&amp;'L Mask'!B22&amp;'AVH Mask'!B22</f>
        <v>EG</v>
      </c>
      <c r="C22" s="274" t="str">
        <f>'B Mask'!C22&amp;'V Mask'!C22&amp;'VKr-AT Mask'!C22&amp;'Kr Mask'!C22&amp;'L Mask'!C22&amp;'AVH Mask'!C22</f>
        <v>8</v>
      </c>
      <c r="D22" s="233">
        <f>IF(OR(Umse!$C$24=0,Umse!$B$11=0),"",IF(AND('B Mask'!D22=0,'V Mask'!D22=0,'VKr-AT Mask'!D22=0,'Kr Mask'!D22=0,'L Mask'!D22=0,'AVH Mask'!D22=0),"",IF(OR('B Mask'!D22="-",'V Mask'!D22="-",'VKr-AT Mask'!D22="-",'Kr Mask'!D22="-",'L Mask'!D22="-",'AVH Mask'!D22="-"),"-",'B Mask'!D22+'V Mask'!D22+'VKr-AT Mask'!D22+'Kr Mask'!D22+'L Mask'!D22+'AVH Mask'!D22)))</f>
        <v>16.86</v>
      </c>
      <c r="E22" s="233">
        <f>IF(OR(Umse!$C$24=0,Umse!$B$11=0),"",IF(AND('B Mask'!E22=0,'V Mask'!E22=0,'VKr-AT Mask'!E22=0,'Kr Mask'!E22=0,'L Mask'!E22=0,'AVH Mask'!E22=0),"",IF(OR('B Mask'!E22="-",'V Mask'!E22="-",'VKr-AT Mask'!E22="-",'Kr Mask'!E22="-",'L Mask'!E22="-",'AVH Mask'!E22="-"),"-",'B Mask'!E22+'V Mask'!E22+'VKr-AT Mask'!E22+'Kr Mask'!E22+'L Mask'!E22+'AVH Mask'!E22)))</f>
        <v>17.989999999999998</v>
      </c>
      <c r="F22" s="233">
        <f>IF(OR(Umse!$C$24=0,Umse!$B$11=0),"",IF(AND('B Mask'!F22=0,'V Mask'!F22=0,'VKr-AT Mask'!F22=0,'Kr Mask'!F22=0,'L Mask'!F22=0,'AVH Mask'!F22=0),"",IF(OR('B Mask'!F22="-",'V Mask'!F22="-",'VKr-AT Mask'!F22="-",'Kr Mask'!F22="-",'L Mask'!F22="-",'AVH Mask'!F22="-"),"-",'B Mask'!F22+'V Mask'!F22+'VKr-AT Mask'!F22+'Kr Mask'!F22+'L Mask'!F22+'AVH Mask'!F22)))</f>
        <v>18.77</v>
      </c>
      <c r="G22" s="233">
        <f>IF(OR(Umse!$C$24=0,Umse!$B$11=0),"",IF(AND('B Mask'!G22=0,'V Mask'!G22=0,'VKr-AT Mask'!G22=0,'Kr Mask'!G22=0,'L Mask'!G22=0,'AVH Mask'!G22=0),"",IF(OR('B Mask'!G22="-",'V Mask'!G22="-",'VKr-AT Mask'!G22="-",'Kr Mask'!G22="-",'L Mask'!G22="-",'AVH Mask'!G22="-"),"-",'B Mask'!G22+'V Mask'!G22+'VKr-AT Mask'!G22+'Kr Mask'!G22+'L Mask'!G22+'AVH Mask'!G22)))</f>
        <v>19.55</v>
      </c>
      <c r="H22" s="233">
        <f>IF(OR(Umse!$C$24=0,Umse!$B$11=0),"",IF(AND('B Mask'!H22=0,'V Mask'!H22=0,'VKr-AT Mask'!H22=0,'Kr Mask'!H22=0,'L Mask'!H22=0,'AVH Mask'!H22=0),"",IF(OR('B Mask'!H22="-",'V Mask'!H22="-",'VKr-AT Mask'!H22="-",'Kr Mask'!H22="-",'L Mask'!H22="-",'AVH Mask'!H22="-"),"-",'B Mask'!H22+'V Mask'!H22+'VKr-AT Mask'!H22+'Kr Mask'!H22+'L Mask'!H22+'AVH Mask'!H22)))</f>
        <v>20.38</v>
      </c>
      <c r="I22" s="233">
        <f>IF(OR(Umse!$C$24=0,Umse!$B$11=0),"",IF(AND('B Mask'!I22=0,'V Mask'!I22=0,'VKr-AT Mask'!I22=0,'Kr Mask'!I22=0,'L Mask'!I22=0,'AVH Mask'!I22=0),"",IF(OR('B Mask'!I22="-",'V Mask'!I22="-",'VKr-AT Mask'!I22="-",'Kr Mask'!I22="-",'L Mask'!I22="-",'AVH Mask'!I22="-"),"-",'B Mask'!I22+'V Mask'!I22+'VKr-AT Mask'!I22+'Kr Mask'!I22+'L Mask'!I22+'AVH Mask'!I22)))</f>
        <v>20.78</v>
      </c>
      <c r="J22" s="254" t="str">
        <f>'B Mask'!J22&amp;'V Mask'!J22&amp;'VKr-AT Mask'!J22&amp;'Kr Mask'!J22&amp;'L Mask'!J22&amp;'AVH Mask'!J22</f>
        <v/>
      </c>
      <c r="K22" s="273" t="str">
        <f>'B Mask'!K22&amp;'V Mask'!K22&amp;'VKr-AT Mask'!K22&amp;'Kr Mask'!K22&amp;'L Mask'!K22&amp;'AVH Mask'!K22</f>
        <v>EG</v>
      </c>
      <c r="L22" s="274" t="str">
        <f>'B Mask'!L22&amp;'V Mask'!L22&amp;'VKr-AT Mask'!L22&amp;'Kr Mask'!L22&amp;'L Mask'!L22&amp;'AVH Mask'!L22</f>
        <v>8</v>
      </c>
      <c r="M22" s="233">
        <f>IF(OR(Umse!$C$24=0,Umse!$B$11=0),"",IF(AND('B Mask'!M22=0,'V Mask'!M22=0,'VKr-AT Mask'!M22=0,'Kr Mask'!M22=0,'L Mask'!M22=0,'AVH Mask'!M22=0),"",IF(OR('B Mask'!M22="-",'V Mask'!M22="-",'VKr-AT Mask'!M22="-",'Kr Mask'!M22="-",'L Mask'!M22="-",'AVH Mask'!M22="-"),"-",'B Mask'!M22+'V Mask'!M22+'VKr-AT Mask'!M22+'Kr Mask'!M22+'L Mask'!M22+'AVH Mask'!M22)))</f>
        <v>2858.91</v>
      </c>
      <c r="N22" s="233">
        <f>IF(OR(Umse!$C$24=0,Umse!$B$11=0),"",IF(AND('B Mask'!N22=0,'V Mask'!N22=0,'VKr-AT Mask'!N22=0,'Kr Mask'!N22=0,'L Mask'!N22=0,'AVH Mask'!N22=0),"",IF(OR('B Mask'!N22="-",'V Mask'!N22="-",'VKr-AT Mask'!N22="-",'Kr Mask'!N22="-",'L Mask'!N22="-",'AVH Mask'!N22="-"),"-",'B Mask'!N22+'V Mask'!N22+'VKr-AT Mask'!N22+'Kr Mask'!N22+'L Mask'!N22+'AVH Mask'!N22)))</f>
        <v>3049.92</v>
      </c>
      <c r="O22" s="233">
        <f>IF(OR(Umse!$C$24=0,Umse!$B$11=0),"",IF(AND('B Mask'!O22=0,'V Mask'!O22=0,'VKr-AT Mask'!O22=0,'Kr Mask'!O22=0,'L Mask'!O22=0,'AVH Mask'!O22=0),"",IF(OR('B Mask'!O22="-",'V Mask'!O22="-",'VKr-AT Mask'!O22="-",'Kr Mask'!O22="-",'L Mask'!O22="-",'AVH Mask'!O22="-"),"-",'B Mask'!O22+'V Mask'!O22+'VKr-AT Mask'!O22+'Kr Mask'!O22+'L Mask'!O22+'AVH Mask'!O22)))</f>
        <v>3182.23</v>
      </c>
      <c r="P22" s="233">
        <f>IF(OR(Umse!$C$24=0,Umse!$B$11=0),"",IF(AND('B Mask'!P22=0,'V Mask'!P22=0,'VKr-AT Mask'!P22=0,'Kr Mask'!P22=0,'L Mask'!P22=0,'AVH Mask'!P22=0),"",IF(OR('B Mask'!P22="-",'V Mask'!P22="-",'VKr-AT Mask'!P22="-",'Kr Mask'!P22="-",'L Mask'!P22="-",'AVH Mask'!P22="-"),"-",'B Mask'!P22+'V Mask'!P22+'VKr-AT Mask'!P22+'Kr Mask'!P22+'L Mask'!P22+'AVH Mask'!P22)))</f>
        <v>3314.31</v>
      </c>
      <c r="Q22" s="233">
        <f>IF(OR(Umse!$C$24=0,Umse!$B$11=0),"",IF(AND('B Mask'!Q22=0,'V Mask'!Q22=0,'VKr-AT Mask'!Q22=0,'Kr Mask'!Q22=0,'L Mask'!Q22=0,'AVH Mask'!Q22=0),"",IF(OR('B Mask'!Q22="-",'V Mask'!Q22="-",'VKr-AT Mask'!Q22="-",'Kr Mask'!Q22="-",'L Mask'!Q22="-",'AVH Mask'!Q22="-"),"-",'B Mask'!Q22+'V Mask'!Q22+'VKr-AT Mask'!Q22+'Kr Mask'!Q22+'L Mask'!Q22+'AVH Mask'!Q22)))</f>
        <v>3455.98</v>
      </c>
      <c r="R22" s="233">
        <f>IF(OR(Umse!$C$24=0,Umse!$B$11=0),"",IF(AND('B Mask'!R22=0,'V Mask'!R22=0,'VKr-AT Mask'!R22=0,'Kr Mask'!R22=0,'L Mask'!R22=0,'AVH Mask'!R22=0),"",IF(OR('B Mask'!R22="-",'V Mask'!R22="-",'VKr-AT Mask'!R22="-",'Kr Mask'!R22="-",'L Mask'!R22="-",'AVH Mask'!R22="-"),"-",'B Mask'!R22+'V Mask'!R22+'VKr-AT Mask'!R22+'Kr Mask'!R22+'L Mask'!R22+'AVH Mask'!R22)))</f>
        <v>3524.11</v>
      </c>
    </row>
    <row r="23" spans="2:20" ht="10.5" customHeight="1">
      <c r="B23" s="275" t="str">
        <f>'B Mask'!B23&amp;'V Mask'!B23&amp;'VKr-AT Mask'!B23&amp;'Kr Mask'!B23&amp;'L Mask'!B23&amp;'AVH Mask'!B23</f>
        <v>EG</v>
      </c>
      <c r="C23" s="276" t="str">
        <f>'B Mask'!C23&amp;'V Mask'!C23&amp;'VKr-AT Mask'!C23&amp;'Kr Mask'!C23&amp;'L Mask'!C23&amp;'AVH Mask'!C23</f>
        <v>7</v>
      </c>
      <c r="D23" s="234">
        <f>IF(OR(Umse!$C$24=0,Umse!$B$11=0),"",IF(AND('B Mask'!D23=0,'V Mask'!D23=0,'VKr-AT Mask'!D23=0,'Kr Mask'!D23=0,'L Mask'!D23=0,'AVH Mask'!D23=0),"",IF(OR('B Mask'!D23="-",'V Mask'!D23="-",'VKr-AT Mask'!D23="-",'Kr Mask'!D23="-",'L Mask'!D23="-",'AVH Mask'!D23="-"),"-",'B Mask'!D23+'V Mask'!D23+'VKr-AT Mask'!D23+'Kr Mask'!D23+'L Mask'!D23+'AVH Mask'!D23)))</f>
        <v>15.84</v>
      </c>
      <c r="E23" s="234">
        <f>IF(OR(Umse!$C$24=0,Umse!$B$11=0),"",IF(AND('B Mask'!E23=0,'V Mask'!E23=0,'VKr-AT Mask'!E23=0,'Kr Mask'!E23=0,'L Mask'!E23=0,'AVH Mask'!E23=0),"",IF(OR('B Mask'!E23="-",'V Mask'!E23="-",'VKr-AT Mask'!E23="-",'Kr Mask'!E23="-",'L Mask'!E23="-",'AVH Mask'!E23="-"),"-",'B Mask'!E23+'V Mask'!E23+'VKr-AT Mask'!E23+'Kr Mask'!E23+'L Mask'!E23+'AVH Mask'!E23)))</f>
        <v>17.14</v>
      </c>
      <c r="F23" s="234">
        <f>IF(OR(Umse!$C$24=0,Umse!$B$11=0),"",IF(AND('B Mask'!F23=0,'V Mask'!F23=0,'VKr-AT Mask'!F23=0,'Kr Mask'!F23=0,'L Mask'!F23=0,'AVH Mask'!F23=0),"",IF(OR('B Mask'!F23="-",'V Mask'!F23="-",'VKr-AT Mask'!F23="-",'Kr Mask'!F23="-",'L Mask'!F23="-",'AVH Mask'!F23="-"),"-",'B Mask'!F23+'V Mask'!F23+'VKr-AT Mask'!F23+'Kr Mask'!F23+'L Mask'!F23+'AVH Mask'!F23)))</f>
        <v>17.91</v>
      </c>
      <c r="G23" s="234">
        <f>IF(OR(Umse!$C$24=0,Umse!$B$11=0),"",IF(AND('B Mask'!G23=0,'V Mask'!G23=0,'VKr-AT Mask'!G23=0,'Kr Mask'!G23=0,'L Mask'!G23=0,'AVH Mask'!G23=0),"",IF(OR('B Mask'!G23="-",'V Mask'!G23="-",'VKr-AT Mask'!G23="-",'Kr Mask'!G23="-",'L Mask'!G23="-",'AVH Mask'!G23="-"),"-",'B Mask'!G23+'V Mask'!G23+'VKr-AT Mask'!G23+'Kr Mask'!G23+'L Mask'!G23+'AVH Mask'!G23)))</f>
        <v>18.690000000000001</v>
      </c>
      <c r="H23" s="234">
        <f>IF(OR(Umse!$C$24=0,Umse!$B$11=0),"",IF(AND('B Mask'!H23=0,'V Mask'!H23=0,'VKr-AT Mask'!H23=0,'Kr Mask'!H23=0,'L Mask'!H23=0,'AVH Mask'!H23=0),"",IF(OR('B Mask'!H23="-",'V Mask'!H23="-",'VKr-AT Mask'!H23="-",'Kr Mask'!H23="-",'L Mask'!H23="-",'AVH Mask'!H23="-"),"-",'B Mask'!H23+'V Mask'!H23+'VKr-AT Mask'!H23+'Kr Mask'!H23+'L Mask'!H23+'AVH Mask'!H23)))</f>
        <v>19.420000000000002</v>
      </c>
      <c r="I23" s="234">
        <f>IF(OR(Umse!$C$24=0,Umse!$B$11=0),"",IF(AND('B Mask'!I23=0,'V Mask'!I23=0,'VKr-AT Mask'!I23=0,'Kr Mask'!I23=0,'L Mask'!I23=0,'AVH Mask'!I23=0),"",IF(OR('B Mask'!I23="-",'V Mask'!I23="-",'VKr-AT Mask'!I23="-",'Kr Mask'!I23="-",'L Mask'!I23="-",'AVH Mask'!I23="-"),"-",'B Mask'!I23+'V Mask'!I23+'VKr-AT Mask'!I23+'Kr Mask'!I23+'L Mask'!I23+'AVH Mask'!I23)))</f>
        <v>19.82</v>
      </c>
      <c r="J23" s="254" t="str">
        <f>'B Mask'!J23&amp;'V Mask'!J23&amp;'VKr-AT Mask'!J23&amp;'Kr Mask'!J23&amp;'L Mask'!J23&amp;'AVH Mask'!J23</f>
        <v/>
      </c>
      <c r="K23" s="275" t="str">
        <f>'B Mask'!K23&amp;'V Mask'!K23&amp;'VKr-AT Mask'!K23&amp;'Kr Mask'!K23&amp;'L Mask'!K23&amp;'AVH Mask'!K23</f>
        <v>EG</v>
      </c>
      <c r="L23" s="276" t="str">
        <f>'B Mask'!L23&amp;'V Mask'!L23&amp;'VKr-AT Mask'!L23&amp;'Kr Mask'!L23&amp;'L Mask'!L23&amp;'AVH Mask'!L23</f>
        <v>7</v>
      </c>
      <c r="M23" s="234">
        <f>IF(OR(Umse!$C$24=0,Umse!$B$11=0),"",IF(AND('B Mask'!M23=0,'V Mask'!M23=0,'VKr-AT Mask'!M23=0,'Kr Mask'!M23=0,'L Mask'!M23=0,'AVH Mask'!M23=0),"",IF(OR('B Mask'!M23="-",'V Mask'!M23="-",'VKr-AT Mask'!M23="-",'Kr Mask'!M23="-",'L Mask'!M23="-",'AVH Mask'!M23="-"),"-",'B Mask'!M23+'V Mask'!M23+'VKr-AT Mask'!M23+'Kr Mask'!M23+'L Mask'!M23+'AVH Mask'!M23)))</f>
        <v>2685.53</v>
      </c>
      <c r="N23" s="234">
        <f>IF(OR(Umse!$C$24=0,Umse!$B$11=0),"",IF(AND('B Mask'!N23=0,'V Mask'!N23=0,'VKr-AT Mask'!N23=0,'Kr Mask'!N23=0,'L Mask'!N23=0,'AVH Mask'!N23=0),"",IF(OR('B Mask'!N23="-",'V Mask'!N23="-",'VKr-AT Mask'!N23="-",'Kr Mask'!N23="-",'L Mask'!N23="-",'AVH Mask'!N23="-"),"-",'B Mask'!N23+'V Mask'!N23+'VKr-AT Mask'!N23+'Kr Mask'!N23+'L Mask'!N23+'AVH Mask'!N23)))</f>
        <v>2905.6</v>
      </c>
      <c r="O23" s="234">
        <f>IF(OR(Umse!$C$24=0,Umse!$B$11=0),"",IF(AND('B Mask'!O23=0,'V Mask'!O23=0,'VKr-AT Mask'!O23=0,'Kr Mask'!O23=0,'L Mask'!O23=0,'AVH Mask'!O23=0),"",IF(OR('B Mask'!O23="-",'V Mask'!O23="-",'VKr-AT Mask'!O23="-",'Kr Mask'!O23="-",'L Mask'!O23="-",'AVH Mask'!O23="-"),"-",'B Mask'!O23+'V Mask'!O23+'VKr-AT Mask'!O23+'Kr Mask'!O23+'L Mask'!O23+'AVH Mask'!O23)))</f>
        <v>3036.7</v>
      </c>
      <c r="P23" s="234">
        <f>IF(OR(Umse!$C$24=0,Umse!$B$11=0),"",IF(AND('B Mask'!P23=0,'V Mask'!P23=0,'VKr-AT Mask'!P23=0,'Kr Mask'!P23=0,'L Mask'!P23=0,'AVH Mask'!P23=0),"",IF(OR('B Mask'!P23="-",'V Mask'!P23="-",'VKr-AT Mask'!P23="-",'Kr Mask'!P23="-",'L Mask'!P23="-",'AVH Mask'!P23="-"),"-",'B Mask'!P23+'V Mask'!P23+'VKr-AT Mask'!P23+'Kr Mask'!P23+'L Mask'!P23+'AVH Mask'!P23)))</f>
        <v>3169</v>
      </c>
      <c r="Q23" s="234">
        <f>IF(OR(Umse!$C$24=0,Umse!$B$11=0),"",IF(AND('B Mask'!Q23=0,'V Mask'!Q23=0,'VKr-AT Mask'!Q23=0,'Kr Mask'!Q23=0,'L Mask'!Q23=0,'AVH Mask'!Q23=0),"",IF(OR('B Mask'!Q23="-",'V Mask'!Q23="-",'VKr-AT Mask'!Q23="-",'Kr Mask'!Q23="-",'L Mask'!Q23="-",'AVH Mask'!Q23="-"),"-",'B Mask'!Q23+'V Mask'!Q23+'VKr-AT Mask'!Q23+'Kr Mask'!Q23+'L Mask'!Q23+'AVH Mask'!Q23)))</f>
        <v>3293.78</v>
      </c>
      <c r="R23" s="234">
        <f>IF(OR(Umse!$C$24=0,Umse!$B$11=0),"",IF(AND('B Mask'!R23=0,'V Mask'!R23=0,'VKr-AT Mask'!R23=0,'Kr Mask'!R23=0,'L Mask'!R23=0,'AVH Mask'!R23=0),"",IF(OR('B Mask'!R23="-",'V Mask'!R23="-",'VKr-AT Mask'!R23="-",'Kr Mask'!R23="-",'L Mask'!R23="-",'AVH Mask'!R23="-"),"-",'B Mask'!R23+'V Mask'!R23+'VKr-AT Mask'!R23+'Kr Mask'!R23+'L Mask'!R23+'AVH Mask'!R23)))</f>
        <v>3360.79</v>
      </c>
    </row>
    <row r="24" spans="2:20" ht="10.5" customHeight="1">
      <c r="B24" s="273" t="str">
        <f>'B Mask'!B24&amp;'V Mask'!B24&amp;'VKr-AT Mask'!B24&amp;'Kr Mask'!B24&amp;'L Mask'!B24&amp;'AVH Mask'!B24</f>
        <v>EG</v>
      </c>
      <c r="C24" s="274" t="str">
        <f>'B Mask'!C24&amp;'V Mask'!C24&amp;'VKr-AT Mask'!C24&amp;'Kr Mask'!C24&amp;'L Mask'!C24&amp;'AVH Mask'!C24</f>
        <v>6</v>
      </c>
      <c r="D24" s="233">
        <f>IF(OR(Umse!$C$24=0,Umse!$B$11=0),"",IF(AND('B Mask'!D24=0,'V Mask'!D24=0,'VKr-AT Mask'!D24=0,'Kr Mask'!D24=0,'L Mask'!D24=0,'AVH Mask'!D24=0),"",IF(OR('B Mask'!D24="-",'V Mask'!D24="-",'VKr-AT Mask'!D24="-",'Kr Mask'!D24="-",'L Mask'!D24="-",'AVH Mask'!D24="-"),"-",'B Mask'!D24+'V Mask'!D24+'VKr-AT Mask'!D24+'Kr Mask'!D24+'L Mask'!D24+'AVH Mask'!D24)))</f>
        <v>15.55</v>
      </c>
      <c r="E24" s="233">
        <f>IF(OR(Umse!$C$24=0,Umse!$B$11=0),"",IF(AND('B Mask'!E24=0,'V Mask'!E24=0,'VKr-AT Mask'!E24=0,'Kr Mask'!E24=0,'L Mask'!E24=0,'AVH Mask'!E24=0),"",IF(OR('B Mask'!E24="-",'V Mask'!E24="-",'VKr-AT Mask'!E24="-",'Kr Mask'!E24="-",'L Mask'!E24="-",'AVH Mask'!E24="-"),"-",'B Mask'!E24+'V Mask'!E24+'VKr-AT Mask'!E24+'Kr Mask'!E24+'L Mask'!E24+'AVH Mask'!E24)))</f>
        <v>16.61</v>
      </c>
      <c r="F24" s="233">
        <f>IF(OR(Umse!$C$24=0,Umse!$B$11=0),"",IF(AND('B Mask'!F24=0,'V Mask'!F24=0,'VKr-AT Mask'!F24=0,'Kr Mask'!F24=0,'L Mask'!F24=0,'AVH Mask'!F24=0),"",IF(OR('B Mask'!F24="-",'V Mask'!F24="-",'VKr-AT Mask'!F24="-",'Kr Mask'!F24="-",'L Mask'!F24="-",'AVH Mask'!F24="-"),"-",'B Mask'!F24+'V Mask'!F24+'VKr-AT Mask'!F24+'Kr Mask'!F24+'L Mask'!F24+'AVH Mask'!F24)))</f>
        <v>17.36</v>
      </c>
      <c r="G24" s="233">
        <f>IF(OR(Umse!$C$24=0,Umse!$B$11=0),"",IF(AND('B Mask'!G24=0,'V Mask'!G24=0,'VKr-AT Mask'!G24=0,'Kr Mask'!G24=0,'L Mask'!G24=0,'AVH Mask'!G24=0),"",IF(OR('B Mask'!G24="-",'V Mask'!G24="-",'VKr-AT Mask'!G24="-",'Kr Mask'!G24="-",'L Mask'!G24="-",'AVH Mask'!G24="-"),"-",'B Mask'!G24+'V Mask'!G24+'VKr-AT Mask'!G24+'Kr Mask'!G24+'L Mask'!G24+'AVH Mask'!G24)))</f>
        <v>18.100000000000001</v>
      </c>
      <c r="H24" s="233">
        <f>IF(OR(Umse!$C$24=0,Umse!$B$11=0),"",IF(AND('B Mask'!H24=0,'V Mask'!H24=0,'VKr-AT Mask'!H24=0,'Kr Mask'!H24=0,'L Mask'!H24=0,'AVH Mask'!H24=0),"",IF(OR('B Mask'!H24="-",'V Mask'!H24="-",'VKr-AT Mask'!H24="-",'Kr Mask'!H24="-",'L Mask'!H24="-",'AVH Mask'!H24="-"),"-",'B Mask'!H24+'V Mask'!H24+'VKr-AT Mask'!H24+'Kr Mask'!H24+'L Mask'!H24+'AVH Mask'!H24)))</f>
        <v>18.829999999999998</v>
      </c>
      <c r="I24" s="233">
        <f>IF(OR(Umse!$C$24=0,Umse!$B$11=0),"",IF(AND('B Mask'!I24=0,'V Mask'!I24=0,'VKr-AT Mask'!I24=0,'Kr Mask'!I24=0,'L Mask'!I24=0,'AVH Mask'!I24=0),"",IF(OR('B Mask'!I24="-",'V Mask'!I24="-",'VKr-AT Mask'!I24="-",'Kr Mask'!I24="-",'L Mask'!I24="-",'AVH Mask'!I24="-"),"-",'B Mask'!I24+'V Mask'!I24+'VKr-AT Mask'!I24+'Kr Mask'!I24+'L Mask'!I24+'AVH Mask'!I24)))</f>
        <v>19.2</v>
      </c>
      <c r="J24" s="254" t="str">
        <f>'B Mask'!J24&amp;'V Mask'!J24&amp;'VKr-AT Mask'!J24&amp;'Kr Mask'!J24&amp;'L Mask'!J24&amp;'AVH Mask'!J24</f>
        <v/>
      </c>
      <c r="K24" s="273" t="str">
        <f>'B Mask'!K24&amp;'V Mask'!K24&amp;'VKr-AT Mask'!K24&amp;'Kr Mask'!K24&amp;'L Mask'!K24&amp;'AVH Mask'!K24</f>
        <v>EG</v>
      </c>
      <c r="L24" s="274" t="str">
        <f>'B Mask'!L24&amp;'V Mask'!L24&amp;'VKr-AT Mask'!L24&amp;'Kr Mask'!L24&amp;'L Mask'!L24&amp;'AVH Mask'!L24</f>
        <v>6</v>
      </c>
      <c r="M24" s="233">
        <f>IF(OR(Umse!$C$24=0,Umse!$B$11=0),"",IF(AND('B Mask'!M24=0,'V Mask'!M24=0,'VKr-AT Mask'!M24=0,'Kr Mask'!M24=0,'L Mask'!M24=0,'AVH Mask'!M24=0),"",IF(OR('B Mask'!M24="-",'V Mask'!M24="-",'VKr-AT Mask'!M24="-",'Kr Mask'!M24="-",'L Mask'!M24="-",'AVH Mask'!M24="-"),"-",'B Mask'!M24+'V Mask'!M24+'VKr-AT Mask'!M24+'Kr Mask'!M24+'L Mask'!M24+'AVH Mask'!M24)))</f>
        <v>2636</v>
      </c>
      <c r="N24" s="233">
        <f>IF(OR(Umse!$C$24=0,Umse!$B$11=0),"",IF(AND('B Mask'!N24=0,'V Mask'!N24=0,'VKr-AT Mask'!N24=0,'Kr Mask'!N24=0,'L Mask'!N24=0,'AVH Mask'!N24=0),"",IF(OR('B Mask'!N24="-",'V Mask'!N24="-",'VKr-AT Mask'!N24="-",'Kr Mask'!N24="-",'L Mask'!N24="-",'AVH Mask'!N24="-"),"-",'B Mask'!N24+'V Mask'!N24+'VKr-AT Mask'!N24+'Kr Mask'!N24+'L Mask'!N24+'AVH Mask'!N24)))</f>
        <v>2817.11</v>
      </c>
      <c r="O24" s="233">
        <f>IF(OR(Umse!$C$24=0,Umse!$B$11=0),"",IF(AND('B Mask'!O24=0,'V Mask'!O24=0,'VKr-AT Mask'!O24=0,'Kr Mask'!O24=0,'L Mask'!O24=0,'AVH Mask'!O24=0),"",IF(OR('B Mask'!O24="-",'V Mask'!O24="-",'VKr-AT Mask'!O24="-",'Kr Mask'!O24="-",'L Mask'!O24="-",'AVH Mask'!O24="-"),"-",'B Mask'!O24+'V Mask'!O24+'VKr-AT Mask'!O24+'Kr Mask'!O24+'L Mask'!O24+'AVH Mask'!O24)))</f>
        <v>2944.11</v>
      </c>
      <c r="P24" s="233">
        <f>IF(OR(Umse!$C$24=0,Umse!$B$11=0),"",IF(AND('B Mask'!P24=0,'V Mask'!P24=0,'VKr-AT Mask'!P24=0,'Kr Mask'!P24=0,'L Mask'!P24=0,'AVH Mask'!P24=0),"",IF(OR('B Mask'!P24="-",'V Mask'!P24="-",'VKr-AT Mask'!P24="-",'Kr Mask'!P24="-",'L Mask'!P24="-",'AVH Mask'!P24="-"),"-",'B Mask'!P24+'V Mask'!P24+'VKr-AT Mask'!P24+'Kr Mask'!P24+'L Mask'!P24+'AVH Mask'!P24)))</f>
        <v>3069.78</v>
      </c>
      <c r="Q24" s="233">
        <f>IF(OR(Umse!$C$24=0,Umse!$B$11=0),"",IF(AND('B Mask'!Q24=0,'V Mask'!Q24=0,'VKr-AT Mask'!Q24=0,'Kr Mask'!Q24=0,'L Mask'!Q24=0,'AVH Mask'!Q24=0),"",IF(OR('B Mask'!Q24="-",'V Mask'!Q24="-",'VKr-AT Mask'!Q24="-",'Kr Mask'!Q24="-",'L Mask'!Q24="-",'AVH Mask'!Q24="-"),"-",'B Mask'!Q24+'V Mask'!Q24+'VKr-AT Mask'!Q24+'Kr Mask'!Q24+'L Mask'!Q24+'AVH Mask'!Q24)))</f>
        <v>3193.22</v>
      </c>
      <c r="R24" s="233">
        <f>IF(OR(Umse!$C$24=0,Umse!$B$11=0),"",IF(AND('B Mask'!R24=0,'V Mask'!R24=0,'VKr-AT Mask'!R24=0,'Kr Mask'!R24=0,'L Mask'!R24=0,'AVH Mask'!R24=0),"",IF(OR('B Mask'!R24="-",'V Mask'!R24="-",'VKr-AT Mask'!R24="-",'Kr Mask'!R24="-",'L Mask'!R24="-",'AVH Mask'!R24="-"),"-",'B Mask'!R24+'V Mask'!R24+'VKr-AT Mask'!R24+'Kr Mask'!R24+'L Mask'!R24+'AVH Mask'!R24)))</f>
        <v>3256.1</v>
      </c>
    </row>
    <row r="25" spans="2:20" ht="10.5" customHeight="1">
      <c r="B25" s="275" t="str">
        <f>'B Mask'!B25&amp;'V Mask'!B25&amp;'VKr-AT Mask'!B25&amp;'Kr Mask'!B25&amp;'L Mask'!B25&amp;'AVH Mask'!B25</f>
        <v>EG</v>
      </c>
      <c r="C25" s="276" t="str">
        <f>'B Mask'!C25&amp;'V Mask'!C25&amp;'VKr-AT Mask'!C25&amp;'Kr Mask'!C25&amp;'L Mask'!C25&amp;'AVH Mask'!C25</f>
        <v>5</v>
      </c>
      <c r="D25" s="234">
        <f>IF(OR(Umse!$C$24=0,Umse!$B$11=0),"",IF(AND('B Mask'!D25=0,'V Mask'!D25=0,'VKr-AT Mask'!D25=0,'Kr Mask'!D25=0,'L Mask'!D25=0,'AVH Mask'!D25=0),"",IF(OR('B Mask'!D25="-",'V Mask'!D25="-",'VKr-AT Mask'!D25="-",'Kr Mask'!D25="-",'L Mask'!D25="-",'AVH Mask'!D25="-"),"-",'B Mask'!D25+'V Mask'!D25+'VKr-AT Mask'!D25+'Kr Mask'!D25+'L Mask'!D25+'AVH Mask'!D25)))</f>
        <v>14.92</v>
      </c>
      <c r="E25" s="234">
        <f>IF(OR(Umse!$C$24=0,Umse!$B$11=0),"",IF(AND('B Mask'!E25=0,'V Mask'!E25=0,'VKr-AT Mask'!E25=0,'Kr Mask'!E25=0,'L Mask'!E25=0,'AVH Mask'!E25=0),"",IF(OR('B Mask'!E25="-",'V Mask'!E25="-",'VKr-AT Mask'!E25="-",'Kr Mask'!E25="-",'L Mask'!E25="-",'AVH Mask'!E25="-"),"-",'B Mask'!E25+'V Mask'!E25+'VKr-AT Mask'!E25+'Kr Mask'!E25+'L Mask'!E25+'AVH Mask'!E25)))</f>
        <v>15.96</v>
      </c>
      <c r="F25" s="234">
        <f>IF(OR(Umse!$C$24=0,Umse!$B$11=0),"",IF(AND('B Mask'!F25=0,'V Mask'!F25=0,'VKr-AT Mask'!F25=0,'Kr Mask'!F25=0,'L Mask'!F25=0,'AVH Mask'!F25=0),"",IF(OR('B Mask'!F25="-",'V Mask'!F25="-",'VKr-AT Mask'!F25="-",'Kr Mask'!F25="-",'L Mask'!F25="-",'AVH Mask'!F25="-"),"-",'B Mask'!F25+'V Mask'!F25+'VKr-AT Mask'!F25+'Kr Mask'!F25+'L Mask'!F25+'AVH Mask'!F25)))</f>
        <v>16.66</v>
      </c>
      <c r="G25" s="234">
        <f>IF(OR(Umse!$C$24=0,Umse!$B$11=0),"",IF(AND('B Mask'!G25=0,'V Mask'!G25=0,'VKr-AT Mask'!G25=0,'Kr Mask'!G25=0,'L Mask'!G25=0,'AVH Mask'!G25=0),"",IF(OR('B Mask'!G25="-",'V Mask'!G25="-",'VKr-AT Mask'!G25="-",'Kr Mask'!G25="-",'L Mask'!G25="-",'AVH Mask'!G25="-"),"-",'B Mask'!G25+'V Mask'!G25+'VKr-AT Mask'!G25+'Kr Mask'!G25+'L Mask'!G25+'AVH Mask'!G25)))</f>
        <v>17.399999999999999</v>
      </c>
      <c r="H25" s="234">
        <f>IF(OR(Umse!$C$24=0,Umse!$B$11=0),"",IF(AND('B Mask'!H25=0,'V Mask'!H25=0,'VKr-AT Mask'!H25=0,'Kr Mask'!H25=0,'L Mask'!H25=0,'AVH Mask'!H25=0),"",IF(OR('B Mask'!H25="-",'V Mask'!H25="-",'VKr-AT Mask'!H25="-",'Kr Mask'!H25="-",'L Mask'!H25="-",'AVH Mask'!H25="-"),"-",'B Mask'!H25+'V Mask'!H25+'VKr-AT Mask'!H25+'Kr Mask'!H25+'L Mask'!H25+'AVH Mask'!H25)))</f>
        <v>18.09</v>
      </c>
      <c r="I25" s="234">
        <f>IF(OR(Umse!$C$24=0,Umse!$B$11=0),"",IF(AND('B Mask'!I25=0,'V Mask'!I25=0,'VKr-AT Mask'!I25=0,'Kr Mask'!I25=0,'L Mask'!I25=0,'AVH Mask'!I25=0),"",IF(OR('B Mask'!I25="-",'V Mask'!I25="-",'VKr-AT Mask'!I25="-",'Kr Mask'!I25="-",'L Mask'!I25="-",'AVH Mask'!I25="-"),"-",'B Mask'!I25+'V Mask'!I25+'VKr-AT Mask'!I25+'Kr Mask'!I25+'L Mask'!I25+'AVH Mask'!I25)))</f>
        <v>18.45</v>
      </c>
      <c r="J25" s="254" t="str">
        <f>'B Mask'!J25&amp;'V Mask'!J25&amp;'VKr-AT Mask'!J25&amp;'Kr Mask'!J25&amp;'L Mask'!J25&amp;'AVH Mask'!J25</f>
        <v/>
      </c>
      <c r="K25" s="275" t="str">
        <f>'B Mask'!K25&amp;'V Mask'!K25&amp;'VKr-AT Mask'!K25&amp;'Kr Mask'!K25&amp;'L Mask'!K25&amp;'AVH Mask'!K25</f>
        <v>EG</v>
      </c>
      <c r="L25" s="276" t="str">
        <f>'B Mask'!L25&amp;'V Mask'!L25&amp;'VKr-AT Mask'!L25&amp;'Kr Mask'!L25&amp;'L Mask'!L25&amp;'AVH Mask'!L25</f>
        <v>5</v>
      </c>
      <c r="M25" s="234">
        <f>IF(OR(Umse!$C$24=0,Umse!$B$11=0),"",IF(AND('B Mask'!M25=0,'V Mask'!M25=0,'VKr-AT Mask'!M25=0,'Kr Mask'!M25=0,'L Mask'!M25=0,'AVH Mask'!M25=0),"",IF(OR('B Mask'!M25="-",'V Mask'!M25="-",'VKr-AT Mask'!M25="-",'Kr Mask'!M25="-",'L Mask'!M25="-",'AVH Mask'!M25="-"),"-",'B Mask'!M25+'V Mask'!M25+'VKr-AT Mask'!M25+'Kr Mask'!M25+'L Mask'!M25+'AVH Mask'!M25)))</f>
        <v>2530.7399999999998</v>
      </c>
      <c r="N25" s="234">
        <f>IF(OR(Umse!$C$24=0,Umse!$B$11=0),"",IF(AND('B Mask'!N25=0,'V Mask'!N25=0,'VKr-AT Mask'!N25=0,'Kr Mask'!N25=0,'L Mask'!N25=0,'AVH Mask'!N25=0),"",IF(OR('B Mask'!N25="-",'V Mask'!N25="-",'VKr-AT Mask'!N25="-",'Kr Mask'!N25="-",'L Mask'!N25="-",'AVH Mask'!N25="-"),"-",'B Mask'!N25+'V Mask'!N25+'VKr-AT Mask'!N25+'Kr Mask'!N25+'L Mask'!N25+'AVH Mask'!N25)))</f>
        <v>2706.42</v>
      </c>
      <c r="O25" s="234">
        <f>IF(OR(Umse!$C$24=0,Umse!$B$11=0),"",IF(AND('B Mask'!O25=0,'V Mask'!O25=0,'VKr-AT Mask'!O25=0,'Kr Mask'!O25=0,'L Mask'!O25=0,'AVH Mask'!O25=0),"",IF(OR('B Mask'!O25="-",'V Mask'!O25="-",'VKr-AT Mask'!O25="-",'Kr Mask'!O25="-",'L Mask'!O25="-",'AVH Mask'!O25="-"),"-",'B Mask'!O25+'V Mask'!O25+'VKr-AT Mask'!O25+'Kr Mask'!O25+'L Mask'!O25+'AVH Mask'!O25)))</f>
        <v>2825.08</v>
      </c>
      <c r="P25" s="234">
        <f>IF(OR(Umse!$C$24=0,Umse!$B$11=0),"",IF(AND('B Mask'!P25=0,'V Mask'!P25=0,'VKr-AT Mask'!P25=0,'Kr Mask'!P25=0,'L Mask'!P25=0,'AVH Mask'!P25=0),"",IF(OR('B Mask'!P25="-",'V Mask'!P25="-",'VKr-AT Mask'!P25="-",'Kr Mask'!P25="-",'L Mask'!P25="-",'AVH Mask'!P25="-"),"-",'B Mask'!P25+'V Mask'!P25+'VKr-AT Mask'!P25+'Kr Mask'!P25+'L Mask'!P25+'AVH Mask'!P25)))</f>
        <v>2950.74</v>
      </c>
      <c r="Q25" s="234">
        <f>IF(OR(Umse!$C$24=0,Umse!$B$11=0),"",IF(AND('B Mask'!Q25=0,'V Mask'!Q25=0,'VKr-AT Mask'!Q25=0,'Kr Mask'!Q25=0,'L Mask'!Q25=0,'AVH Mask'!Q25=0),"",IF(OR('B Mask'!Q25="-",'V Mask'!Q25="-",'VKr-AT Mask'!Q25="-",'Kr Mask'!Q25="-",'L Mask'!Q25="-",'AVH Mask'!Q25="-"),"-",'B Mask'!Q25+'V Mask'!Q25+'VKr-AT Mask'!Q25+'Kr Mask'!Q25+'L Mask'!Q25+'AVH Mask'!Q25)))</f>
        <v>3067.5</v>
      </c>
      <c r="R25" s="234">
        <f>IF(OR(Umse!$C$24=0,Umse!$B$11=0),"",IF(AND('B Mask'!R25=0,'V Mask'!R25=0,'VKr-AT Mask'!R25=0,'Kr Mask'!R25=0,'L Mask'!R25=0,'AVH Mask'!R25=0),"",IF(OR('B Mask'!R25="-",'V Mask'!R25="-",'VKr-AT Mask'!R25="-",'Kr Mask'!R25="-",'L Mask'!R25="-",'AVH Mask'!R25="-"),"-",'B Mask'!R25+'V Mask'!R25+'VKr-AT Mask'!R25+'Kr Mask'!R25+'L Mask'!R25+'AVH Mask'!R25)))</f>
        <v>3127.85</v>
      </c>
    </row>
    <row r="26" spans="2:20" ht="10.5" customHeight="1">
      <c r="B26" s="273" t="str">
        <f>'B Mask'!B26&amp;'V Mask'!B26&amp;'VKr-AT Mask'!B26&amp;'Kr Mask'!B26&amp;'L Mask'!B26&amp;'AVH Mask'!B26</f>
        <v>EG</v>
      </c>
      <c r="C26" s="274" t="str">
        <f>'B Mask'!C26&amp;'V Mask'!C26&amp;'VKr-AT Mask'!C26&amp;'Kr Mask'!C26&amp;'L Mask'!C26&amp;'AVH Mask'!C26</f>
        <v>4</v>
      </c>
      <c r="D26" s="233">
        <f>IF(OR(Umse!$C$24=0,Umse!$B$11=0),"",IF(AND('B Mask'!D26=0,'V Mask'!D26=0,'VKr-AT Mask'!D26=0,'Kr Mask'!D26=0,'L Mask'!D26=0,'AVH Mask'!D26=0),"",IF(OR('B Mask'!D26="-",'V Mask'!D26="-",'VKr-AT Mask'!D26="-",'Kr Mask'!D26="-",'L Mask'!D26="-",'AVH Mask'!D26="-"),"-",'B Mask'!D26+'V Mask'!D26+'VKr-AT Mask'!D26+'Kr Mask'!D26+'L Mask'!D26+'AVH Mask'!D26)))</f>
        <v>14.23</v>
      </c>
      <c r="E26" s="233">
        <f>IF(OR(Umse!$C$24=0,Umse!$B$11=0),"",IF(AND('B Mask'!E26=0,'V Mask'!E26=0,'VKr-AT Mask'!E26=0,'Kr Mask'!E26=0,'L Mask'!E26=0,'AVH Mask'!E26=0),"",IF(OR('B Mask'!E26="-",'V Mask'!E26="-",'VKr-AT Mask'!E26="-",'Kr Mask'!E26="-",'L Mask'!E26="-",'AVH Mask'!E26="-"),"-",'B Mask'!E26+'V Mask'!E26+'VKr-AT Mask'!E26+'Kr Mask'!E26+'L Mask'!E26+'AVH Mask'!E26)))</f>
        <v>15.28</v>
      </c>
      <c r="F26" s="233">
        <f>IF(OR(Umse!$C$24=0,Umse!$B$11=0),"",IF(AND('B Mask'!F26=0,'V Mask'!F26=0,'VKr-AT Mask'!F26=0,'Kr Mask'!F26=0,'L Mask'!F26=0,'AVH Mask'!F26=0),"",IF(OR('B Mask'!F26="-",'V Mask'!F26="-",'VKr-AT Mask'!F26="-",'Kr Mask'!F26="-",'L Mask'!F26="-",'AVH Mask'!F26="-"),"-",'B Mask'!F26+'V Mask'!F26+'VKr-AT Mask'!F26+'Kr Mask'!F26+'L Mask'!F26+'AVH Mask'!F26)))</f>
        <v>16.16</v>
      </c>
      <c r="G26" s="233">
        <f>IF(OR(Umse!$C$24=0,Umse!$B$11=0),"",IF(AND('B Mask'!G26=0,'V Mask'!G26=0,'VKr-AT Mask'!G26=0,'Kr Mask'!G26=0,'L Mask'!G26=0,'AVH Mask'!G26=0),"",IF(OR('B Mask'!G26="-",'V Mask'!G26="-",'VKr-AT Mask'!G26="-",'Kr Mask'!G26="-",'L Mask'!G26="-",'AVH Mask'!G26="-"),"-",'B Mask'!G26+'V Mask'!G26+'VKr-AT Mask'!G26+'Kr Mask'!G26+'L Mask'!G26+'AVH Mask'!G26)))</f>
        <v>16.71</v>
      </c>
      <c r="H26" s="233">
        <f>IF(OR(Umse!$C$24=0,Umse!$B$11=0),"",IF(AND('B Mask'!H26=0,'V Mask'!H26=0,'VKr-AT Mask'!H26=0,'Kr Mask'!H26=0,'L Mask'!H26=0,'AVH Mask'!H26=0),"",IF(OR('B Mask'!H26="-",'V Mask'!H26="-",'VKr-AT Mask'!H26="-",'Kr Mask'!H26="-",'L Mask'!H26="-",'AVH Mask'!H26="-"),"-",'B Mask'!H26+'V Mask'!H26+'VKr-AT Mask'!H26+'Kr Mask'!H26+'L Mask'!H26+'AVH Mask'!H26)))</f>
        <v>17.25</v>
      </c>
      <c r="I26" s="233">
        <f>IF(OR(Umse!$C$24=0,Umse!$B$11=0),"",IF(AND('B Mask'!I26=0,'V Mask'!I26=0,'VKr-AT Mask'!I26=0,'Kr Mask'!I26=0,'L Mask'!I26=0,'AVH Mask'!I26=0),"",IF(OR('B Mask'!I26="-",'V Mask'!I26="-",'VKr-AT Mask'!I26="-",'Kr Mask'!I26="-",'L Mask'!I26="-",'AVH Mask'!I26="-"),"-",'B Mask'!I26+'V Mask'!I26+'VKr-AT Mask'!I26+'Kr Mask'!I26+'L Mask'!I26+'AVH Mask'!I26)))</f>
        <v>17.57</v>
      </c>
      <c r="J26" s="254" t="str">
        <f>'B Mask'!J26&amp;'V Mask'!J26&amp;'VKr-AT Mask'!J26&amp;'Kr Mask'!J26&amp;'L Mask'!J26&amp;'AVH Mask'!J26</f>
        <v/>
      </c>
      <c r="K26" s="273" t="str">
        <f>'B Mask'!K26&amp;'V Mask'!K26&amp;'VKr-AT Mask'!K26&amp;'Kr Mask'!K26&amp;'L Mask'!K26&amp;'AVH Mask'!K26</f>
        <v>EG</v>
      </c>
      <c r="L26" s="274" t="str">
        <f>'B Mask'!L26&amp;'V Mask'!L26&amp;'VKr-AT Mask'!L26&amp;'Kr Mask'!L26&amp;'L Mask'!L26&amp;'AVH Mask'!L26</f>
        <v>4</v>
      </c>
      <c r="M26" s="233">
        <f>IF(OR(Umse!$C$24=0,Umse!$B$11=0),"",IF(AND('B Mask'!M26=0,'V Mask'!M26=0,'VKr-AT Mask'!M26=0,'Kr Mask'!M26=0,'L Mask'!M26=0,'AVH Mask'!M26=0),"",IF(OR('B Mask'!M26="-",'V Mask'!M26="-",'VKr-AT Mask'!M26="-",'Kr Mask'!M26="-",'L Mask'!M26="-",'AVH Mask'!M26="-"),"-",'B Mask'!M26+'V Mask'!M26+'VKr-AT Mask'!M26+'Kr Mask'!M26+'L Mask'!M26+'AVH Mask'!M26)))</f>
        <v>2413.0700000000002</v>
      </c>
      <c r="N26" s="233">
        <f>IF(OR(Umse!$C$24=0,Umse!$B$11=0),"",IF(AND('B Mask'!N26=0,'V Mask'!N26=0,'VKr-AT Mask'!N26=0,'Kr Mask'!N26=0,'L Mask'!N26=0,'AVH Mask'!N26=0),"",IF(OR('B Mask'!N26="-",'V Mask'!N26="-",'VKr-AT Mask'!N26="-",'Kr Mask'!N26="-",'L Mask'!N26="-",'AVH Mask'!N26="-"),"-",'B Mask'!N26+'V Mask'!N26+'VKr-AT Mask'!N26+'Kr Mask'!N26+'L Mask'!N26+'AVH Mask'!N26)))</f>
        <v>2590.85</v>
      </c>
      <c r="O26" s="233">
        <f>IF(OR(Umse!$C$24=0,Umse!$B$11=0),"",IF(AND('B Mask'!O26=0,'V Mask'!O26=0,'VKr-AT Mask'!O26=0,'Kr Mask'!O26=0,'L Mask'!O26=0,'AVH Mask'!O26=0),"",IF(OR('B Mask'!O26="-",'V Mask'!O26="-",'VKr-AT Mask'!O26="-",'Kr Mask'!O26="-",'L Mask'!O26="-",'AVH Mask'!O26="-"),"-",'B Mask'!O26+'V Mask'!O26+'VKr-AT Mask'!O26+'Kr Mask'!O26+'L Mask'!O26+'AVH Mask'!O26)))</f>
        <v>2740.02</v>
      </c>
      <c r="P26" s="233">
        <f>IF(OR(Umse!$C$24=0,Umse!$B$11=0),"",IF(AND('B Mask'!P26=0,'V Mask'!P26=0,'VKr-AT Mask'!P26=0,'Kr Mask'!P26=0,'L Mask'!P26=0,'AVH Mask'!P26=0),"",IF(OR('B Mask'!P26="-",'V Mask'!P26="-",'VKr-AT Mask'!P26="-",'Kr Mask'!P26="-",'L Mask'!P26="-",'AVH Mask'!P26="-"),"-",'B Mask'!P26+'V Mask'!P26+'VKr-AT Mask'!P26+'Kr Mask'!P26+'L Mask'!P26+'AVH Mask'!P26)))</f>
        <v>2832.88</v>
      </c>
      <c r="Q26" s="233">
        <f>IF(OR(Umse!$C$24=0,Umse!$B$11=0),"",IF(AND('B Mask'!Q26=0,'V Mask'!Q26=0,'VKr-AT Mask'!Q26=0,'Kr Mask'!Q26=0,'L Mask'!Q26=0,'AVH Mask'!Q26=0),"",IF(OR('B Mask'!Q26="-",'V Mask'!Q26="-",'VKr-AT Mask'!Q26="-",'Kr Mask'!Q26="-",'L Mask'!Q26="-",'AVH Mask'!Q26="-"),"-",'B Mask'!Q26+'V Mask'!Q26+'VKr-AT Mask'!Q26+'Kr Mask'!Q26+'L Mask'!Q26+'AVH Mask'!Q26)))</f>
        <v>2925.73</v>
      </c>
      <c r="R26" s="233">
        <f>IF(OR(Umse!$C$24=0,Umse!$B$11=0),"",IF(AND('B Mask'!R26=0,'V Mask'!R26=0,'VKr-AT Mask'!R26=0,'Kr Mask'!R26=0,'L Mask'!R26=0,'AVH Mask'!R26=0),"",IF(OR('B Mask'!R26="-",'V Mask'!R26="-",'VKr-AT Mask'!R26="-",'Kr Mask'!R26="-",'L Mask'!R26="-",'AVH Mask'!R26="-"),"-",'B Mask'!R26+'V Mask'!R26+'VKr-AT Mask'!R26+'Kr Mask'!R26+'L Mask'!R26+'AVH Mask'!R26)))</f>
        <v>2980.1</v>
      </c>
    </row>
    <row r="27" spans="2:20" ht="10.5" customHeight="1">
      <c r="B27" s="275" t="str">
        <f>'B Mask'!B27&amp;'V Mask'!B27&amp;'VKr-AT Mask'!B27&amp;'Kr Mask'!B27&amp;'L Mask'!B27&amp;'AVH Mask'!B27</f>
        <v>EG</v>
      </c>
      <c r="C27" s="276" t="str">
        <f>'B Mask'!C27&amp;'V Mask'!C27&amp;'VKr-AT Mask'!C27&amp;'Kr Mask'!C27&amp;'L Mask'!C27&amp;'AVH Mask'!C27</f>
        <v>3</v>
      </c>
      <c r="D27" s="234">
        <f>IF(OR(Umse!$C$24=0,Umse!$B$11=0),"",IF(AND('B Mask'!D27=0,'V Mask'!D27=0,'VKr-AT Mask'!D27=0,'Kr Mask'!D27=0,'L Mask'!D27=0,'AVH Mask'!D27=0),"",IF(OR('B Mask'!D27="-",'V Mask'!D27="-",'VKr-AT Mask'!D27="-",'Kr Mask'!D27="-",'L Mask'!D27="-",'AVH Mask'!D27="-"),"-",'B Mask'!D27+'V Mask'!D27+'VKr-AT Mask'!D27+'Kr Mask'!D27+'L Mask'!D27+'AVH Mask'!D27)))</f>
        <v>14.01</v>
      </c>
      <c r="E27" s="234">
        <f>IF(OR(Umse!$C$24=0,Umse!$B$11=0),"",IF(AND('B Mask'!E27=0,'V Mask'!E27=0,'VKr-AT Mask'!E27=0,'Kr Mask'!E27=0,'L Mask'!E27=0,'AVH Mask'!E27=0),"",IF(OR('B Mask'!E27="-",'V Mask'!E27="-",'VKr-AT Mask'!E27="-",'Kr Mask'!E27="-",'L Mask'!E27="-",'AVH Mask'!E27="-"),"-",'B Mask'!E27+'V Mask'!E27+'VKr-AT Mask'!E27+'Kr Mask'!E27+'L Mask'!E27+'AVH Mask'!E27)))</f>
        <v>15.14</v>
      </c>
      <c r="F27" s="234">
        <f>IF(OR(Umse!$C$24=0,Umse!$B$11=0),"",IF(AND('B Mask'!F27=0,'V Mask'!F27=0,'VKr-AT Mask'!F27=0,'Kr Mask'!F27=0,'L Mask'!F27=0,'AVH Mask'!F27=0),"",IF(OR('B Mask'!F27="-",'V Mask'!F27="-",'VKr-AT Mask'!F27="-",'Kr Mask'!F27="-",'L Mask'!F27="-",'AVH Mask'!F27="-"),"-",'B Mask'!F27+'V Mask'!F27+'VKr-AT Mask'!F27+'Kr Mask'!F27+'L Mask'!F27+'AVH Mask'!F27)))</f>
        <v>15.41</v>
      </c>
      <c r="G27" s="234">
        <f>IF(OR(Umse!$C$24=0,Umse!$B$11=0),"",IF(AND('B Mask'!G27=0,'V Mask'!G27=0,'VKr-AT Mask'!G27=0,'Kr Mask'!G27=0,'L Mask'!G27=0,'AVH Mask'!G27=0),"",IF(OR('B Mask'!G27="-",'V Mask'!G27="-",'VKr-AT Mask'!G27="-",'Kr Mask'!G27="-",'L Mask'!G27="-",'AVH Mask'!G27="-"),"-",'B Mask'!G27+'V Mask'!G27+'VKr-AT Mask'!G27+'Kr Mask'!G27+'L Mask'!G27+'AVH Mask'!G27)))</f>
        <v>16.04</v>
      </c>
      <c r="H27" s="234">
        <f>IF(OR(Umse!$C$24=0,Umse!$B$11=0),"",IF(AND('B Mask'!H27=0,'V Mask'!H27=0,'VKr-AT Mask'!H27=0,'Kr Mask'!H27=0,'L Mask'!H27=0,'AVH Mask'!H27=0),"",IF(OR('B Mask'!H27="-",'V Mask'!H27="-",'VKr-AT Mask'!H27="-",'Kr Mask'!H27="-",'L Mask'!H27="-",'AVH Mask'!H27="-"),"-",'B Mask'!H27+'V Mask'!H27+'VKr-AT Mask'!H27+'Kr Mask'!H27+'L Mask'!H27+'AVH Mask'!H27)))</f>
        <v>16.510000000000002</v>
      </c>
      <c r="I27" s="234">
        <f>IF(OR(Umse!$C$24=0,Umse!$B$11=0),"",IF(AND('B Mask'!I27=0,'V Mask'!I27=0,'VKr-AT Mask'!I27=0,'Kr Mask'!I27=0,'L Mask'!I27=0,'AVH Mask'!I27=0),"",IF(OR('B Mask'!I27="-",'V Mask'!I27="-",'VKr-AT Mask'!I27="-",'Kr Mask'!I27="-",'L Mask'!I27="-",'AVH Mask'!I27="-"),"-",'B Mask'!I27+'V Mask'!I27+'VKr-AT Mask'!I27+'Kr Mask'!I27+'L Mask'!I27+'AVH Mask'!I27)))</f>
        <v>16.940000000000001</v>
      </c>
      <c r="J27" s="254" t="str">
        <f>'B Mask'!J27&amp;'V Mask'!J27&amp;'VKr-AT Mask'!J27&amp;'Kr Mask'!J27&amp;'L Mask'!J27&amp;'AVH Mask'!J27</f>
        <v/>
      </c>
      <c r="K27" s="275" t="str">
        <f>'B Mask'!K27&amp;'V Mask'!K27&amp;'VKr-AT Mask'!K27&amp;'Kr Mask'!K27&amp;'L Mask'!K27&amp;'AVH Mask'!K27</f>
        <v>EG</v>
      </c>
      <c r="L27" s="276" t="str">
        <f>'B Mask'!L27&amp;'V Mask'!L27&amp;'VKr-AT Mask'!L27&amp;'Kr Mask'!L27&amp;'L Mask'!L27&amp;'AVH Mask'!L27</f>
        <v>3</v>
      </c>
      <c r="M27" s="234">
        <f>IF(OR(Umse!$C$24=0,Umse!$B$11=0),"",IF(AND('B Mask'!M27=0,'V Mask'!M27=0,'VKr-AT Mask'!M27=0,'Kr Mask'!M27=0,'L Mask'!M27=0,'AVH Mask'!M27=0),"",IF(OR('B Mask'!M27="-",'V Mask'!M27="-",'VKr-AT Mask'!M27="-",'Kr Mask'!M27="-",'L Mask'!M27="-",'AVH Mask'!M27="-"),"-",'B Mask'!M27+'V Mask'!M27+'VKr-AT Mask'!M27+'Kr Mask'!M27+'L Mask'!M27+'AVH Mask'!M27)))</f>
        <v>2375.89</v>
      </c>
      <c r="N27" s="234">
        <f>IF(OR(Umse!$C$24=0,Umse!$B$11=0),"",IF(AND('B Mask'!N27=0,'V Mask'!N27=0,'VKr-AT Mask'!N27=0,'Kr Mask'!N27=0,'L Mask'!N27=0,'AVH Mask'!N27=0),"",IF(OR('B Mask'!N27="-",'V Mask'!N27="-",'VKr-AT Mask'!N27="-",'Kr Mask'!N27="-",'L Mask'!N27="-",'AVH Mask'!N27="-"),"-",'B Mask'!N27+'V Mask'!N27+'VKr-AT Mask'!N27+'Kr Mask'!N27+'L Mask'!N27+'AVH Mask'!N27)))</f>
        <v>2567.08</v>
      </c>
      <c r="O27" s="234">
        <f>IF(OR(Umse!$C$24=0,Umse!$B$11=0),"",IF(AND('B Mask'!O27=0,'V Mask'!O27=0,'VKr-AT Mask'!O27=0,'Kr Mask'!O27=0,'L Mask'!O27=0,'AVH Mask'!O27=0),"",IF(OR('B Mask'!O27="-",'V Mask'!O27="-",'VKr-AT Mask'!O27="-",'Kr Mask'!O27="-",'L Mask'!O27="-",'AVH Mask'!O27="-"),"-",'B Mask'!O27+'V Mask'!O27+'VKr-AT Mask'!O27+'Kr Mask'!O27+'L Mask'!O27+'AVH Mask'!O27)))</f>
        <v>2613.61</v>
      </c>
      <c r="P27" s="234">
        <f>IF(OR(Umse!$C$24=0,Umse!$B$11=0),"",IF(AND('B Mask'!P27=0,'V Mask'!P27=0,'VKr-AT Mask'!P27=0,'Kr Mask'!P27=0,'L Mask'!P27=0,'AVH Mask'!P27=0),"",IF(OR('B Mask'!P27="-",'V Mask'!P27="-",'VKr-AT Mask'!P27="-",'Kr Mask'!P27="-",'L Mask'!P27="-",'AVH Mask'!P27="-"),"-",'B Mask'!P27+'V Mask'!P27+'VKr-AT Mask'!P27+'Kr Mask'!P27+'L Mask'!P27+'AVH Mask'!P27)))</f>
        <v>2719.96</v>
      </c>
      <c r="Q27" s="234">
        <f>IF(OR(Umse!$C$24=0,Umse!$B$11=0),"",IF(AND('B Mask'!Q27=0,'V Mask'!Q27=0,'VKr-AT Mask'!Q27=0,'Kr Mask'!Q27=0,'L Mask'!Q27=0,'AVH Mask'!Q27=0),"",IF(OR('B Mask'!Q27="-",'V Mask'!Q27="-",'VKr-AT Mask'!Q27="-",'Kr Mask'!Q27="-",'L Mask'!Q27="-",'AVH Mask'!Q27="-"),"-",'B Mask'!Q27+'V Mask'!Q27+'VKr-AT Mask'!Q27+'Kr Mask'!Q27+'L Mask'!Q27+'AVH Mask'!Q27)))</f>
        <v>2799.76</v>
      </c>
      <c r="R27" s="234">
        <f>IF(OR(Umse!$C$24=0,Umse!$B$11=0),"",IF(AND('B Mask'!R27=0,'V Mask'!R27=0,'VKr-AT Mask'!R27=0,'Kr Mask'!R27=0,'L Mask'!R27=0,'AVH Mask'!R27=0),"",IF(OR('B Mask'!R27="-",'V Mask'!R27="-",'VKr-AT Mask'!R27="-",'Kr Mask'!R27="-",'L Mask'!R27="-",'AVH Mask'!R27="-"),"-",'B Mask'!R27+'V Mask'!R27+'VKr-AT Mask'!R27+'Kr Mask'!R27+'L Mask'!R27+'AVH Mask'!R27)))</f>
        <v>2872.87</v>
      </c>
    </row>
    <row r="28" spans="2:20" ht="10.5" customHeight="1">
      <c r="B28" s="273" t="str">
        <f>'B Mask'!B28&amp;'V Mask'!B28&amp;'VKr-AT Mask'!B28&amp;'Kr Mask'!B28&amp;'L Mask'!B28&amp;'AVH Mask'!B28</f>
        <v>EG</v>
      </c>
      <c r="C28" s="274" t="str">
        <f>'B Mask'!C28&amp;'V Mask'!C28&amp;'VKr-AT Mask'!C28&amp;'Kr Mask'!C28&amp;'L Mask'!C28&amp;'AVH Mask'!C28</f>
        <v>2Ü</v>
      </c>
      <c r="D28" s="233">
        <f>IF(OR(Umse!$C$24=0,Umse!$B$11=0),"",IF(AND('B Mask'!D28=0,'V Mask'!D28=0,'VKr-AT Mask'!D28=0,'Kr Mask'!D28=0,'L Mask'!D28=0,'AVH Mask'!D28=0),"",IF(OR('B Mask'!D28="-",'V Mask'!D28="-",'VKr-AT Mask'!D28="-",'Kr Mask'!D28="-",'L Mask'!D28="-",'AVH Mask'!D28="-"),"-",'B Mask'!D28+'V Mask'!D28+'VKr-AT Mask'!D28+'Kr Mask'!D28+'L Mask'!D28+'AVH Mask'!D28)))</f>
        <v>13.1</v>
      </c>
      <c r="E28" s="233">
        <f>IF(OR(Umse!$C$24=0,Umse!$B$11=0),"",IF(AND('B Mask'!E28=0,'V Mask'!E28=0,'VKr-AT Mask'!E28=0,'Kr Mask'!E28=0,'L Mask'!E28=0,'AVH Mask'!E28=0),"",IF(OR('B Mask'!E28="-",'V Mask'!E28="-",'VKr-AT Mask'!E28="-",'Kr Mask'!E28="-",'L Mask'!E28="-",'AVH Mask'!E28="-"),"-",'B Mask'!E28+'V Mask'!E28+'VKr-AT Mask'!E28+'Kr Mask'!E28+'L Mask'!E28+'AVH Mask'!E28)))</f>
        <v>14.41</v>
      </c>
      <c r="F28" s="233">
        <f>IF(OR(Umse!$C$24=0,Umse!$B$11=0),"",IF(AND('B Mask'!F28=0,'V Mask'!F28=0,'VKr-AT Mask'!F28=0,'Kr Mask'!F28=0,'L Mask'!F28=0,'AVH Mask'!F28=0),"",IF(OR('B Mask'!F28="-",'V Mask'!F28="-",'VKr-AT Mask'!F28="-",'Kr Mask'!F28="-",'L Mask'!F28="-",'AVH Mask'!F28="-"),"-",'B Mask'!F28+'V Mask'!F28+'VKr-AT Mask'!F28+'Kr Mask'!F28+'L Mask'!F28+'AVH Mask'!F28)))</f>
        <v>14.88</v>
      </c>
      <c r="G28" s="233">
        <f>IF(OR(Umse!$C$24=0,Umse!$B$11=0),"",IF(AND('B Mask'!G28=0,'V Mask'!G28=0,'VKr-AT Mask'!G28=0,'Kr Mask'!G28=0,'L Mask'!G28=0,'AVH Mask'!G28=0),"",IF(OR('B Mask'!G28="-",'V Mask'!G28="-",'VKr-AT Mask'!G28="-",'Kr Mask'!G28="-",'L Mask'!G28="-",'AVH Mask'!G28="-"),"-",'B Mask'!G28+'V Mask'!G28+'VKr-AT Mask'!G28+'Kr Mask'!G28+'L Mask'!G28+'AVH Mask'!G28)))</f>
        <v>15.51</v>
      </c>
      <c r="H28" s="233">
        <f>IF(OR(Umse!$C$24=0,Umse!$B$11=0),"",IF(AND('B Mask'!H28=0,'V Mask'!H28=0,'VKr-AT Mask'!H28=0,'Kr Mask'!H28=0,'L Mask'!H28=0,'AVH Mask'!H28=0),"",IF(OR('B Mask'!H28="-",'V Mask'!H28="-",'VKr-AT Mask'!H28="-",'Kr Mask'!H28="-",'L Mask'!H28="-",'AVH Mask'!H28="-"),"-",'B Mask'!H28+'V Mask'!H28+'VKr-AT Mask'!H28+'Kr Mask'!H28+'L Mask'!H28+'AVH Mask'!H28)))</f>
        <v>15.94</v>
      </c>
      <c r="I28" s="233">
        <f>IF(OR(Umse!$C$24=0,Umse!$B$11=0),"",IF(AND('B Mask'!I28=0,'V Mask'!I28=0,'VKr-AT Mask'!I28=0,'Kr Mask'!I28=0,'L Mask'!I28=0,'AVH Mask'!I28=0),"",IF(OR('B Mask'!I28="-",'V Mask'!I28="-",'VKr-AT Mask'!I28="-",'Kr Mask'!I28="-",'L Mask'!I28="-",'AVH Mask'!I28="-"),"-",'B Mask'!I28+'V Mask'!I28+'VKr-AT Mask'!I28+'Kr Mask'!I28+'L Mask'!I28+'AVH Mask'!I28)))</f>
        <v>16.27</v>
      </c>
      <c r="J28" s="254" t="str">
        <f>'B Mask'!J28&amp;'V Mask'!J28&amp;'VKr-AT Mask'!J28&amp;'Kr Mask'!J28&amp;'L Mask'!J28&amp;'AVH Mask'!J28</f>
        <v/>
      </c>
      <c r="K28" s="273" t="str">
        <f>'B Mask'!K28&amp;'V Mask'!K28&amp;'VKr-AT Mask'!K28&amp;'Kr Mask'!K28&amp;'L Mask'!K28&amp;'AVH Mask'!K28</f>
        <v>EG</v>
      </c>
      <c r="L28" s="274" t="str">
        <f>'B Mask'!L28&amp;'V Mask'!L28&amp;'VKr-AT Mask'!L28&amp;'Kr Mask'!L28&amp;'L Mask'!L28&amp;'AVH Mask'!L28</f>
        <v>2Ü</v>
      </c>
      <c r="M28" s="233">
        <f>IF(OR(Umse!$C$24=0,Umse!$B$11=0),"",IF(AND('B Mask'!M28=0,'V Mask'!M28=0,'VKr-AT Mask'!M28=0,'Kr Mask'!M28=0,'L Mask'!M28=0,'AVH Mask'!M28=0),"",IF(OR('B Mask'!M28="-",'V Mask'!M28="-",'VKr-AT Mask'!M28="-",'Kr Mask'!M28="-",'L Mask'!M28="-",'AVH Mask'!M28="-"),"-",'B Mask'!M28+'V Mask'!M28+'VKr-AT Mask'!M28+'Kr Mask'!M28+'L Mask'!M28+'AVH Mask'!M28)))</f>
        <v>2221.61</v>
      </c>
      <c r="N28" s="233">
        <f>IF(OR(Umse!$C$24=0,Umse!$B$11=0),"",IF(AND('B Mask'!N28=0,'V Mask'!N28=0,'VKr-AT Mask'!N28=0,'Kr Mask'!N28=0,'L Mask'!N28=0,'AVH Mask'!N28=0),"",IF(OR('B Mask'!N28="-",'V Mask'!N28="-",'VKr-AT Mask'!N28="-",'Kr Mask'!N28="-",'L Mask'!N28="-",'AVH Mask'!N28="-"),"-",'B Mask'!N28+'V Mask'!N28+'VKr-AT Mask'!N28+'Kr Mask'!N28+'L Mask'!N28+'AVH Mask'!N28)))</f>
        <v>2443.9899999999998</v>
      </c>
      <c r="O28" s="233">
        <f>IF(OR(Umse!$C$24=0,Umse!$B$11=0),"",IF(AND('B Mask'!O28=0,'V Mask'!O28=0,'VKr-AT Mask'!O28=0,'Kr Mask'!O28=0,'L Mask'!O28=0,'AVH Mask'!O28=0),"",IF(OR('B Mask'!O28="-",'V Mask'!O28="-",'VKr-AT Mask'!O28="-",'Kr Mask'!O28="-",'L Mask'!O28="-",'AVH Mask'!O28="-"),"-",'B Mask'!O28+'V Mask'!O28+'VKr-AT Mask'!O28+'Kr Mask'!O28+'L Mask'!O28+'AVH Mask'!O28)))</f>
        <v>2523.88</v>
      </c>
      <c r="P28" s="233">
        <f>IF(OR(Umse!$C$24=0,Umse!$B$11=0),"",IF(AND('B Mask'!P28=0,'V Mask'!P28=0,'VKr-AT Mask'!P28=0,'Kr Mask'!P28=0,'L Mask'!P28=0,'AVH Mask'!P28=0),"",IF(OR('B Mask'!P28="-",'V Mask'!P28="-",'VKr-AT Mask'!P28="-",'Kr Mask'!P28="-",'L Mask'!P28="-",'AVH Mask'!P28="-"),"-",'B Mask'!P28+'V Mask'!P28+'VKr-AT Mask'!P28+'Kr Mask'!P28+'L Mask'!P28+'AVH Mask'!P28)))</f>
        <v>2630.4</v>
      </c>
      <c r="Q28" s="233">
        <f>IF(OR(Umse!$C$24=0,Umse!$B$11=0),"",IF(AND('B Mask'!Q28=0,'V Mask'!Q28=0,'VKr-AT Mask'!Q28=0,'Kr Mask'!Q28=0,'L Mask'!Q28=0,'AVH Mask'!Q28=0),"",IF(OR('B Mask'!Q28="-",'V Mask'!Q28="-",'VKr-AT Mask'!Q28="-",'Kr Mask'!Q28="-",'L Mask'!Q28="-",'AVH Mask'!Q28="-"),"-",'B Mask'!Q28+'V Mask'!Q28+'VKr-AT Mask'!Q28+'Kr Mask'!Q28+'L Mask'!Q28+'AVH Mask'!Q28)))</f>
        <v>2703.6</v>
      </c>
      <c r="R28" s="233">
        <f>IF(OR(Umse!$C$24=0,Umse!$B$11=0),"",IF(AND('B Mask'!R28=0,'V Mask'!R28=0,'VKr-AT Mask'!R28=0,'Kr Mask'!R28=0,'L Mask'!R28=0,'AVH Mask'!R28=0),"",IF(OR('B Mask'!R28="-",'V Mask'!R28="-",'VKr-AT Mask'!R28="-",'Kr Mask'!R28="-",'L Mask'!R28="-",'AVH Mask'!R28="-"),"-",'B Mask'!R28+'V Mask'!R28+'VKr-AT Mask'!R28+'Kr Mask'!R28+'L Mask'!R28+'AVH Mask'!R28)))</f>
        <v>2758.23</v>
      </c>
    </row>
    <row r="29" spans="2:20" ht="10.5" customHeight="1">
      <c r="B29" s="275" t="str">
        <f>'B Mask'!B29&amp;'V Mask'!B29&amp;'VKr-AT Mask'!B29&amp;'Kr Mask'!B29&amp;'L Mask'!B29&amp;'AVH Mask'!B29</f>
        <v>EG</v>
      </c>
      <c r="C29" s="276" t="str">
        <f>'B Mask'!C29&amp;'V Mask'!C29&amp;'VKr-AT Mask'!C29&amp;'Kr Mask'!C29&amp;'L Mask'!C29&amp;'AVH Mask'!C29</f>
        <v>2</v>
      </c>
      <c r="D29" s="234">
        <f>IF(OR(Umse!$C$24=0,Umse!$B$11=0),"",IF(AND('B Mask'!D29=0,'V Mask'!D29=0,'VKr-AT Mask'!D29=0,'Kr Mask'!D29=0,'L Mask'!D29=0,'AVH Mask'!D29=0),"",IF(OR('B Mask'!D29="-",'V Mask'!D29="-",'VKr-AT Mask'!D29="-",'Kr Mask'!D29="-",'L Mask'!D29="-",'AVH Mask'!D29="-"),"-",'B Mask'!D29+'V Mask'!D29+'VKr-AT Mask'!D29+'Kr Mask'!D29+'L Mask'!D29+'AVH Mask'!D29)))</f>
        <v>12.99</v>
      </c>
      <c r="E29" s="234">
        <f>IF(OR(Umse!$C$24=0,Umse!$B$11=0),"",IF(AND('B Mask'!E29=0,'V Mask'!E29=0,'VKr-AT Mask'!E29=0,'Kr Mask'!E29=0,'L Mask'!E29=0,'AVH Mask'!E29=0),"",IF(OR('B Mask'!E29="-",'V Mask'!E29="-",'VKr-AT Mask'!E29="-",'Kr Mask'!E29="-",'L Mask'!E29="-",'AVH Mask'!E29="-"),"-",'B Mask'!E29+'V Mask'!E29+'VKr-AT Mask'!E29+'Kr Mask'!E29+'L Mask'!E29+'AVH Mask'!E29)))</f>
        <v>14.13</v>
      </c>
      <c r="F29" s="234">
        <f>IF(OR(Umse!$C$24=0,Umse!$B$11=0),"",IF(AND('B Mask'!F29=0,'V Mask'!F29=0,'VKr-AT Mask'!F29=0,'Kr Mask'!F29=0,'L Mask'!F29=0,'AVH Mask'!F29=0),"",IF(OR('B Mask'!F29="-",'V Mask'!F29="-",'VKr-AT Mask'!F29="-",'Kr Mask'!F29="-",'L Mask'!F29="-",'AVH Mask'!F29="-"),"-",'B Mask'!F29+'V Mask'!F29+'VKr-AT Mask'!F29+'Kr Mask'!F29+'L Mask'!F29+'AVH Mask'!F29)))</f>
        <v>14.41</v>
      </c>
      <c r="G29" s="234">
        <f>IF(OR(Umse!$C$24=0,Umse!$B$11=0),"",IF(AND('B Mask'!G29=0,'V Mask'!G29=0,'VKr-AT Mask'!G29=0,'Kr Mask'!G29=0,'L Mask'!G29=0,'AVH Mask'!G29=0),"",IF(OR('B Mask'!G29="-",'V Mask'!G29="-",'VKr-AT Mask'!G29="-",'Kr Mask'!G29="-",'L Mask'!G29="-",'AVH Mask'!G29="-"),"-",'B Mask'!G29+'V Mask'!G29+'VKr-AT Mask'!G29+'Kr Mask'!G29+'L Mask'!G29+'AVH Mask'!G29)))</f>
        <v>14.8</v>
      </c>
      <c r="H29" s="234">
        <f>IF(OR(Umse!$C$24=0,Umse!$B$11=0),"",IF(AND('B Mask'!H29=0,'V Mask'!H29=0,'VKr-AT Mask'!H29=0,'Kr Mask'!H29=0,'L Mask'!H29=0,'AVH Mask'!H29=0),"",IF(OR('B Mask'!H29="-",'V Mask'!H29="-",'VKr-AT Mask'!H29="-",'Kr Mask'!H29="-",'L Mask'!H29="-",'AVH Mask'!H29="-"),"-",'B Mask'!H29+'V Mask'!H29+'VKr-AT Mask'!H29+'Kr Mask'!H29+'L Mask'!H29+'AVH Mask'!H29)))</f>
        <v>15.67</v>
      </c>
      <c r="I29" s="234">
        <f>IF(OR(Umse!$C$24=0,Umse!$B$11=0),"",IF(AND('B Mask'!I29=0,'V Mask'!I29=0,'VKr-AT Mask'!I29=0,'Kr Mask'!I29=0,'L Mask'!I29=0,'AVH Mask'!I29=0),"",IF(OR('B Mask'!I29="-",'V Mask'!I29="-",'VKr-AT Mask'!I29="-",'Kr Mask'!I29="-",'L Mask'!I29="-",'AVH Mask'!I29="-"),"-",'B Mask'!I29+'V Mask'!I29+'VKr-AT Mask'!I29+'Kr Mask'!I29+'L Mask'!I29+'AVH Mask'!I29)))</f>
        <v>16.579999999999998</v>
      </c>
      <c r="J29" s="254" t="str">
        <f>'B Mask'!J29&amp;'V Mask'!J29&amp;'VKr-AT Mask'!J29&amp;'Kr Mask'!J29&amp;'L Mask'!J29&amp;'AVH Mask'!J29</f>
        <v/>
      </c>
      <c r="K29" s="275" t="str">
        <f>'B Mask'!K29&amp;'V Mask'!K29&amp;'VKr-AT Mask'!K29&amp;'Kr Mask'!K29&amp;'L Mask'!K29&amp;'AVH Mask'!K29</f>
        <v>EG</v>
      </c>
      <c r="L29" s="276" t="str">
        <f>'B Mask'!L29&amp;'V Mask'!L29&amp;'VKr-AT Mask'!L29&amp;'Kr Mask'!L29&amp;'L Mask'!L29&amp;'AVH Mask'!L29</f>
        <v>2</v>
      </c>
      <c r="M29" s="234">
        <f>IF(OR(Umse!$C$24=0,Umse!$B$11=0),"",IF(AND('B Mask'!M29=0,'V Mask'!M29=0,'VKr-AT Mask'!M29=0,'Kr Mask'!M29=0,'L Mask'!M29=0,'AVH Mask'!M29=0),"",IF(OR('B Mask'!M29="-",'V Mask'!M29="-",'VKr-AT Mask'!M29="-",'Kr Mask'!M29="-",'L Mask'!M29="-",'AVH Mask'!M29="-"),"-",'B Mask'!M29+'V Mask'!M29+'VKr-AT Mask'!M29+'Kr Mask'!M29+'L Mask'!M29+'AVH Mask'!M29)))</f>
        <v>2202.5100000000002</v>
      </c>
      <c r="N29" s="234">
        <f>IF(OR(Umse!$C$24=0,Umse!$B$11=0),"",IF(AND('B Mask'!N29=0,'V Mask'!N29=0,'VKr-AT Mask'!N29=0,'Kr Mask'!N29=0,'L Mask'!N29=0,'AVH Mask'!N29=0),"",IF(OR('B Mask'!N29="-",'V Mask'!N29="-",'VKr-AT Mask'!N29="-",'Kr Mask'!N29="-",'L Mask'!N29="-",'AVH Mask'!N29="-"),"-",'B Mask'!N29+'V Mask'!N29+'VKr-AT Mask'!N29+'Kr Mask'!N29+'L Mask'!N29+'AVH Mask'!N29)))</f>
        <v>2396</v>
      </c>
      <c r="O29" s="234">
        <f>IF(OR(Umse!$C$24=0,Umse!$B$11=0),"",IF(AND('B Mask'!O29=0,'V Mask'!O29=0,'VKr-AT Mask'!O29=0,'Kr Mask'!O29=0,'L Mask'!O29=0,'AVH Mask'!O29=0),"",IF(OR('B Mask'!O29="-",'V Mask'!O29="-",'VKr-AT Mask'!O29="-",'Kr Mask'!O29="-",'L Mask'!O29="-",'AVH Mask'!O29="-"),"-",'B Mask'!O29+'V Mask'!O29+'VKr-AT Mask'!O29+'Kr Mask'!O29+'L Mask'!O29+'AVH Mask'!O29)))</f>
        <v>2442.92</v>
      </c>
      <c r="P29" s="234">
        <f>IF(OR(Umse!$C$24=0,Umse!$B$11=0),"",IF(AND('B Mask'!P29=0,'V Mask'!P29=0,'VKr-AT Mask'!P29=0,'Kr Mask'!P29=0,'L Mask'!P29=0,'AVH Mask'!P29=0),"",IF(OR('B Mask'!P29="-",'V Mask'!P29="-",'VKr-AT Mask'!P29="-",'Kr Mask'!P29="-",'L Mask'!P29="-",'AVH Mask'!P29="-"),"-",'B Mask'!P29+'V Mask'!P29+'VKr-AT Mask'!P29+'Kr Mask'!P29+'L Mask'!P29+'AVH Mask'!P29)))</f>
        <v>2509.87</v>
      </c>
      <c r="Q29" s="234">
        <f>IF(OR(Umse!$C$24=0,Umse!$B$11=0),"",IF(AND('B Mask'!Q29=0,'V Mask'!Q29=0,'VKr-AT Mask'!Q29=0,'Kr Mask'!Q29=0,'L Mask'!Q29=0,'AVH Mask'!Q29=0),"",IF(OR('B Mask'!Q29="-",'V Mask'!Q29="-",'VKr-AT Mask'!Q29="-",'Kr Mask'!Q29="-",'L Mask'!Q29="-",'AVH Mask'!Q29="-"),"-",'B Mask'!Q29+'V Mask'!Q29+'VKr-AT Mask'!Q29+'Kr Mask'!Q29+'L Mask'!Q29+'AVH Mask'!Q29)))</f>
        <v>2657.03</v>
      </c>
      <c r="R29" s="234">
        <f>IF(OR(Umse!$C$24=0,Umse!$B$11=0),"",IF(AND('B Mask'!R29=0,'V Mask'!R29=0,'VKr-AT Mask'!R29=0,'Kr Mask'!R29=0,'L Mask'!R29=0,'AVH Mask'!R29=0),"",IF(OR('B Mask'!R29="-",'V Mask'!R29="-",'VKr-AT Mask'!R29="-",'Kr Mask'!R29="-",'L Mask'!R29="-",'AVH Mask'!R29="-"),"-",'B Mask'!R29+'V Mask'!R29+'VKr-AT Mask'!R29+'Kr Mask'!R29+'L Mask'!R29+'AVH Mask'!R29)))</f>
        <v>2810.98</v>
      </c>
      <c r="S29" s="251"/>
    </row>
    <row r="30" spans="2:20" ht="10.5" customHeight="1">
      <c r="B30" s="273" t="str">
        <f>'B Mask'!B30&amp;'V Mask'!B30&amp;'VKr-AT Mask'!B30&amp;'Kr Mask'!B30&amp;'L Mask'!B30&amp;'AVH Mask'!B30</f>
        <v>EG</v>
      </c>
      <c r="C30" s="274" t="str">
        <f>'B Mask'!C30&amp;'V Mask'!C30&amp;'VKr-AT Mask'!C30&amp;'Kr Mask'!C30&amp;'L Mask'!C30&amp;'AVH Mask'!C30</f>
        <v>1</v>
      </c>
      <c r="D30" s="233" t="str">
        <f>IF(OR(Umse!$C$24=0,Umse!$B$11=0),"",IF(AND('B Mask'!D30=0,'V Mask'!D30=0,'VKr-AT Mask'!D30=0,'Kr Mask'!D30=0,'L Mask'!D30=0,'AVH Mask'!D30=0),"",IF(OR('B Mask'!D30="-",'V Mask'!D30="-",'VKr-AT Mask'!D30="-",'Kr Mask'!D30="-",'L Mask'!D30="-",'AVH Mask'!D30="-"),"-",'B Mask'!D30+'V Mask'!D30+'VKr-AT Mask'!D30+'Kr Mask'!D30+'L Mask'!D30+'AVH Mask'!D30)))</f>
        <v>-</v>
      </c>
      <c r="E30" s="233">
        <f>IF(OR(Umse!$C$24=0,Umse!$B$11=0),"",IF(AND('B Mask'!E30=0,'V Mask'!E30=0,'VKr-AT Mask'!E30=0,'Kr Mask'!E30=0,'L Mask'!E30=0,'AVH Mask'!E30=0),"",IF(OR('B Mask'!E30="-",'V Mask'!E30="-",'VKr-AT Mask'!E30="-",'Kr Mask'!E30="-",'L Mask'!E30="-",'AVH Mask'!E30="-"),"-",'B Mask'!E30+'V Mask'!E30+'VKr-AT Mask'!E30+'Kr Mask'!E30+'L Mask'!E30+'AVH Mask'!E30)))</f>
        <v>11.68</v>
      </c>
      <c r="F30" s="233">
        <f>IF(OR(Umse!$C$24=0,Umse!$B$11=0),"",IF(AND('B Mask'!F30=0,'V Mask'!F30=0,'VKr-AT Mask'!F30=0,'Kr Mask'!F30=0,'L Mask'!F30=0,'AVH Mask'!F30=0),"",IF(OR('B Mask'!F30="-",'V Mask'!F30="-",'VKr-AT Mask'!F30="-",'Kr Mask'!F30="-",'L Mask'!F30="-",'AVH Mask'!F30="-"),"-",'B Mask'!F30+'V Mask'!F30+'VKr-AT Mask'!F30+'Kr Mask'!F30+'L Mask'!F30+'AVH Mask'!F30)))</f>
        <v>11.87</v>
      </c>
      <c r="G30" s="233">
        <f>IF(OR(Umse!$C$24=0,Umse!$B$11=0),"",IF(AND('B Mask'!G30=0,'V Mask'!G30=0,'VKr-AT Mask'!G30=0,'Kr Mask'!G30=0,'L Mask'!G30=0,'AVH Mask'!G30=0),"",IF(OR('B Mask'!G30="-",'V Mask'!G30="-",'VKr-AT Mask'!G30="-",'Kr Mask'!G30="-",'L Mask'!G30="-",'AVH Mask'!G30="-"),"-",'B Mask'!G30+'V Mask'!G30+'VKr-AT Mask'!G30+'Kr Mask'!G30+'L Mask'!G30+'AVH Mask'!G30)))</f>
        <v>12.11</v>
      </c>
      <c r="H30" s="233">
        <f>IF(OR(Umse!$C$24=0,Umse!$B$11=0),"",IF(AND('B Mask'!H30=0,'V Mask'!H30=0,'VKr-AT Mask'!H30=0,'Kr Mask'!H30=0,'L Mask'!H30=0,'AVH Mask'!H30=0),"",IF(OR('B Mask'!H30="-",'V Mask'!H30="-",'VKr-AT Mask'!H30="-",'Kr Mask'!H30="-",'L Mask'!H30="-",'AVH Mask'!H30="-"),"-",'B Mask'!H30+'V Mask'!H30+'VKr-AT Mask'!H30+'Kr Mask'!H30+'L Mask'!H30+'AVH Mask'!H30)))</f>
        <v>12.34</v>
      </c>
      <c r="I30" s="233">
        <f>IF(OR(Umse!$C$24=0,Umse!$B$11=0),"",IF(AND('B Mask'!I30=0,'V Mask'!I30=0,'VKr-AT Mask'!I30=0,'Kr Mask'!I30=0,'L Mask'!I30=0,'AVH Mask'!I30=0),"",IF(OR('B Mask'!I30="-",'V Mask'!I30="-",'VKr-AT Mask'!I30="-",'Kr Mask'!I30="-",'L Mask'!I30="-",'AVH Mask'!I30="-"),"-",'B Mask'!I30+'V Mask'!I30+'VKr-AT Mask'!I30+'Kr Mask'!I30+'L Mask'!I30+'AVH Mask'!I30)))</f>
        <v>12.92</v>
      </c>
      <c r="J30" s="254"/>
      <c r="K30" s="273" t="str">
        <f>'B Mask'!K30&amp;'V Mask'!K30&amp;'VKr-AT Mask'!K30&amp;'Kr Mask'!K30&amp;'L Mask'!K30&amp;'AVH Mask'!K30</f>
        <v>EG</v>
      </c>
      <c r="L30" s="274" t="str">
        <f>'B Mask'!L30&amp;'V Mask'!L30&amp;'VKr-AT Mask'!L30&amp;'Kr Mask'!L30&amp;'L Mask'!L30&amp;'AVH Mask'!L30</f>
        <v>1</v>
      </c>
      <c r="M30" s="233" t="str">
        <f>IF(OR(Umse!$C$24=0,Umse!$B$11=0),"",IF(AND('B Mask'!M30=0,'V Mask'!M30=0,'VKr-AT Mask'!M30=0,'Kr Mask'!M30=0,'L Mask'!M30=0,'AVH Mask'!M30=0),"",IF(OR('B Mask'!M30="-",'V Mask'!M30="-",'VKr-AT Mask'!M30="-",'Kr Mask'!M30="-",'L Mask'!M30="-",'AVH Mask'!M30="-"),"-",'B Mask'!M30+'V Mask'!M30+'VKr-AT Mask'!M30+'Kr Mask'!M30+'L Mask'!M30+'AVH Mask'!M30)))</f>
        <v>-</v>
      </c>
      <c r="N30" s="233">
        <f>IF(OR(Umse!$C$24=0,Umse!$B$11=0),"",IF(AND('B Mask'!N30=0,'V Mask'!N30=0,'VKr-AT Mask'!N30=0,'Kr Mask'!N30=0,'L Mask'!N30=0,'AVH Mask'!N30=0),"",IF(OR('B Mask'!N30="-",'V Mask'!N30="-",'VKr-AT Mask'!N30="-",'Kr Mask'!N30="-",'L Mask'!N30="-",'AVH Mask'!N30="-"),"-",'B Mask'!N30+'V Mask'!N30+'VKr-AT Mask'!N30+'Kr Mask'!N30+'L Mask'!N30+'AVH Mask'!N30)))</f>
        <v>1979.88</v>
      </c>
      <c r="O30" s="233">
        <f>IF(OR(Umse!$C$24=0,Umse!$B$11=0),"",IF(AND('B Mask'!O30=0,'V Mask'!O30=0,'VKr-AT Mask'!O30=0,'Kr Mask'!O30=0,'L Mask'!O30=0,'AVH Mask'!O30=0),"",IF(OR('B Mask'!O30="-",'V Mask'!O30="-",'VKr-AT Mask'!O30="-",'Kr Mask'!O30="-",'L Mask'!O30="-",'AVH Mask'!O30="-"),"-",'B Mask'!O30+'V Mask'!O30+'VKr-AT Mask'!O30+'Kr Mask'!O30+'L Mask'!O30+'AVH Mask'!O30)))</f>
        <v>2012.63</v>
      </c>
      <c r="P30" s="233">
        <f>IF(OR(Umse!$C$24=0,Umse!$B$11=0),"",IF(AND('B Mask'!P30=0,'V Mask'!P30=0,'VKr-AT Mask'!P30=0,'Kr Mask'!P30=0,'L Mask'!P30=0,'AVH Mask'!P30=0),"",IF(OR('B Mask'!P30="-",'V Mask'!P30="-",'VKr-AT Mask'!P30="-",'Kr Mask'!P30="-",'L Mask'!P30="-",'AVH Mask'!P30="-"),"-",'B Mask'!P30+'V Mask'!P30+'VKr-AT Mask'!P30+'Kr Mask'!P30+'L Mask'!P30+'AVH Mask'!P30)))</f>
        <v>2053.59</v>
      </c>
      <c r="Q30" s="233">
        <f>IF(OR(Umse!$C$24=0,Umse!$B$11=0),"",IF(AND('B Mask'!Q30=0,'V Mask'!Q30=0,'VKr-AT Mask'!Q30=0,'Kr Mask'!Q30=0,'L Mask'!Q30=0,'AVH Mask'!Q30=0),"",IF(OR('B Mask'!Q30="-",'V Mask'!Q30="-",'VKr-AT Mask'!Q30="-",'Kr Mask'!Q30="-",'L Mask'!Q30="-",'AVH Mask'!Q30="-"),"-",'B Mask'!Q30+'V Mask'!Q30+'VKr-AT Mask'!Q30+'Kr Mask'!Q30+'L Mask'!Q30+'AVH Mask'!Q30)))</f>
        <v>2091.77</v>
      </c>
      <c r="R30" s="233">
        <f>IF(OR(Umse!$C$24=0,Umse!$B$11=0),"",IF(AND('B Mask'!R30=0,'V Mask'!R30=0,'VKr-AT Mask'!R30=0,'Kr Mask'!R30=0,'L Mask'!R30=0,'AVH Mask'!R30=0),"",IF(OR('B Mask'!R30="-",'V Mask'!R30="-",'VKr-AT Mask'!R30="-",'Kr Mask'!R30="-",'L Mask'!R30="-",'AVH Mask'!R30="-"),"-",'B Mask'!R30+'V Mask'!R30+'VKr-AT Mask'!R30+'Kr Mask'!R30+'L Mask'!R30+'AVH Mask'!R30)))</f>
        <v>2190.0500000000002</v>
      </c>
      <c r="S30" s="251"/>
    </row>
    <row r="31" spans="2:20" ht="10.5" customHeight="1">
      <c r="B31" s="275" t="str">
        <f>'B Mask'!B31&amp;'V Mask'!B31&amp;'VKr-AT Mask'!B31&amp;'Kr Mask'!B31&amp;'L Mask'!B31&amp;'AVH Mask'!B31</f>
        <v/>
      </c>
      <c r="C31" s="276" t="str">
        <f>'B Mask'!C31&amp;'V Mask'!C31&amp;'VKr-AT Mask'!C31&amp;'Kr Mask'!C31&amp;'L Mask'!C31&amp;'AVH Mask'!C31</f>
        <v/>
      </c>
      <c r="D31" s="234" t="str">
        <f>IF(OR(Umse!$C$24=0,Umse!$B$11=0),"",IF(AND('B Mask'!D31=0,'V Mask'!D31=0,'VKr-AT Mask'!D31=0,'Kr Mask'!D31=0,'L Mask'!D31=0,'AVH Mask'!D31=0),"",IF(OR('B Mask'!D31="-",'V Mask'!D31="-",'VKr-AT Mask'!D31="-",'Kr Mask'!D31="-",'L Mask'!D31="-",'AVH Mask'!D31="-"),"-",'B Mask'!D31+'V Mask'!D31+'VKr-AT Mask'!D31+'Kr Mask'!D31+'L Mask'!D31+'AVH Mask'!D31)))</f>
        <v/>
      </c>
      <c r="E31" s="234" t="str">
        <f>IF(OR(Umse!$C$24=0,Umse!$B$11=0),"",IF(AND('B Mask'!E31=0,'V Mask'!E31=0,'VKr-AT Mask'!E31=0,'Kr Mask'!E31=0,'L Mask'!E31=0,'AVH Mask'!E31=0),"",IF(OR('B Mask'!E31="-",'V Mask'!E31="-",'VKr-AT Mask'!E31="-",'Kr Mask'!E31="-",'L Mask'!E31="-",'AVH Mask'!E31="-"),"-",'B Mask'!E31+'V Mask'!E31+'VKr-AT Mask'!E31+'Kr Mask'!E31+'L Mask'!E31+'AVH Mask'!E31)))</f>
        <v/>
      </c>
      <c r="F31" s="234" t="str">
        <f>IF(OR(Umse!$C$24=0,Umse!$B$11=0),"",IF(AND('B Mask'!F31=0,'V Mask'!F31=0,'VKr-AT Mask'!F31=0,'Kr Mask'!F31=0,'L Mask'!F31=0,'AVH Mask'!F31=0),"",IF(OR('B Mask'!F31="-",'V Mask'!F31="-",'VKr-AT Mask'!F31="-",'Kr Mask'!F31="-",'L Mask'!F31="-",'AVH Mask'!F31="-"),"-",'B Mask'!F31+'V Mask'!F31+'VKr-AT Mask'!F31+'Kr Mask'!F31+'L Mask'!F31+'AVH Mask'!F31)))</f>
        <v/>
      </c>
      <c r="G31" s="234" t="str">
        <f>IF(OR(Umse!$C$24=0,Umse!$B$11=0),"",IF(AND('B Mask'!G31=0,'V Mask'!G31=0,'VKr-AT Mask'!G31=0,'Kr Mask'!G31=0,'L Mask'!G31=0,'AVH Mask'!G31=0),"",IF(OR('B Mask'!G31="-",'V Mask'!G31="-",'VKr-AT Mask'!G31="-",'Kr Mask'!G31="-",'L Mask'!G31="-",'AVH Mask'!G31="-"),"-",'B Mask'!G31+'V Mask'!G31+'VKr-AT Mask'!G31+'Kr Mask'!G31+'L Mask'!G31+'AVH Mask'!G31)))</f>
        <v/>
      </c>
      <c r="H31" s="234" t="str">
        <f>IF(OR(Umse!$C$24=0,Umse!$B$11=0),"",IF(AND('B Mask'!H31=0,'V Mask'!H31=0,'VKr-AT Mask'!H31=0,'Kr Mask'!H31=0,'L Mask'!H31=0,'AVH Mask'!H31=0),"",IF(OR('B Mask'!H31="-",'V Mask'!H31="-",'VKr-AT Mask'!H31="-",'Kr Mask'!H31="-",'L Mask'!H31="-",'AVH Mask'!H31="-"),"-",'B Mask'!H31+'V Mask'!H31+'VKr-AT Mask'!H31+'Kr Mask'!H31+'L Mask'!H31+'AVH Mask'!H31)))</f>
        <v/>
      </c>
      <c r="I31" s="234" t="str">
        <f>IF(OR(Umse!$C$24=0,Umse!$B$11=0),"",IF(AND('B Mask'!I31=0,'V Mask'!I31=0,'VKr-AT Mask'!I31=0,'Kr Mask'!I31=0,'L Mask'!I31=0,'AVH Mask'!I31=0),"",IF(OR('B Mask'!I31="-",'V Mask'!I31="-",'VKr-AT Mask'!I31="-",'Kr Mask'!I31="-",'L Mask'!I31="-",'AVH Mask'!I31="-"),"-",'B Mask'!I31+'V Mask'!I31+'VKr-AT Mask'!I31+'Kr Mask'!I31+'L Mask'!I31+'AVH Mask'!I31)))</f>
        <v/>
      </c>
      <c r="J31" s="254"/>
      <c r="K31" s="275" t="str">
        <f>'B Mask'!K31&amp;'V Mask'!K31&amp;'VKr-AT Mask'!K31&amp;'Kr Mask'!K31&amp;'L Mask'!K31&amp;'AVH Mask'!K31</f>
        <v/>
      </c>
      <c r="L31" s="276" t="str">
        <f>'B Mask'!L31&amp;'V Mask'!L31&amp;'VKr-AT Mask'!L31&amp;'Kr Mask'!L31&amp;'L Mask'!L31&amp;'AVH Mask'!L31</f>
        <v/>
      </c>
      <c r="M31" s="234" t="str">
        <f>IF(OR(Umse!$C$24=0,Umse!$B$11=0),"",IF(AND('B Mask'!M31=0,'V Mask'!M31=0,'VKr-AT Mask'!M31=0,'Kr Mask'!M31=0,'L Mask'!M31=0,'AVH Mask'!M31=0),"",IF(OR('B Mask'!M31="-",'V Mask'!M31="-",'VKr-AT Mask'!M31="-",'Kr Mask'!M31="-",'L Mask'!M31="-",'AVH Mask'!M31="-"),"-",'B Mask'!M31+'V Mask'!M31+'VKr-AT Mask'!M31+'Kr Mask'!M31+'L Mask'!M31+'AVH Mask'!M31)))</f>
        <v/>
      </c>
      <c r="N31" s="234" t="str">
        <f>IF(OR(Umse!$C$24=0,Umse!$B$11=0),"",IF(AND('B Mask'!N31=0,'V Mask'!N31=0,'VKr-AT Mask'!N31=0,'Kr Mask'!N31=0,'L Mask'!N31=0,'AVH Mask'!N31=0),"",IF(OR('B Mask'!N31="-",'V Mask'!N31="-",'VKr-AT Mask'!N31="-",'Kr Mask'!N31="-",'L Mask'!N31="-",'AVH Mask'!N31="-"),"-",'B Mask'!N31+'V Mask'!N31+'VKr-AT Mask'!N31+'Kr Mask'!N31+'L Mask'!N31+'AVH Mask'!N31)))</f>
        <v/>
      </c>
      <c r="O31" s="234" t="str">
        <f>IF(OR(Umse!$C$24=0,Umse!$B$11=0),"",IF(AND('B Mask'!O31=0,'V Mask'!O31=0,'VKr-AT Mask'!O31=0,'Kr Mask'!O31=0,'L Mask'!O31=0,'AVH Mask'!O31=0),"",IF(OR('B Mask'!O31="-",'V Mask'!O31="-",'VKr-AT Mask'!O31="-",'Kr Mask'!O31="-",'L Mask'!O31="-",'AVH Mask'!O31="-"),"-",'B Mask'!O31+'V Mask'!O31+'VKr-AT Mask'!O31+'Kr Mask'!O31+'L Mask'!O31+'AVH Mask'!O31)))</f>
        <v/>
      </c>
      <c r="P31" s="234" t="str">
        <f>IF(OR(Umse!$C$24=0,Umse!$B$11=0),"",IF(AND('B Mask'!P31=0,'V Mask'!P31=0,'VKr-AT Mask'!P31=0,'Kr Mask'!P31=0,'L Mask'!P31=0,'AVH Mask'!P31=0),"",IF(OR('B Mask'!P31="-",'V Mask'!P31="-",'VKr-AT Mask'!P31="-",'Kr Mask'!P31="-",'L Mask'!P31="-",'AVH Mask'!P31="-"),"-",'B Mask'!P31+'V Mask'!P31+'VKr-AT Mask'!P31+'Kr Mask'!P31+'L Mask'!P31+'AVH Mask'!P31)))</f>
        <v/>
      </c>
      <c r="Q31" s="234" t="str">
        <f>IF(OR(Umse!$C$24=0,Umse!$B$11=0),"",IF(AND('B Mask'!Q31=0,'V Mask'!Q31=0,'VKr-AT Mask'!Q31=0,'Kr Mask'!Q31=0,'L Mask'!Q31=0,'AVH Mask'!Q31=0),"",IF(OR('B Mask'!Q31="-",'V Mask'!Q31="-",'VKr-AT Mask'!Q31="-",'Kr Mask'!Q31="-",'L Mask'!Q31="-",'AVH Mask'!Q31="-"),"-",'B Mask'!Q31+'V Mask'!Q31+'VKr-AT Mask'!Q31+'Kr Mask'!Q31+'L Mask'!Q31+'AVH Mask'!Q31)))</f>
        <v/>
      </c>
      <c r="R31" s="234" t="str">
        <f>IF(OR(Umse!$C$24=0,Umse!$B$11=0),"",IF(AND('B Mask'!R31=0,'V Mask'!R31=0,'VKr-AT Mask'!R31=0,'Kr Mask'!R31=0,'L Mask'!R31=0,'AVH Mask'!R31=0),"",IF(OR('B Mask'!R31="-",'V Mask'!R31="-",'VKr-AT Mask'!R31="-",'Kr Mask'!R31="-",'L Mask'!R31="-",'AVH Mask'!R31="-"),"-",'B Mask'!R31+'V Mask'!R31+'VKr-AT Mask'!R31+'Kr Mask'!R31+'L Mask'!R31+'AVH Mask'!R31)))</f>
        <v/>
      </c>
      <c r="S31" s="251"/>
    </row>
    <row r="32" spans="2:20" ht="10.5" customHeight="1">
      <c r="B32" s="273" t="str">
        <f>'B Mask'!B32&amp;'V Mask'!B32&amp;'VKr-AT Mask'!B32&amp;'Kr Mask'!B32&amp;'L Mask'!B32&amp;'AVH Mask'!B32</f>
        <v/>
      </c>
      <c r="C32" s="274" t="str">
        <f>'B Mask'!C32&amp;'V Mask'!C32&amp;'VKr-AT Mask'!C32&amp;'Kr Mask'!C32&amp;'L Mask'!C32&amp;'AVH Mask'!C32</f>
        <v/>
      </c>
      <c r="D32" s="233" t="str">
        <f>IF(OR(Umse!$C$24=0,Umse!$B$11=0),"",IF(AND('B Mask'!D32=0,'V Mask'!D32=0,'VKr-AT Mask'!D32=0,'Kr Mask'!D32=0,'L Mask'!D32=0,'AVH Mask'!D32=0),"",IF(OR('B Mask'!D32="-",'V Mask'!D32="-",'VKr-AT Mask'!D32="-",'Kr Mask'!D32="-",'L Mask'!D32="-",'AVH Mask'!D32="-"),"-",'B Mask'!D32+'V Mask'!D32+'VKr-AT Mask'!D32+'Kr Mask'!D32+'L Mask'!D32+'AVH Mask'!D32)))</f>
        <v/>
      </c>
      <c r="E32" s="233" t="str">
        <f>IF(OR(Umse!$C$24=0,Umse!$B$11=0),"",IF(AND('B Mask'!E32=0,'V Mask'!E32=0,'VKr-AT Mask'!E32=0,'Kr Mask'!E32=0,'L Mask'!E32=0,'AVH Mask'!E32=0),"",IF(OR('B Mask'!E32="-",'V Mask'!E32="-",'VKr-AT Mask'!E32="-",'Kr Mask'!E32="-",'L Mask'!E32="-",'AVH Mask'!E32="-"),"-",'B Mask'!E32+'V Mask'!E32+'VKr-AT Mask'!E32+'Kr Mask'!E32+'L Mask'!E32+'AVH Mask'!E32)))</f>
        <v/>
      </c>
      <c r="F32" s="233" t="str">
        <f>IF(OR(Umse!$C$24=0,Umse!$B$11=0),"",IF(AND('B Mask'!F32=0,'V Mask'!F32=0,'VKr-AT Mask'!F32=0,'Kr Mask'!F32=0,'L Mask'!F32=0,'AVH Mask'!F32=0),"",IF(OR('B Mask'!F32="-",'V Mask'!F32="-",'VKr-AT Mask'!F32="-",'Kr Mask'!F32="-",'L Mask'!F32="-",'AVH Mask'!F32="-"),"-",'B Mask'!F32+'V Mask'!F32+'VKr-AT Mask'!F32+'Kr Mask'!F32+'L Mask'!F32+'AVH Mask'!F32)))</f>
        <v/>
      </c>
      <c r="G32" s="233" t="str">
        <f>IF(OR(Umse!$C$24=0,Umse!$B$11=0),"",IF(AND('B Mask'!G32=0,'V Mask'!G32=0,'VKr-AT Mask'!G32=0,'Kr Mask'!G32=0,'L Mask'!G32=0,'AVH Mask'!G32=0),"",IF(OR('B Mask'!G32="-",'V Mask'!G32="-",'VKr-AT Mask'!G32="-",'Kr Mask'!G32="-",'L Mask'!G32="-",'AVH Mask'!G32="-"),"-",'B Mask'!G32+'V Mask'!G32+'VKr-AT Mask'!G32+'Kr Mask'!G32+'L Mask'!G32+'AVH Mask'!G32)))</f>
        <v/>
      </c>
      <c r="H32" s="233" t="str">
        <f>IF(OR(Umse!$C$24=0,Umse!$B$11=0),"",IF(AND('B Mask'!H32=0,'V Mask'!H32=0,'VKr-AT Mask'!H32=0,'Kr Mask'!H32=0,'L Mask'!H32=0,'AVH Mask'!H32=0),"",IF(OR('B Mask'!H32="-",'V Mask'!H32="-",'VKr-AT Mask'!H32="-",'Kr Mask'!H32="-",'L Mask'!H32="-",'AVH Mask'!H32="-"),"-",'B Mask'!H32+'V Mask'!H32+'VKr-AT Mask'!H32+'Kr Mask'!H32+'L Mask'!H32+'AVH Mask'!H32)))</f>
        <v/>
      </c>
      <c r="I32" s="233" t="str">
        <f>IF(OR(Umse!$C$24=0,Umse!$B$11=0),"",IF(AND('B Mask'!I32=0,'V Mask'!I32=0,'VKr-AT Mask'!I32=0,'Kr Mask'!I32=0,'L Mask'!I32=0,'AVH Mask'!I32=0),"",IF(OR('B Mask'!I32="-",'V Mask'!I32="-",'VKr-AT Mask'!I32="-",'Kr Mask'!I32="-",'L Mask'!I32="-",'AVH Mask'!I32="-"),"-",'B Mask'!I32+'V Mask'!I32+'VKr-AT Mask'!I32+'Kr Mask'!I32+'L Mask'!I32+'AVH Mask'!I32)))</f>
        <v/>
      </c>
      <c r="J32" s="254"/>
      <c r="K32" s="273" t="str">
        <f>'B Mask'!K32&amp;'V Mask'!K32&amp;'VKr-AT Mask'!K32&amp;'Kr Mask'!K32&amp;'L Mask'!K32&amp;'AVH Mask'!K32</f>
        <v/>
      </c>
      <c r="L32" s="274" t="str">
        <f>'B Mask'!L32&amp;'V Mask'!L32&amp;'VKr-AT Mask'!L32&amp;'Kr Mask'!L32&amp;'L Mask'!L32&amp;'AVH Mask'!L32</f>
        <v/>
      </c>
      <c r="M32" s="233" t="str">
        <f>IF(OR(Umse!$C$24=0,Umse!$B$11=0),"",IF(AND('B Mask'!M32=0,'V Mask'!M32=0,'VKr-AT Mask'!M32=0,'Kr Mask'!M32=0,'L Mask'!M32=0,'AVH Mask'!M32=0),"",IF(OR('B Mask'!M32="-",'V Mask'!M32="-",'VKr-AT Mask'!M32="-",'Kr Mask'!M32="-",'L Mask'!M32="-",'AVH Mask'!M32="-"),"-",'B Mask'!M32+'V Mask'!M32+'VKr-AT Mask'!M32+'Kr Mask'!M32+'L Mask'!M32+'AVH Mask'!M32)))</f>
        <v/>
      </c>
      <c r="N32" s="233" t="str">
        <f>IF(OR(Umse!$C$24=0,Umse!$B$11=0),"",IF(AND('B Mask'!N32=0,'V Mask'!N32=0,'VKr-AT Mask'!N32=0,'Kr Mask'!N32=0,'L Mask'!N32=0,'AVH Mask'!N32=0),"",IF(OR('B Mask'!N32="-",'V Mask'!N32="-",'VKr-AT Mask'!N32="-",'Kr Mask'!N32="-",'L Mask'!N32="-",'AVH Mask'!N32="-"),"-",'B Mask'!N32+'V Mask'!N32+'VKr-AT Mask'!N32+'Kr Mask'!N32+'L Mask'!N32+'AVH Mask'!N32)))</f>
        <v/>
      </c>
      <c r="O32" s="233" t="str">
        <f>IF(OR(Umse!$C$24=0,Umse!$B$11=0),"",IF(AND('B Mask'!O32=0,'V Mask'!O32=0,'VKr-AT Mask'!O32=0,'Kr Mask'!O32=0,'L Mask'!O32=0,'AVH Mask'!O32=0),"",IF(OR('B Mask'!O32="-",'V Mask'!O32="-",'VKr-AT Mask'!O32="-",'Kr Mask'!O32="-",'L Mask'!O32="-",'AVH Mask'!O32="-"),"-",'B Mask'!O32+'V Mask'!O32+'VKr-AT Mask'!O32+'Kr Mask'!O32+'L Mask'!O32+'AVH Mask'!O32)))</f>
        <v/>
      </c>
      <c r="P32" s="233" t="str">
        <f>IF(OR(Umse!$C$24=0,Umse!$B$11=0),"",IF(AND('B Mask'!P32=0,'V Mask'!P32=0,'VKr-AT Mask'!P32=0,'Kr Mask'!P32=0,'L Mask'!P32=0,'AVH Mask'!P32=0),"",IF(OR('B Mask'!P32="-",'V Mask'!P32="-",'VKr-AT Mask'!P32="-",'Kr Mask'!P32="-",'L Mask'!P32="-",'AVH Mask'!P32="-"),"-",'B Mask'!P32+'V Mask'!P32+'VKr-AT Mask'!P32+'Kr Mask'!P32+'L Mask'!P32+'AVH Mask'!P32)))</f>
        <v/>
      </c>
      <c r="Q32" s="233" t="str">
        <f>IF(OR(Umse!$C$24=0,Umse!$B$11=0),"",IF(AND('B Mask'!Q32=0,'V Mask'!Q32=0,'VKr-AT Mask'!Q32=0,'Kr Mask'!Q32=0,'L Mask'!Q32=0,'AVH Mask'!Q32=0),"",IF(OR('B Mask'!Q32="-",'V Mask'!Q32="-",'VKr-AT Mask'!Q32="-",'Kr Mask'!Q32="-",'L Mask'!Q32="-",'AVH Mask'!Q32="-"),"-",'B Mask'!Q32+'V Mask'!Q32+'VKr-AT Mask'!Q32+'Kr Mask'!Q32+'L Mask'!Q32+'AVH Mask'!Q32)))</f>
        <v/>
      </c>
      <c r="R32" s="233" t="str">
        <f>IF(OR(Umse!$C$24=0,Umse!$B$11=0),"",IF(AND('B Mask'!R32=0,'V Mask'!R32=0,'VKr-AT Mask'!R32=0,'Kr Mask'!R32=0,'L Mask'!R32=0,'AVH Mask'!R32=0),"",IF(OR('B Mask'!R32="-",'V Mask'!R32="-",'VKr-AT Mask'!R32="-",'Kr Mask'!R32="-",'L Mask'!R32="-",'AVH Mask'!R32="-"),"-",'B Mask'!R32+'V Mask'!R32+'VKr-AT Mask'!R32+'Kr Mask'!R32+'L Mask'!R32+'AVH Mask'!R32)))</f>
        <v/>
      </c>
      <c r="S32" s="251"/>
    </row>
    <row r="33" spans="2:21" ht="3.75" customHeight="1">
      <c r="B33" s="256"/>
      <c r="C33" s="256"/>
      <c r="D33" s="234" t="str">
        <f>IF(OR(Umse!$C$24=0,Umse!$B$11=0),"",IF(Kalk!$B$5=6,'AVH Mask'!D33,IF(AND('B Mask'!D33=0,'V Mask'!D33=0,'VKr-AT Mask'!D33=0,'Kr Mask'!D33=0,'L Mask'!D33=0),"",IF(OR('B Mask'!D33="-",'V Mask'!D33="-",'VKr-AT Mask'!D33="-",'Kr Mask'!D33="-",'L Mask'!D33="-"),"-",'B Mask'!D33+'V Mask'!D33+'VKr-AT Mask'!D33+'Kr Mask'!D33+'L Mask'!D33))))</f>
        <v/>
      </c>
      <c r="E33" s="234" t="str">
        <f>IF(OR(Umse!$C$24=0,Umse!$B$11=0),"",IF(Kalk!$B$5=6,'AVH Mask'!E33,IF(AND('B Mask'!E33=0,'V Mask'!E33=0,'VKr-AT Mask'!E33=0,'Kr Mask'!E33=0,'L Mask'!E33=0),"",IF(OR('B Mask'!E33="-",'V Mask'!E33="-",'VKr-AT Mask'!E33="-",'Kr Mask'!E33="-",'L Mask'!E33="-"),"-",'B Mask'!E33+'V Mask'!E33+'VKr-AT Mask'!E33+'Kr Mask'!E33+'L Mask'!E33))))</f>
        <v/>
      </c>
      <c r="F33" s="234" t="str">
        <f>IF(OR(Umse!$C$24=0,Umse!$B$11=0),"",IF(Kalk!$B$5=6,'AVH Mask'!F33,IF(AND('B Mask'!F33=0,'V Mask'!F33=0,'VKr-AT Mask'!F33=0,'Kr Mask'!F33=0,'L Mask'!F33=0),"",IF(OR('B Mask'!F33="-",'V Mask'!F33="-",'VKr-AT Mask'!F33="-",'Kr Mask'!F33="-",'L Mask'!F33="-"),"-",'B Mask'!F33+'V Mask'!F33+'VKr-AT Mask'!F33+'Kr Mask'!F33+'L Mask'!F33))))</f>
        <v/>
      </c>
      <c r="G33" s="234" t="str">
        <f>IF(OR(Umse!$C$24=0,Umse!$B$11=0),"",IF(Kalk!$B$5=6,'AVH Mask'!G33,IF(AND('B Mask'!G33=0,'V Mask'!G33=0,'VKr-AT Mask'!G33=0,'Kr Mask'!G33=0,'L Mask'!G33=0),"",IF(OR('B Mask'!G33="-",'V Mask'!G33="-",'VKr-AT Mask'!G33="-",'Kr Mask'!G33="-",'L Mask'!G33="-"),"-",'B Mask'!G33+'V Mask'!G33+'VKr-AT Mask'!G33+'Kr Mask'!G33+'L Mask'!G33))))</f>
        <v/>
      </c>
      <c r="H33" s="234" t="str">
        <f>IF(OR(Umse!$C$24=0,Umse!$B$11=0),"",IF(Kalk!$B$5=6,'AVH Mask'!H33,IF(AND('B Mask'!H33=0,'V Mask'!H33=0,'VKr-AT Mask'!H33=0,'Kr Mask'!H33=0,'L Mask'!H33=0),"",IF(OR('B Mask'!H33="-",'V Mask'!H33="-",'VKr-AT Mask'!H33="-",'Kr Mask'!H33="-",'L Mask'!H33="-"),"-",'B Mask'!H33+'V Mask'!H33+'VKr-AT Mask'!H33+'Kr Mask'!H33+'L Mask'!H33))))</f>
        <v/>
      </c>
      <c r="I33" s="234" t="str">
        <f>IF(OR(Umse!$C$24=0,Umse!$B$11=0),"",IF(Kalk!$B$5=6,'AVH Mask'!I33,IF(AND('B Mask'!I33=0,'V Mask'!I33=0,'VKr-AT Mask'!I33=0,'Kr Mask'!I33=0,'L Mask'!I33=0),"",IF(OR('B Mask'!I33="-",'V Mask'!I33="-",'VKr-AT Mask'!I33="-",'Kr Mask'!I33="-",'L Mask'!I33="-"),"-",'B Mask'!I33+'V Mask'!I33+'VKr-AT Mask'!I33+'Kr Mask'!I33+'L Mask'!I33))))</f>
        <v/>
      </c>
      <c r="J33" s="254"/>
      <c r="K33" s="256"/>
      <c r="L33" s="256"/>
      <c r="M33" s="257"/>
      <c r="N33" s="257"/>
      <c r="O33" s="257"/>
      <c r="P33" s="257"/>
      <c r="Q33" s="257"/>
      <c r="R33" s="257"/>
      <c r="S33" s="251"/>
    </row>
    <row r="34" spans="2:21" ht="3.75" customHeight="1">
      <c r="J34" s="250"/>
      <c r="S34" s="251"/>
    </row>
    <row r="35" spans="2:21" s="108" customFormat="1" ht="13.5" customHeight="1">
      <c r="B35" s="638" t="str">
        <f>K10</f>
        <v>TVöD ( Bund )</v>
      </c>
      <c r="C35" s="638"/>
      <c r="D35" s="638"/>
      <c r="E35" s="636" t="str">
        <f>'B Mask'!E35&amp;'V Mask'!E35&amp;'VKr-AT Mask'!E35&amp;'Kr Mask'!E35&amp;'L Mask'!E35&amp;'AVH Mask'!E35</f>
        <v>Zeitzuschläge</v>
      </c>
      <c r="F35" s="636"/>
      <c r="G35" s="636"/>
      <c r="H35" s="637" t="str">
        <f>IF(OR('B Mask'!H35=0,'V Mask'!H35=0,'VKr-AT Mask'!H35=0,'Kr Mask'!H35=0,'L Mask'!H35=0,'AVH Mask'!H35=0),"",'B Mask'!H35&amp;'V Mask'!H35&amp;'VKr-AT Mask'!H35&amp;'Kr Mask'!H35&amp;'L Mask'!H35&amp;'AVH Mask'!H35)</f>
        <v>Stand 1.04.2021</v>
      </c>
      <c r="I35" s="637"/>
      <c r="J35" s="141" t="str">
        <f>'B Mask'!J35&amp;'V Mask'!J35&amp;'VKr-AT Mask'!J35&amp;'Kr Mask'!J35&amp;'L Mask'!J35&amp;'AVH Mask'!J35</f>
        <v/>
      </c>
      <c r="K35" s="269"/>
      <c r="L35" s="269"/>
      <c r="M35" s="122"/>
      <c r="N35" s="122"/>
      <c r="O35" s="122"/>
      <c r="P35" s="122"/>
      <c r="Q35" s="122"/>
      <c r="R35" s="122"/>
      <c r="S35" s="111"/>
      <c r="T35" s="111"/>
      <c r="U35" s="111"/>
    </row>
    <row r="36" spans="2:21" ht="11.25" customHeight="1">
      <c r="B36" s="641" t="str">
        <f>'B Mask'!B36&amp;'V Mask'!B36&amp;'VKr-AT Mask'!B36&amp;'Kr Mask'!B36&amp;'L Mask'!B36&amp;'AVH Mask'!B36</f>
        <v>Zeitzuschläge in  %  vom
Stundenentgelt in Stufe 3</v>
      </c>
      <c r="C36" s="643"/>
      <c r="D36" s="641" t="str">
        <f>'B Mask'!D36&amp;'V Mask'!D36&amp;'VKr-AT Mask'!D36&amp;'Kr Mask'!D36&amp;'L Mask'!D36&amp;'AVH Mask'!D36</f>
        <v>Überstunde in EG 1 - 9b
Überstunde in EG 9c - 15</v>
      </c>
      <c r="E36" s="641" t="str">
        <f>'B Mask'!E36&amp;'V Mask'!E36&amp;'VKr-AT Mask'!E36&amp;'Kr Mask'!E36&amp;'L Mask'!E36&amp;'AVH Mask'!E36</f>
        <v>Nachtarbeit ( 21 - 06 Uhr )
Samstagsarbeit ( 13 - 21 Uhr )</v>
      </c>
      <c r="F36" s="641" t="str">
        <f>'B Mask'!F36&amp;'V Mask'!F36&amp;'VKr-AT Mask'!F36&amp;'Kr Mask'!F36&amp;'L Mask'!F36&amp;'AVH Mask'!F36</f>
        <v>Sonntagsarbeit</v>
      </c>
      <c r="G36" s="641" t="str">
        <f>'B Mask'!G36&amp;'V Mask'!G36&amp;'VKr-AT Mask'!G36&amp;'Kr Mask'!G36&amp;'L Mask'!G36&amp;'AVH Mask'!G36</f>
        <v>Feiertagsarbeit
mit Freizeitausgeich</v>
      </c>
      <c r="H36" s="641" t="str">
        <f>'B Mask'!H36&amp;'V Mask'!H36&amp;'VKr-AT Mask'!H36&amp;'Kr Mask'!H36&amp;'L Mask'!H36&amp;'AVH Mask'!H36</f>
        <v>Feiertagsarbeit
ohne Freizeitausgleich</v>
      </c>
      <c r="I36" s="641" t="str">
        <f>'B Mask'!I36&amp;'V Mask'!I36&amp;'VKr-AT Mask'!I36&amp;'Kr Mask'!I36&amp;'L Mask'!I36&amp;'AVH Mask'!I36</f>
        <v>Arbeit am 24. / 31.12.
( ab 06 Uhr )</v>
      </c>
      <c r="J36" s="254" t="str">
        <f>'B Mask'!J36&amp;'V Mask'!J36&amp;'VKr-AT Mask'!J36&amp;'Kr Mask'!J36&amp;'L Mask'!J36&amp;'AVH Mask'!J36</f>
        <v/>
      </c>
      <c r="K36" s="646" t="s">
        <v>662</v>
      </c>
      <c r="L36" s="646"/>
      <c r="M36" s="647"/>
      <c r="N36" s="647"/>
      <c r="O36" s="647"/>
      <c r="P36" s="647"/>
      <c r="Q36" s="647"/>
      <c r="R36" s="647"/>
      <c r="S36" s="111"/>
      <c r="T36" s="111"/>
      <c r="U36" s="111"/>
    </row>
    <row r="37" spans="2:21" ht="11.25" customHeight="1">
      <c r="B37" s="644"/>
      <c r="C37" s="643"/>
      <c r="D37" s="642"/>
      <c r="E37" s="642"/>
      <c r="F37" s="642"/>
      <c r="G37" s="642"/>
      <c r="H37" s="642"/>
      <c r="I37" s="642"/>
      <c r="J37" s="254" t="str">
        <f>'B Mask'!J37&amp;'V Mask'!J37&amp;'VKr-AT Mask'!J37&amp;'Kr Mask'!J37&amp;'L Mask'!J37&amp;'AVH Mask'!J37</f>
        <v/>
      </c>
      <c r="K37" s="647"/>
      <c r="L37" s="647"/>
      <c r="M37" s="647"/>
      <c r="N37" s="647"/>
      <c r="O37" s="647"/>
      <c r="P37" s="647"/>
      <c r="Q37" s="647"/>
      <c r="R37" s="647"/>
      <c r="S37" s="111"/>
      <c r="T37" s="111"/>
      <c r="U37" s="111"/>
    </row>
    <row r="38" spans="2:21" ht="11.25" customHeight="1">
      <c r="B38" s="644"/>
      <c r="C38" s="643"/>
      <c r="D38" s="642"/>
      <c r="E38" s="642"/>
      <c r="F38" s="642"/>
      <c r="G38" s="642"/>
      <c r="H38" s="642"/>
      <c r="I38" s="642"/>
      <c r="J38" s="254" t="str">
        <f>'B Mask'!J38&amp;'V Mask'!J38&amp;'VKr-AT Mask'!J38&amp;'Kr Mask'!J38&amp;'L Mask'!J38&amp;'AVH Mask'!J38</f>
        <v/>
      </c>
      <c r="K38" s="647"/>
      <c r="L38" s="647"/>
      <c r="M38" s="647"/>
      <c r="N38" s="647"/>
      <c r="O38" s="647"/>
      <c r="P38" s="647"/>
      <c r="Q38" s="647"/>
      <c r="R38" s="647"/>
      <c r="S38" s="111"/>
      <c r="T38" s="111"/>
      <c r="U38" s="111"/>
    </row>
    <row r="39" spans="2:21" ht="11.25" customHeight="1">
      <c r="B39" s="644"/>
      <c r="C39" s="643"/>
      <c r="D39" s="642"/>
      <c r="E39" s="642"/>
      <c r="F39" s="642"/>
      <c r="G39" s="642"/>
      <c r="H39" s="642"/>
      <c r="I39" s="642"/>
      <c r="J39" s="254" t="str">
        <f>'B Mask'!J39&amp;'V Mask'!J39&amp;'VKr-AT Mask'!J39&amp;'Kr Mask'!J39&amp;'L Mask'!J39&amp;'AVH Mask'!J39</f>
        <v/>
      </c>
      <c r="K39" s="647"/>
      <c r="L39" s="647"/>
      <c r="M39" s="647"/>
      <c r="N39" s="647"/>
      <c r="O39" s="647"/>
      <c r="P39" s="647"/>
      <c r="Q39" s="647"/>
      <c r="R39" s="647"/>
      <c r="S39" s="111"/>
      <c r="T39" s="111"/>
      <c r="U39" s="111"/>
    </row>
    <row r="40" spans="2:21" ht="11.25" customHeight="1">
      <c r="B40" s="644"/>
      <c r="C40" s="643"/>
      <c r="D40" s="642"/>
      <c r="E40" s="642"/>
      <c r="F40" s="642"/>
      <c r="G40" s="642"/>
      <c r="H40" s="642"/>
      <c r="I40" s="642"/>
      <c r="J40" s="254" t="str">
        <f>'B Mask'!J40&amp;'V Mask'!J40&amp;'VKr-AT Mask'!J40&amp;'Kr Mask'!J40&amp;'L Mask'!J40&amp;'AVH Mask'!J40</f>
        <v/>
      </c>
      <c r="K40" s="647"/>
      <c r="L40" s="647"/>
      <c r="M40" s="647"/>
      <c r="N40" s="647"/>
      <c r="O40" s="647"/>
      <c r="P40" s="647"/>
      <c r="Q40" s="647"/>
      <c r="R40" s="647"/>
      <c r="S40" s="111"/>
      <c r="T40" s="111"/>
      <c r="U40" s="111"/>
    </row>
    <row r="41" spans="2:21" ht="11.25" customHeight="1">
      <c r="B41" s="644"/>
      <c r="C41" s="643"/>
      <c r="D41" s="642"/>
      <c r="E41" s="642"/>
      <c r="F41" s="642"/>
      <c r="G41" s="642"/>
      <c r="H41" s="642"/>
      <c r="I41" s="642"/>
      <c r="J41" s="254" t="str">
        <f>'B Mask'!J41&amp;'V Mask'!J41&amp;'VKr-AT Mask'!J41&amp;'Kr Mask'!J41&amp;'L Mask'!J41&amp;'AVH Mask'!J41</f>
        <v/>
      </c>
      <c r="K41" s="647"/>
      <c r="L41" s="647"/>
      <c r="M41" s="647"/>
      <c r="N41" s="647"/>
      <c r="O41" s="647"/>
      <c r="P41" s="647"/>
      <c r="Q41" s="647"/>
      <c r="R41" s="647"/>
      <c r="S41" s="111"/>
      <c r="T41" s="111"/>
      <c r="U41" s="111"/>
    </row>
    <row r="42" spans="2:21" ht="11.25" customHeight="1">
      <c r="B42" s="644"/>
      <c r="C42" s="643"/>
      <c r="D42" s="642"/>
      <c r="E42" s="642"/>
      <c r="F42" s="642"/>
      <c r="G42" s="642"/>
      <c r="H42" s="642"/>
      <c r="I42" s="642"/>
      <c r="J42" s="254" t="str">
        <f>'B Mask'!J42&amp;'V Mask'!J42&amp;'VKr-AT Mask'!J42&amp;'Kr Mask'!J42&amp;'L Mask'!J42&amp;'AVH Mask'!J42</f>
        <v/>
      </c>
      <c r="K42" s="647"/>
      <c r="L42" s="647"/>
      <c r="M42" s="647"/>
      <c r="N42" s="647"/>
      <c r="O42" s="647"/>
      <c r="P42" s="647"/>
      <c r="Q42" s="647"/>
      <c r="R42" s="647"/>
      <c r="S42" s="111"/>
      <c r="T42" s="111"/>
      <c r="U42" s="111"/>
    </row>
    <row r="43" spans="2:21" ht="11.25" customHeight="1">
      <c r="B43" s="644"/>
      <c r="C43" s="643"/>
      <c r="D43" s="642"/>
      <c r="E43" s="642"/>
      <c r="F43" s="642"/>
      <c r="G43" s="642"/>
      <c r="H43" s="642"/>
      <c r="I43" s="642"/>
      <c r="J43" s="254" t="str">
        <f>'B Mask'!J43&amp;'V Mask'!J43&amp;'VKr-AT Mask'!J43&amp;'Kr Mask'!J43&amp;'L Mask'!J43&amp;'AVH Mask'!J43</f>
        <v/>
      </c>
      <c r="K43" s="647"/>
      <c r="L43" s="647"/>
      <c r="M43" s="647"/>
      <c r="N43" s="647"/>
      <c r="O43" s="647"/>
      <c r="P43" s="647"/>
      <c r="Q43" s="647"/>
      <c r="R43" s="647"/>
      <c r="S43" s="111"/>
      <c r="T43" s="111"/>
      <c r="U43" s="111"/>
    </row>
    <row r="44" spans="2:21" ht="11.25" customHeight="1">
      <c r="B44" s="644"/>
      <c r="C44" s="643"/>
      <c r="D44" s="642"/>
      <c r="E44" s="642"/>
      <c r="F44" s="642"/>
      <c r="G44" s="642"/>
      <c r="H44" s="642"/>
      <c r="I44" s="642"/>
      <c r="J44" s="254" t="str">
        <f>'B Mask'!J44&amp;'V Mask'!J44&amp;'VKr-AT Mask'!J44&amp;'Kr Mask'!J44&amp;'L Mask'!J44&amp;'AVH Mask'!J44</f>
        <v/>
      </c>
      <c r="K44" s="647"/>
      <c r="L44" s="647"/>
      <c r="M44" s="647"/>
      <c r="N44" s="647"/>
      <c r="O44" s="647"/>
      <c r="P44" s="647"/>
      <c r="Q44" s="647"/>
      <c r="R44" s="647"/>
      <c r="S44" s="111"/>
      <c r="T44" s="111"/>
      <c r="U44" s="111"/>
    </row>
    <row r="45" spans="2:21" ht="13.5" customHeight="1">
      <c r="B45" s="644"/>
      <c r="C45" s="643"/>
      <c r="D45" s="642"/>
      <c r="E45" s="642"/>
      <c r="F45" s="642"/>
      <c r="G45" s="642"/>
      <c r="H45" s="642"/>
      <c r="I45" s="642"/>
      <c r="J45" s="254" t="str">
        <f>'B Mask'!J45&amp;'V Mask'!J45&amp;'VKr-AT Mask'!J45&amp;'Kr Mask'!J45&amp;'L Mask'!J45&amp;'AVH Mask'!J45</f>
        <v/>
      </c>
      <c r="K45" s="638" t="str">
        <f>K10</f>
        <v>TVöD ( Bund )</v>
      </c>
      <c r="L45" s="638"/>
      <c r="M45" s="638"/>
      <c r="N45" s="636" t="str">
        <f>'B Mask'!N45&amp;'V Mask'!N45&amp;'VKr-AT Mask'!N45&amp;'Kr Mask'!N45&amp;'L Mask'!N45&amp;'AVH Mask'!N45</f>
        <v>Überstundenentgelt</v>
      </c>
      <c r="O45" s="636"/>
      <c r="P45" s="636"/>
      <c r="Q45" s="637" t="str">
        <f>IF(OR('B Mask'!Q45=0,'V Mask'!Q45=0,'VKr-AT Mask'!Q45=0,'Kr Mask'!Q45=0,'L Mask'!Q45=0,'AVH Mask'!Q45=0),"",'B Mask'!Q45&amp;'V Mask'!Q45&amp;'VKr-AT Mask'!Q45&amp;'Kr Mask'!Q45&amp;'L Mask'!Q45&amp;'AVH Mask'!Q45)</f>
        <v>Stand 1.04.2021</v>
      </c>
      <c r="R45" s="637"/>
      <c r="S45" s="111"/>
      <c r="T45" s="111"/>
      <c r="U45" s="111"/>
    </row>
    <row r="46" spans="2:21" ht="19.5" customHeight="1">
      <c r="B46" s="270" t="str">
        <f>'B Mask'!B46&amp;'V Mask'!B46&amp;'VKr-AT Mask'!B46&amp;'Kr Mask'!B46&amp;'L Mask'!B46&amp;'AVH Mask'!B46</f>
        <v xml:space="preserve">    Entgeltgruppe</v>
      </c>
      <c r="C46" s="252"/>
      <c r="D46" s="271" t="str">
        <f>IF(Kalk!$B$5=1,'B Mask'!D46,IF(Kalk!$B$5=2,'V Mask'!D46,IF(OR(Umse!$B$11="3.3.",Umse!$B$11="3.4.",Umse!$B$11="3.7.",Umse!$B$11="3.8.",Umse!$B$11="3.11.",Umse!$B$11="3.12."),'VKr-AT Mask'!D46,IF(OR(Umse!$B$11="3.1.",Umse!$B$11="3.2.",Umse!$B$11="3.5.",Umse!$B$11="3.6.",Umse!$B$11="3.9.",Umse!$B$11="3.10.",Kalk!$B$5=4,Umse!$B$11="6.1.",Umse!$B$11="6.2.",Umse!$B$11="6.3.",Umse!$B$11="6.4.",Umse!$B$11="6.5.",Umse!$B$11="6.6."),'Kr Mask'!D46,IF(OR(Kalk!$B$5=5,Kalk!$B$5=7,Kalk!$B$5=9,Kalk!$B$5=10),'L Mask'!D46,IF(Kalk!$B$5=8,'AVH Mask'!D46,""))))))</f>
        <v>30%
15%</v>
      </c>
      <c r="E46" s="272">
        <f>IF(Kalk!$B$5=1,'B Mask'!E46,IF(Kalk!$B$5=2,'V Mask'!E46,IF(OR(Umse!$B$11="3.3.",Umse!$B$11="3.4.",Umse!$B$11="3.7.",Umse!$B$11="3.8.",Umse!$B$11="3.11.",Umse!$B$11="3.12."),'VKr-AT Mask'!E46,IF(OR(Umse!$B$11="3.1.",Umse!$B$11="3.2.",Umse!$B$11="3.5.",Umse!$B$11="3.6.",Umse!$B$11="3.9.",Umse!$B$11="3.10.",Kalk!$B$5=4,Umse!$B$11="6.1.",Umse!$B$11="6.2.",Umse!$B$11="6.3.",Umse!$B$11="6.4.",Umse!$B$11="6.5.",Umse!$B$11="6.6."),'Kr Mask'!E46,IF(OR(Kalk!$B$5=5,Kalk!$B$5=7,Kalk!$B$5=9,Kalk!$B$5=10),'L Mask'!E46,IF(Kalk!$B$5=8,'AVH Mask'!E46,""))))))</f>
        <v>0.2</v>
      </c>
      <c r="F46" s="272">
        <f>IF(Kalk!$B$5=1,'B Mask'!F46,IF(Kalk!$B$5=2,'V Mask'!F46,IF(OR(Umse!$B$11="3.3.",Umse!$B$11="3.4.",Umse!$B$11="3.7.",Umse!$B$11="3.8.",Umse!$B$11="3.11.",Umse!$B$11="3.12."),'VKr-AT Mask'!F46,IF(OR(Umse!$B$11="3.1.",Umse!$B$11="3.2.",Umse!$B$11="3.5.",Umse!$B$11="3.6.",Umse!$B$11="3.9.",Umse!$B$11="3.10.",Kalk!$B$5=4,Umse!$B$11="6.1.",Umse!$B$11="6.2.",Umse!$B$11="6.3.",Umse!$B$11="6.4.",Umse!$B$11="6.5.",Umse!$B$11="6.6."),'Kr Mask'!F46,IF(OR(Kalk!$B$5=5,Kalk!$B$5=7,Kalk!$B$5=9,Kalk!$B$5=10),'L Mask'!F46,IF(Kalk!$B$5=8,'AVH Mask'!F46,""))))))</f>
        <v>0.25</v>
      </c>
      <c r="G46" s="272">
        <f>IF(Kalk!$B$5=1,'B Mask'!G46,IF(Kalk!$B$5=2,'V Mask'!G46,IF(OR(Umse!$B$11="3.3.",Umse!$B$11="3.4.",Umse!$B$11="3.7.",Umse!$B$11="3.8.",Umse!$B$11="3.11.",Umse!$B$11="3.12."),'VKr-AT Mask'!G46,IF(OR(Umse!$B$11="3.1.",Umse!$B$11="3.2.",Umse!$B$11="3.5.",Umse!$B$11="3.6.",Umse!$B$11="3.9.",Umse!$B$11="3.10.",Kalk!$B$5=4,Umse!$B$11="6.1.",Umse!$B$11="6.2.",Umse!$B$11="6.3.",Umse!$B$11="6.4.",Umse!$B$11="6.5.",Umse!$B$11="6.6."),'Kr Mask'!G46,IF(OR(Kalk!$B$5=5,Kalk!$B$5=7,Kalk!$B$5=9,Kalk!$B$5=10),'L Mask'!G46,IF(Kalk!$B$5=8,'AVH Mask'!G46,""))))))</f>
        <v>0.35</v>
      </c>
      <c r="H46" s="272">
        <f>IF(Kalk!$B$5=1,'B Mask'!H46,IF(Kalk!$B$5=2,'V Mask'!H46,IF(OR(Umse!$B$11="3.3.",Umse!$B$11="3.4.",Umse!$B$11="3.7.",Umse!$B$11="3.8.",Umse!$B$11="3.11.",Umse!$B$11="3.12."),'VKr-AT Mask'!H46,IF(OR(Umse!$B$11="3.1.",Umse!$B$11="3.2.",Umse!$B$11="3.5.",Umse!$B$11="3.6.",Umse!$B$11="3.9.",Umse!$B$11="3.10.",Kalk!$B$5=4,Umse!$B$11="6.1.",Umse!$B$11="6.2.",Umse!$B$11="6.3.",Umse!$B$11="6.4.",Umse!$B$11="6.5.",Umse!$B$11="6.6."),'Kr Mask'!H46,IF(OR(Kalk!$B$5=5,Kalk!$B$5=7,Kalk!$B$5=9,Kalk!$B$5=10),'L Mask'!H46,IF(Kalk!$B$5=8,'AVH Mask'!H46,""))))))</f>
        <v>1.35</v>
      </c>
      <c r="I46" s="272">
        <f>IF(Kalk!$B$5=1,'B Mask'!I46,IF(Kalk!$B$5=2,'V Mask'!I46,IF(OR(Umse!$B$11="3.3.",Umse!$B$11="3.4.",Umse!$B$11="3.7.",Umse!$B$11="3.8.",Umse!$B$11="3.11.",Umse!$B$11="3.12."),'VKr-AT Mask'!I46,IF(OR(Umse!$B$11="3.1.",Umse!$B$11="3.2.",Umse!$B$11="3.5.",Umse!$B$11="3.6.",Umse!$B$11="3.9.",Umse!$B$11="3.10.",Kalk!$B$5=4,Umse!$B$11="6.1.",Umse!$B$11="6.2.",Umse!$B$11="6.3.",Umse!$B$11="6.4.",Umse!$B$11="6.5.",Umse!$B$11="6.6."),'Kr Mask'!I46,IF(OR(Kalk!$B$5=5,Kalk!$B$5=7,Kalk!$B$5=9,Kalk!$B$5=10),'L Mask'!I46,IF(Kalk!$B$5=8,'AVH Mask'!I46,""))))))</f>
        <v>0.35</v>
      </c>
      <c r="J46" s="253" t="str">
        <f>'B Mask'!J46&amp;'V Mask'!J46&amp;'VKr-AT Mask'!J46&amp;'Kr Mask'!J46&amp;'L Mask'!J46&amp;'AVH Mask'!J46</f>
        <v/>
      </c>
      <c r="K46" s="270" t="str">
        <f>IF(OR(Umse!$B$11="3.1.",Umse!$B$11="3.2.",Umse!$B$11="3.5.",Umse!$B$11="3.6.",Umse!$B$11="3.9.",Umse!$B$11="3.10.",Umse!$B$11="4.1.",Umse!$B$11="4.2.",Umse!$B$11="4.3.",Umse!$B$11="4.4.",Umse!$B$11="4.5.",Umse!$B$11="4.6.",Umse!$B$11="6.1.",Umse!$B$11="6.2.",Umse!$B$11="6.3.",Umse!$B$11="6.4.",Umse!$B$11="6.5.",Umse!$B$11="6.6."),'Kr Mask'!K46,'B Mask'!K46&amp;'V Mask'!K46&amp;'VKr-AT Mask'!K46&amp;'L Mask'!K46&amp;'AVH Mask'!K46)</f>
        <v xml:space="preserve">    Entgeltgruppe</v>
      </c>
      <c r="L46" s="252"/>
      <c r="M46" s="252" t="str">
        <f>IF(OR(Umse!$B$11="3.1.",Umse!$B$11="3.2.",Umse!$B$11="3.5.",Umse!$B$11="3.6.",Umse!$B$11="3.9.",Umse!$B$11="3.10.",Umse!$B$11="4.1.",Umse!$B$11="4.2.",Umse!$B$11="4.3.",Umse!$B$11="4.4.",Umse!$B$11="4.5.",Umse!$B$11="4.6.",Umse!$B$11="6.1.",Umse!$B$11="6.2.",Umse!$B$11="6.3.",Umse!$B$11="6.4.",Umse!$B$11="6.5.",Umse!$B$11="6.6."),'Kr Mask'!M46,'B Mask'!M46&amp;'V Mask'!M46&amp;'VKr-AT Mask'!M46&amp;'L Mask'!M46&amp;'AVH Mask'!M46)</f>
        <v>Stufe 1</v>
      </c>
      <c r="N46" s="252" t="str">
        <f>IF(OR(Umse!$B$11="3.1.",Umse!$B$11="3.2.",Umse!$B$11="3.5.",Umse!$B$11="3.6.",Umse!$B$11="3.9.",Umse!$B$11="3.10.",Umse!$B$11="4.1.",Umse!$B$11="4.2.",Umse!$B$11="4.3.",Umse!$B$11="4.4.",Umse!$B$11="4.5.",Umse!$B$11="4.6.",Umse!$B$11="6.1.",Umse!$B$11="6.2.",Umse!$B$11="6.3.",Umse!$B$11="6.4.",Umse!$B$11="6.5.",Umse!$B$11="6.6."),'Kr Mask'!N46,'B Mask'!N46&amp;'V Mask'!N46&amp;'VKr-AT Mask'!N46&amp;'L Mask'!N46&amp;'AVH Mask'!N46)</f>
        <v>Stufe 2</v>
      </c>
      <c r="O46" s="252" t="str">
        <f>IF(OR(Umse!$B$11="3.1.",Umse!$B$11="3.2.",Umse!$B$11="3.5.",Umse!$B$11="3.6.",Umse!$B$11="3.9.",Umse!$B$11="3.10.",Umse!$B$11="4.1.",Umse!$B$11="4.2.",Umse!$B$11="4.3.",Umse!$B$11="4.4.",Umse!$B$11="4.5.",Umse!$B$11="4.6.",Umse!$B$11="6.1.",Umse!$B$11="6.2.",Umse!$B$11="6.3.",Umse!$B$11="6.4.",Umse!$B$11="6.5.",Umse!$B$11="6.6."),'Kr Mask'!O46,'B Mask'!O46&amp;'V Mask'!O46&amp;'VKr-AT Mask'!O46&amp;'L Mask'!O46&amp;'AVH Mask'!O46)</f>
        <v>Stufe 3</v>
      </c>
      <c r="P46" s="252" t="str">
        <f>IF(OR(Umse!$B$11="3.1.",Umse!$B$11="3.2.",Umse!$B$11="3.5.",Umse!$B$11="3.6.",Umse!$B$11="3.9.",Umse!$B$11="3.10.",Umse!$B$11="4.1.",Umse!$B$11="4.2.",Umse!$B$11="4.3.",Umse!$B$11="4.4.",Umse!$B$11="4.5.",Umse!$B$11="4.6.",Umse!$B$11="6.1.",Umse!$B$11="6.2.",Umse!$B$11="6.3.",Umse!$B$11="6.4.",Umse!$B$11="6.5.",Umse!$B$11="6.6."),'Kr Mask'!P46,'B Mask'!P46&amp;'V Mask'!P46&amp;'VKr-AT Mask'!P46&amp;'L Mask'!P46&amp;'AVH Mask'!P46)</f>
        <v>Stufe 4</v>
      </c>
      <c r="Q46" s="252" t="str">
        <f>IF(OR(Umse!$B$11="3.1.",Umse!$B$11="3.2.",Umse!$B$11="3.5.",Umse!$B$11="3.6.",Umse!$B$11="3.9.",Umse!$B$11="3.10.",Umse!$B$11="4.1.",Umse!$B$11="4.2.",Umse!$B$11="4.3.",Umse!$B$11="4.4.",Umse!$B$11="4.5.",Umse!$B$11="4.6.",Umse!$B$11="6.1.",Umse!$B$11="6.2.",Umse!$B$11="6.3.",Umse!$B$11="6.4.",Umse!$B$11="6.5.",Umse!$B$11="6.6."),'Kr Mask'!Q46,'B Mask'!Q46&amp;'V Mask'!Q46&amp;'VKr-AT Mask'!Q46&amp;'L Mask'!Q46&amp;'AVH Mask'!Q46)</f>
        <v>Stufe 5</v>
      </c>
      <c r="R46" s="252" t="str">
        <f>IF(OR(Umse!$B$11="3.1.",Umse!$B$11="3.2.",Umse!$B$11="3.5.",Umse!$B$11="3.6.",Umse!$B$11="3.9.",Umse!$B$11="3.10.",Umse!$B$11="4.1.",Umse!$B$11="4.2.",Umse!$B$11="4.3.",Umse!$B$11="4.4.",Umse!$B$11="4.5.",Umse!$B$11="4.6.",Umse!$B$11="6.1.",Umse!$B$11="6.2.",Umse!$B$11="6.3.",Umse!$B$11="6.4.",Umse!$B$11="6.5.",Umse!$B$11="6.6."),'Kr Mask'!R46,'B Mask'!R46&amp;'V Mask'!R46&amp;'VKr-AT Mask'!R46&amp;'L Mask'!R46&amp;'AVH Mask'!R46)</f>
        <v>Stufe 6</v>
      </c>
      <c r="S46" s="258"/>
    </row>
    <row r="47" spans="2:21" ht="10.5" customHeight="1">
      <c r="B47" s="273" t="str">
        <f>'B Mask'!B47&amp;'V Mask'!B47&amp;'VKr-AT Mask'!B47&amp;'Kr Mask'!B47&amp;'L Mask'!B47&amp;'AVH Mask'!B47</f>
        <v>EG</v>
      </c>
      <c r="C47" s="274" t="str">
        <f>'B Mask'!C47&amp;'V Mask'!C47&amp;'VKr-AT Mask'!C47&amp;'Kr Mask'!C47&amp;'L Mask'!C47&amp;'AVH Mask'!C47</f>
        <v>15Ü</v>
      </c>
      <c r="D47" s="233">
        <f>IF(OR(Umse!$C$24=0,Umse!$B$11=0),"",IF(AND('B Mask'!D47="",'V Mask'!D47="",'VKr-AT Mask'!D47="",'Kr Mask'!D47="",'L Mask'!D47="",'AVH Mask'!D47=""),"",IF(OR('B Mask'!D47="-",'V Mask'!D47="-",'VKr-AT Mask'!D47="-",'Kr Mask'!D47="-",'L Mask'!D47="-",'AVH Mask'!D47="-"),"-",'B Mask'!D47+'V Mask'!D47+'VKr-AT Mask'!D47+'Kr Mask'!D47+'L Mask'!D47+'AVH Mask'!D47)))</f>
        <v>6.46</v>
      </c>
      <c r="E47" s="233">
        <f>IF(OR(Umse!$C$24=0,Umse!$B$11=0),"",IF(AND('B Mask'!E47="",'V Mask'!E47="",'VKr-AT Mask'!E47="",'Kr Mask'!E47="",'L Mask'!E47="",'AVH Mask'!E47=""),"",IF(OR('B Mask'!E47="-",'V Mask'!E47="-",'VKr-AT Mask'!E47="-",'Kr Mask'!E47="-",'L Mask'!E47="-",'AVH Mask'!E47="-"),"-",IF(OR(Umse!$B$11="3.1.",Umse!$B$11="3.2.",Umse!$B$11="3.5.",Umse!$B$11="3.6.",Umse!$B$11="3.9.",Umse!$B$11="3.10."),'Kr Mask'!E47,IF(OR(Umse!$B$11="3.3.",Umse!$B$11="3.4.",Umse!$B$11="3.7.",Umse!$B$11="3.8.",Umse!$B$11="3.11.",Umse!$B$11="3.12."),'VKr-AT Mask'!E47,'B Mask'!E47+'V Mask'!E47+'VKr-AT Mask'!E47+'Kr Mask'!E47+'L Mask'!E47+'AVH Mask'!E47)))))</f>
        <v>8.61</v>
      </c>
      <c r="F47" s="233">
        <f>IF(OR(Umse!$C$24=0,Umse!$B$11=0),"",IF(AND('B Mask'!F47="",'V Mask'!F47="",'VKr-AT Mask'!F47="",'Kr Mask'!F47="",'L Mask'!F47="",'AVH Mask'!F47=""),"",IF(OR('B Mask'!F47="-",'V Mask'!F47="-",'VKr-AT Mask'!F47="-",'Kr Mask'!F47="-",'L Mask'!F47="-",'AVH Mask'!F47="-"),"-",'B Mask'!F47+'V Mask'!F47+'VKr-AT Mask'!F47+'Kr Mask'!F47+'L Mask'!F47+'AVH Mask'!F47)))</f>
        <v>10.76</v>
      </c>
      <c r="G47" s="233">
        <f>IF(OR(Umse!$C$24=0,Umse!$B$11=0),"",IF(AND('B Mask'!G47="",'V Mask'!G47="",'VKr-AT Mask'!G47="",'Kr Mask'!G47="",'L Mask'!G47="",'AVH Mask'!G47=""),"",IF(OR('B Mask'!G47="-",'V Mask'!G47="-",'VKr-AT Mask'!G47="-",'Kr Mask'!G47="-",'L Mask'!G47="-",'AVH Mask'!G47="-"),"-",'B Mask'!G47+'V Mask'!G47+'VKr-AT Mask'!G47+'Kr Mask'!G47+'L Mask'!G47+'AVH Mask'!G47)))</f>
        <v>15.07</v>
      </c>
      <c r="H47" s="233">
        <f>IF(OR(Umse!$C$24=0,Umse!$B$11=0),"",IF(AND('B Mask'!H47="",'V Mask'!H47="",'VKr-AT Mask'!H47="",'Kr Mask'!H47="",'L Mask'!H47="",'AVH Mask'!H47=""),"",IF(OR('B Mask'!H47="-",'V Mask'!H47="-",'VKr-AT Mask'!H47="-",'Kr Mask'!H47="-",'L Mask'!H47="-",'AVH Mask'!H47="-"),"-",'B Mask'!H47+'V Mask'!H47+'VKr-AT Mask'!H47+'Kr Mask'!H47+'L Mask'!H47+'AVH Mask'!H47)))</f>
        <v>58.12</v>
      </c>
      <c r="I47" s="233">
        <f>IF(OR(Umse!$C$24=0,Umse!$B$11=0),"",IF(AND('B Mask'!I47="",'V Mask'!I47="",'VKr-AT Mask'!I47="",'Kr Mask'!I47="",'L Mask'!I47="",'AVH Mask'!I47=""),"",IF(OR('B Mask'!I47="-",'V Mask'!I47="-",'VKr-AT Mask'!I47="-",'Kr Mask'!I47="-",'L Mask'!I47="-",'AVH Mask'!I47="-"),"-",'B Mask'!I47+'V Mask'!I47+'VKr-AT Mask'!I47+'Kr Mask'!I47+'L Mask'!I47+'AVH Mask'!I47)))</f>
        <v>15.07</v>
      </c>
      <c r="J47" s="254" t="str">
        <f>'B Mask'!J47&amp;'V Mask'!J47&amp;'VKr-AT Mask'!J47&amp;'Kr Mask'!J47&amp;'L Mask'!J47&amp;'AVH Mask'!J47</f>
        <v/>
      </c>
      <c r="K47" s="273" t="str">
        <f>IF(OR(Umse!$B$11="3.1.",Umse!$B$11="3.2.",Umse!$B$11="3.5.",Umse!$B$11="3.6.",Umse!$B$11="3.9.",Umse!$B$11="3.10.",Umse!$B$11="3.9.",Umse!$B$11="3.10.",Umse!$B$11="4.1.",Umse!$B$11="4.2.",Umse!$B$11="4.3.",Umse!$B$11="4.4.",Umse!$B$11="4.5.",Umse!$B$11="4.6.",Umse!$B$11="6.1.",Umse!$B$11="6.2.",Umse!$B$11="6.3.",Umse!$B$11="6.4.",Umse!$B$11="6.5.",Umse!$B$11="6.6."),'Kr Mask'!K47,'B Mask'!K47&amp;'V Mask'!K47&amp;'VKr-AT Mask'!K47&amp;'L Mask'!K47&amp;'AVH Mask'!K47)</f>
        <v>EG</v>
      </c>
      <c r="L47" s="274" t="str">
        <f>IF(OR(Umse!$B$11="3.1.",Umse!$B$11="3.2.",Umse!$B$11="3.5.",Umse!$B$11="3.6.",Umse!$B$11="3.9.",Umse!$B$11="3.10.",Umse!$B$11="3.9.",Umse!$B$11="3.10.",Umse!$B$11="4.1.",Umse!$B$11="4.2.",Umse!$B$11="4.3.",Umse!$B$11="4.4.",Umse!$B$11="4.5.",Umse!$B$11="4.6.",Umse!$B$11="6.1.",Umse!$B$11="6.2.",Umse!$B$11="6.3.",Umse!$B$11="6.4.",Umse!$B$11="6.5.",Umse!$B$11="6.6."),'Kr Mask'!L47,'B Mask'!L47&amp;'V Mask'!L47&amp;'VKr-AT Mask'!L47&amp;'L Mask'!L47&amp;'AVH Mask'!L47)</f>
        <v>15Ü</v>
      </c>
      <c r="M47" s="233">
        <f>IF(OR(Umse!$C$24=0,Umse!$B$11=0),"",IF(OR(Umse!$B$11="3.1.",Umse!$B$11="3.2.",Umse!$B$11="3.5.",Umse!$B$11="3.6.",Umse!$B$11="3.9.",Umse!$B$11="3.10.",Umse!$B$11="3.9.",Umse!$B$11="3.10.",Kalk!$B$5=4,Kalk!$B$5=6),'Kr Mask'!M47,IF(Kalk!$B$5=8,'AVH Mask'!M47,IF(AND('B Mask'!M47=0,'V Mask'!M47=0,'VKr-AT Mask'!M47=0,'L Mask'!M47=0),"",IF(OR('B Mask'!M47="-",'V Mask'!M47="-",'VKr-AT Mask'!M47="-",'L Mask'!M47="-",'AVH Mask'!M47="-"),"-",'B Mask'!M47+'V Mask'!M47+'VKr-AT Mask'!M47+'L Mask'!M47+'AVH Mask'!M47)))))</f>
        <v>41.93</v>
      </c>
      <c r="N47" s="233">
        <f>IF(OR(Umse!$C$24=0,Umse!$B$11=0),"",IF(OR(Umse!$B$11="3.1.",Umse!$B$11="3.2.",Umse!$B$11="3.5.",Umse!$B$11="3.6.",Umse!$B$11="3.9.",Umse!$B$11="3.10.",Umse!$B$11="3.9.",Umse!$B$11="3.10.",Kalk!$B$5=4,Kalk!$B$5=6),'Kr Mask'!N47,IF(Kalk!$B$5=8,'AVH Mask'!N47,IF(AND('B Mask'!N47=0,'V Mask'!N47=0,'VKr-AT Mask'!N47=0,'L Mask'!N47=0),"",IF(OR('B Mask'!N47="-",'V Mask'!N47="-",'VKr-AT Mask'!N47="-",'L Mask'!N47="-",'AVH Mask'!N47="-"),"-",'B Mask'!N47+'V Mask'!N47+'VKr-AT Mask'!N47+'L Mask'!N47+'AVH Mask'!N47)))))</f>
        <v>45.82</v>
      </c>
      <c r="O47" s="233">
        <f>IF(OR(Umse!$C$24=0,Umse!$B$11=0),"",IF(OR(Umse!$B$11="3.1.",Umse!$B$11="3.2.",Umse!$B$11="3.5.",Umse!$B$11="3.6.",Umse!$B$11="3.9.",Umse!$B$11="3.10.",Umse!$B$11="3.9.",Umse!$B$11="3.10.",Kalk!$B$5=4,Kalk!$B$5=6),'Kr Mask'!O47,IF(Kalk!$B$5=8,'AVH Mask'!O47,IF(AND('B Mask'!O47=0,'V Mask'!O47=0,'VKr-AT Mask'!O47=0,'L Mask'!O47=0),"",IF(OR('B Mask'!O47="-",'V Mask'!O47="-",'VKr-AT Mask'!O47="-",'L Mask'!O47="-",'AVH Mask'!O47="-"),"-",'B Mask'!O47+'V Mask'!O47+'VKr-AT Mask'!O47+'L Mask'!O47+'AVH Mask'!O47)))))</f>
        <v>49.51</v>
      </c>
      <c r="P47" s="233">
        <f>IF(OR(Umse!$C$24=0,Umse!$B$11=0),"",IF(OR(Umse!$B$11="3.1.",Umse!$B$11="3.2.",Umse!$B$11="3.5.",Umse!$B$11="3.6.",Umse!$B$11="3.9.",Umse!$B$11="3.10.",Umse!$B$11="3.9.",Umse!$B$11="3.10.",Kalk!$B$5=4,Kalk!$B$5=6),'Kr Mask'!P47,IF(Kalk!$B$5=8,'AVH Mask'!P47,IF(AND('B Mask'!P47=0,'V Mask'!P47=0,'VKr-AT Mask'!P47=0,'L Mask'!P47=0),"",IF(OR('B Mask'!P47="-",'V Mask'!P47="-",'VKr-AT Mask'!P47="-",'L Mask'!P47="-",'AVH Mask'!P47="-"),"-",'B Mask'!P47+'V Mask'!P47+'VKr-AT Mask'!P47+'L Mask'!P47+'AVH Mask'!P47)))))</f>
        <v>51.97</v>
      </c>
      <c r="Q47" s="233">
        <f>IF(OR(Umse!$C$24=0,Umse!$B$11=0),"",IF(OR(Umse!$B$11="3.1.",Umse!$B$11="3.2.",Umse!$B$11="3.5.",Umse!$B$11="3.6.",Umse!$B$11="3.9.",Umse!$B$11="3.10.",Umse!$B$11="3.9.",Umse!$B$11="3.10.",Kalk!$B$5=4,Kalk!$B$5=6),'Kr Mask'!Q47,IF(Kalk!$B$5=8,'AVH Mask'!Q47,IF(AND('B Mask'!Q47=0,'V Mask'!Q47=0,'VKr-AT Mask'!Q47=0,'L Mask'!Q47=0),"",IF(OR('B Mask'!Q47="-",'V Mask'!Q47="-",'VKr-AT Mask'!Q47="-",'L Mask'!Q47="-",'AVH Mask'!Q47="-"),"-",'B Mask'!Q47+'V Mask'!Q47+'VKr-AT Mask'!Q47+'L Mask'!Q47+'AVH Mask'!Q47)))))</f>
        <v>51.97</v>
      </c>
      <c r="R47" s="233" t="str">
        <f>IF(OR(Umse!$C$24=0,Umse!$B$11=0),"",IF(OR(Umse!$B$11="3.1.",Umse!$B$11="3.2.",Umse!$B$11="3.5.",Umse!$B$11="3.6.",Umse!$B$11="3.9.",Umse!$B$11="3.10.",Umse!$B$11="3.9.",Umse!$B$11="3.10.",Kalk!$B$5=4,Kalk!$B$5=6),'Kr Mask'!R47,IF(Kalk!$B$5=8,'AVH Mask'!R47,IF(AND('B Mask'!R47=0,'V Mask'!R47=0,'VKr-AT Mask'!R47=0,'L Mask'!R47=0),"",IF(OR('B Mask'!R47="-",'V Mask'!R47="-",'VKr-AT Mask'!R47="-",'L Mask'!R47="-",'AVH Mask'!R47="-"),"-",'B Mask'!R47+'V Mask'!R47+'VKr-AT Mask'!R47+'L Mask'!R47+'AVH Mask'!R47)))))</f>
        <v>-</v>
      </c>
    </row>
    <row r="48" spans="2:21" ht="10.5" customHeight="1">
      <c r="B48" s="275" t="str">
        <f>'B Mask'!B48&amp;'V Mask'!B48&amp;'VKr-AT Mask'!B48&amp;'Kr Mask'!B48&amp;'L Mask'!B48&amp;'AVH Mask'!B48</f>
        <v>EG</v>
      </c>
      <c r="C48" s="276" t="str">
        <f>'B Mask'!C48&amp;'V Mask'!C48&amp;'VKr-AT Mask'!C48&amp;'Kr Mask'!C48&amp;'L Mask'!C48&amp;'AVH Mask'!C48</f>
        <v>15</v>
      </c>
      <c r="D48" s="234">
        <f>IF(OR(Umse!$C$24=0,Umse!$B$11=0),"",IF(AND('B Mask'!D48="",'V Mask'!D48="",'VKr-AT Mask'!D48="",'Kr Mask'!D48="",'L Mask'!D48="",'AVH Mask'!D48=""),"",IF(OR('B Mask'!D48="-",'V Mask'!D48="-",'VKr-AT Mask'!D48="-",'Kr Mask'!D48="-",'L Mask'!D48="-",'AVH Mask'!D48="-"),"-",'B Mask'!D48+'V Mask'!D48+'VKr-AT Mask'!D48+'Kr Mask'!D48+'L Mask'!D48+'AVH Mask'!D48)))</f>
        <v>4.99</v>
      </c>
      <c r="E48" s="234">
        <f>IF(OR(Umse!$C$24=0,Umse!$B$11=0),"",IF(AND('B Mask'!E48="",'V Mask'!E48="",'VKr-AT Mask'!E48="",'Kr Mask'!E48="",'L Mask'!E48="",'AVH Mask'!E48=""),"",IF(OR('B Mask'!E48="-",'V Mask'!E48="-",'VKr-AT Mask'!E48="-",'Kr Mask'!E48="-",'L Mask'!E48="-",'AVH Mask'!E48="-"),"-",IF(OR(Umse!$B$11="3.1.",Umse!$B$11="3.2.",Umse!$B$11="3.5.",Umse!$B$11="3.6.",Umse!$B$11="3.9.",Umse!$B$11="3.10."),'Kr Mask'!E48,IF(OR(Umse!$B$11="3.3.",Umse!$B$11="3.4.",Umse!$B$11="3.7.",Umse!$B$11="3.8.",Umse!$B$11="3.11.",Umse!$B$11="3.12."),'VKr-AT Mask'!E48,'B Mask'!E48+'V Mask'!E48+'VKr-AT Mask'!E48+'Kr Mask'!E48+'L Mask'!E48+'AVH Mask'!E48)))))</f>
        <v>6.65</v>
      </c>
      <c r="F48" s="234">
        <f>IF(OR(Umse!$C$24=0,Umse!$B$11=0),"",IF(AND('B Mask'!F48="",'V Mask'!F48="",'VKr-AT Mask'!F48="",'Kr Mask'!F48="",'L Mask'!F48="",'AVH Mask'!F48=""),"",IF(OR('B Mask'!F48="-",'V Mask'!F48="-",'VKr-AT Mask'!F48="-",'Kr Mask'!F48="-",'L Mask'!F48="-",'AVH Mask'!F48="-"),"-",'B Mask'!F48+'V Mask'!F48+'VKr-AT Mask'!F48+'Kr Mask'!F48+'L Mask'!F48+'AVH Mask'!F48)))</f>
        <v>8.31</v>
      </c>
      <c r="G48" s="234">
        <f>IF(OR(Umse!$C$24=0,Umse!$B$11=0),"",IF(AND('B Mask'!G48="",'V Mask'!G48="",'VKr-AT Mask'!G48="",'Kr Mask'!G48="",'L Mask'!G48="",'AVH Mask'!G48=""),"",IF(OR('B Mask'!G48="-",'V Mask'!G48="-",'VKr-AT Mask'!G48="-",'Kr Mask'!G48="-",'L Mask'!G48="-",'AVH Mask'!G48="-"),"-",'B Mask'!G48+'V Mask'!G48+'VKr-AT Mask'!G48+'Kr Mask'!G48+'L Mask'!G48+'AVH Mask'!G48)))</f>
        <v>11.63</v>
      </c>
      <c r="H48" s="234">
        <f>IF(OR(Umse!$C$24=0,Umse!$B$11=0),"",IF(AND('B Mask'!H48="",'V Mask'!H48="",'VKr-AT Mask'!H48="",'Kr Mask'!H48="",'L Mask'!H48="",'AVH Mask'!H48=""),"",IF(OR('B Mask'!H48="-",'V Mask'!H48="-",'VKr-AT Mask'!H48="-",'Kr Mask'!H48="-",'L Mask'!H48="-",'AVH Mask'!H48="-"),"-",'B Mask'!H48+'V Mask'!H48+'VKr-AT Mask'!H48+'Kr Mask'!H48+'L Mask'!H48+'AVH Mask'!H48)))</f>
        <v>44.87</v>
      </c>
      <c r="I48" s="234">
        <f>IF(OR(Umse!$C$24=0,Umse!$B$11=0),"",IF(AND('B Mask'!I48="",'V Mask'!I48="",'VKr-AT Mask'!I48="",'Kr Mask'!I48="",'L Mask'!I48="",'AVH Mask'!I48=""),"",IF(OR('B Mask'!I48="-",'V Mask'!I48="-",'VKr-AT Mask'!I48="-",'Kr Mask'!I48="-",'L Mask'!I48="-",'AVH Mask'!I48="-"),"-",'B Mask'!I48+'V Mask'!I48+'VKr-AT Mask'!I48+'Kr Mask'!I48+'L Mask'!I48+'AVH Mask'!I48)))</f>
        <v>11.63</v>
      </c>
      <c r="J48" s="254" t="str">
        <f>'B Mask'!J48&amp;'V Mask'!J48&amp;'VKr-AT Mask'!J48&amp;'VKr Mask'!J48&amp;'L Mask'!J48&amp;'AVH Mask'!J48</f>
        <v/>
      </c>
      <c r="K48" s="275" t="str">
        <f>IF(OR(Umse!$B$11="3.1.",Umse!$B$11="3.2.",Umse!$B$11="3.5.",Umse!$B$11="3.6.",Umse!$B$11="3.9.",Umse!$B$11="3.10.",Umse!$B$11="4.1.",Umse!$B$11="4.2.",Umse!$B$11="4.3.",Umse!$B$11="4.4.",Umse!$B$11="4.5.",Umse!$B$11="4.6.",Umse!$B$11="6.1.",Umse!$B$11="6.2.",Umse!$B$11="6.3.",Umse!$B$11="6.4.",Umse!$B$11="6.5.",Umse!$B$11="6.6."),'Kr Mask'!K48,'B Mask'!K48&amp;'V Mask'!K48&amp;'VKr-AT Mask'!K48&amp;'L Mask'!K48&amp;'AVH Mask'!K48)</f>
        <v>EG</v>
      </c>
      <c r="L48" s="276" t="str">
        <f>IF(OR(Umse!$B$11="3.1.",Umse!$B$11="3.2.",Umse!$B$11="3.5.",Umse!$B$11="3.6.",Umse!$B$11="3.9.",Umse!$B$11="3.10.",Umse!$B$11="4.1.",Umse!$B$11="4.2.",Umse!$B$11="4.3.",Umse!$B$11="4.4.",Umse!$B$11="4.5.",Umse!$B$11="4.6.",Umse!$B$11="6.1.",Umse!$B$11="6.2.",Umse!$B$11="6.3.",Umse!$B$11="6.4.",Umse!$B$11="6.5.",Umse!$B$11="6.6."),'Kr Mask'!L48,'B Mask'!L48&amp;'V Mask'!L48&amp;'VKr-AT Mask'!L48&amp;'L Mask'!L48&amp;'AVH Mask'!L48)</f>
        <v>15</v>
      </c>
      <c r="M48" s="234">
        <f>IF(OR(Umse!$C$24=0,Umse!$B$11=0),"",IF(OR(Umse!$B$11="3.1.",Umse!$B$11="3.2.",Umse!$B$11="3.5.",Umse!$B$11="3.6.",Umse!$B$11="3.9.",Umse!$B$11="3.10.",Umse!$B$11="3.9.",Umse!$B$11="3.10.",Kalk!$B$5=4,Kalk!$B$5=6),'Kr Mask'!M48,IF(Kalk!$B$5=8,'AVH Mask'!M48,IF(AND('B Mask'!M48=0,'V Mask'!M48=0,'VKr-AT Mask'!M48=0,'L Mask'!M48=0),"",IF(OR('B Mask'!M48="-",'V Mask'!M48="-",'VKr-AT Mask'!M48="-",'L Mask'!M48="-",'AVH Mask'!M48="-"),"-",'B Mask'!M48+'V Mask'!M48+'VKr-AT Mask'!M48+'L Mask'!M48+'AVH Mask'!M48)))))</f>
        <v>34.049999999999997</v>
      </c>
      <c r="N48" s="234">
        <f>IF(OR(Umse!$C$24=0,Umse!$B$11=0),"",IF(OR(Umse!$B$11="3.1.",Umse!$B$11="3.2.",Umse!$B$11="3.5.",Umse!$B$11="3.6.",Umse!$B$11="3.9.",Umse!$B$11="3.10.",Umse!$B$11="3.9.",Umse!$B$11="3.10.",Kalk!$B$5=4,Kalk!$B$5=6),'Kr Mask'!N48,IF(Kalk!$B$5=8,'AVH Mask'!N48,IF(AND('B Mask'!N48=0,'V Mask'!N48=0,'VKr-AT Mask'!N48=0,'L Mask'!N48=0),"",IF(OR('B Mask'!N48="-",'V Mask'!N48="-",'VKr-AT Mask'!N48="-",'L Mask'!N48="-",'AVH Mask'!N48="-"),"-",'B Mask'!N48+'V Mask'!N48+'VKr-AT Mask'!N48+'L Mask'!N48+'AVH Mask'!N48)))))</f>
        <v>36.03</v>
      </c>
      <c r="O48" s="234">
        <f>IF(OR(Umse!$C$24=0,Umse!$B$11=0),"",IF(OR(Umse!$B$11="3.1.",Umse!$B$11="3.2.",Umse!$B$11="3.5.",Umse!$B$11="3.6.",Umse!$B$11="3.9.",Umse!$B$11="3.10.",Umse!$B$11="3.9.",Umse!$B$11="3.10.",Kalk!$B$5=4,Kalk!$B$5=6),'Kr Mask'!O48,IF(Kalk!$B$5=8,'AVH Mask'!O48,IF(AND('B Mask'!O48=0,'V Mask'!O48=0,'VKr-AT Mask'!O48=0,'L Mask'!O48=0),"",IF(OR('B Mask'!O48="-",'V Mask'!O48="-",'VKr-AT Mask'!O48="-",'L Mask'!O48="-",'AVH Mask'!O48="-"),"-",'B Mask'!O48+'V Mask'!O48+'VKr-AT Mask'!O48+'L Mask'!O48+'AVH Mask'!O48)))))</f>
        <v>38.230000000000004</v>
      </c>
      <c r="P48" s="234">
        <f>IF(OR(Umse!$C$24=0,Umse!$B$11=0),"",IF(OR(Umse!$B$11="3.1.",Umse!$B$11="3.2.",Umse!$B$11="3.5.",Umse!$B$11="3.6.",Umse!$B$11="3.9.",Umse!$B$11="3.10.",Umse!$B$11="3.9.",Umse!$B$11="3.10.",Kalk!$B$5=4,Kalk!$B$5=6),'Kr Mask'!P48,IF(Kalk!$B$5=8,'AVH Mask'!P48,IF(AND('B Mask'!P48=0,'V Mask'!P48=0,'VKr-AT Mask'!P48=0,'L Mask'!P48=0),"",IF(OR('B Mask'!P48="-",'V Mask'!P48="-",'VKr-AT Mask'!P48="-",'L Mask'!P48="-",'AVH Mask'!P48="-"),"-",'B Mask'!P48+'V Mask'!P48+'VKr-AT Mask'!P48+'L Mask'!P48+'AVH Mask'!P48)))))</f>
        <v>41.24</v>
      </c>
      <c r="Q48" s="234">
        <f>IF(OR(Umse!$C$24=0,Umse!$B$11=0),"",IF(OR(Umse!$B$11="3.1.",Umse!$B$11="3.2.",Umse!$B$11="3.5.",Umse!$B$11="3.6.",Umse!$B$11="3.9.",Umse!$B$11="3.10.",Umse!$B$11="3.9.",Umse!$B$11="3.10.",Kalk!$B$5=4,Kalk!$B$5=6),'Kr Mask'!Q48,IF(Kalk!$B$5=8,'AVH Mask'!Q48,IF(AND('B Mask'!Q48=0,'V Mask'!Q48=0,'VKr-AT Mask'!Q48=0,'L Mask'!Q48=0),"",IF(OR('B Mask'!Q48="-",'V Mask'!Q48="-",'VKr-AT Mask'!Q48="-",'L Mask'!Q48="-",'AVH Mask'!Q48="-"),"-",'B Mask'!Q48+'V Mask'!Q48+'VKr-AT Mask'!Q48+'L Mask'!Q48+'AVH Mask'!Q48)))))</f>
        <v>41.24</v>
      </c>
      <c r="R48" s="234">
        <f>IF(OR(Umse!$C$24=0,Umse!$B$11=0),"",IF(OR(Umse!$B$11="3.1.",Umse!$B$11="3.2.",Umse!$B$11="3.5.",Umse!$B$11="3.6.",Umse!$B$11="3.9.",Umse!$B$11="3.10.",Umse!$B$11="3.9.",Umse!$B$11="3.10.",Kalk!$B$5=4,Kalk!$B$5=6),'Kr Mask'!R48,IF(Kalk!$B$5=8,'AVH Mask'!R48,IF(AND('B Mask'!R48=0,'V Mask'!R48=0,'VKr-AT Mask'!R48=0,'L Mask'!R48=0),"",IF(OR('B Mask'!R48="-",'V Mask'!R48="-",'VKr-AT Mask'!R48="-",'L Mask'!R48="-",'AVH Mask'!R48="-"),"-",'B Mask'!R48+'V Mask'!R48+'VKr-AT Mask'!R48+'L Mask'!R48+'AVH Mask'!R48)))))</f>
        <v>41.24</v>
      </c>
    </row>
    <row r="49" spans="2:18" ht="10.5" customHeight="1">
      <c r="B49" s="273" t="str">
        <f>'B Mask'!B49&amp;'V Mask'!B49&amp;'VKr-AT Mask'!B49&amp;'Kr Mask'!B49&amp;'L Mask'!B49&amp;'AVH Mask'!B49</f>
        <v>EG</v>
      </c>
      <c r="C49" s="274" t="str">
        <f>'B Mask'!C49&amp;'V Mask'!C49&amp;'VKr-AT Mask'!C49&amp;'Kr Mask'!C49&amp;'L Mask'!C49&amp;'AVH Mask'!C49</f>
        <v>14</v>
      </c>
      <c r="D49" s="233">
        <f>IF(OR(Umse!$C$24=0,Umse!$B$11=0),"",IF(AND('B Mask'!D49="",'V Mask'!D49="",'VKr-AT Mask'!D49="",'Kr Mask'!D49="",'L Mask'!D49="",'AVH Mask'!D49=""),"",IF(OR('B Mask'!D49="-",'V Mask'!D49="-",'VKr-AT Mask'!D49="-",'Kr Mask'!D49="-",'L Mask'!D49="-",'AVH Mask'!D49="-"),"-",'B Mask'!D49+'V Mask'!D49+'VKr-AT Mask'!D49+'Kr Mask'!D49+'L Mask'!D49+'AVH Mask'!D49)))</f>
        <v>4.57</v>
      </c>
      <c r="E49" s="233">
        <f>IF(OR(Umse!$C$24=0,Umse!$B$11=0),"",IF(AND('B Mask'!E49="",'V Mask'!E49="",'VKr-AT Mask'!E49="",'Kr Mask'!E49="",'L Mask'!E49="",'AVH Mask'!E49=""),"",IF(OR('B Mask'!E49="-",'V Mask'!E49="-",'VKr-AT Mask'!E49="-",'Kr Mask'!E49="-",'L Mask'!E49="-",'AVH Mask'!E49="-"),"-",IF(OR(Umse!$B$11="3.1.",Umse!$B$11="3.2.",Umse!$B$11="3.5.",Umse!$B$11="3.6.",Umse!$B$11="3.9.",Umse!$B$11="3.10."),'Kr Mask'!E49,IF(OR(Umse!$B$11="3.3.",Umse!$B$11="3.4.",Umse!$B$11="3.7.",Umse!$B$11="3.8.",Umse!$B$11="3.11.",Umse!$B$11="3.12."),'VKr-AT Mask'!E49,'B Mask'!E49+'V Mask'!E49+'VKr-AT Mask'!E49+'Kr Mask'!E49+'L Mask'!E49+'AVH Mask'!E49)))))</f>
        <v>6.09</v>
      </c>
      <c r="F49" s="233">
        <f>IF(OR(Umse!$C$24=0,Umse!$B$11=0),"",IF(AND('B Mask'!F49="",'V Mask'!F49="",'VKr-AT Mask'!F49="",'Kr Mask'!F49="",'L Mask'!F49="",'AVH Mask'!F49=""),"",IF(OR('B Mask'!F49="-",'V Mask'!F49="-",'VKr-AT Mask'!F49="-",'Kr Mask'!F49="-",'L Mask'!F49="-",'AVH Mask'!F49="-"),"-",'B Mask'!F49+'V Mask'!F49+'VKr-AT Mask'!F49+'Kr Mask'!F49+'L Mask'!F49+'AVH Mask'!F49)))</f>
        <v>7.61</v>
      </c>
      <c r="G49" s="233">
        <f>IF(OR(Umse!$C$24=0,Umse!$B$11=0),"",IF(AND('B Mask'!G49="",'V Mask'!G49="",'VKr-AT Mask'!G49="",'Kr Mask'!G49="",'L Mask'!G49="",'AVH Mask'!G49=""),"",IF(OR('B Mask'!G49="-",'V Mask'!G49="-",'VKr-AT Mask'!G49="-",'Kr Mask'!G49="-",'L Mask'!G49="-",'AVH Mask'!G49="-"),"-",'B Mask'!G49+'V Mask'!G49+'VKr-AT Mask'!G49+'Kr Mask'!G49+'L Mask'!G49+'AVH Mask'!G49)))</f>
        <v>10.65</v>
      </c>
      <c r="H49" s="233">
        <f>IF(OR(Umse!$C$24=0,Umse!$B$11=0),"",IF(AND('B Mask'!H49="",'V Mask'!H49="",'VKr-AT Mask'!H49="",'Kr Mask'!H49="",'L Mask'!H49="",'AVH Mask'!H49=""),"",IF(OR('B Mask'!H49="-",'V Mask'!H49="-",'VKr-AT Mask'!H49="-",'Kr Mask'!H49="-",'L Mask'!H49="-",'AVH Mask'!H49="-"),"-",'B Mask'!H49+'V Mask'!H49+'VKr-AT Mask'!H49+'Kr Mask'!H49+'L Mask'!H49+'AVH Mask'!H49)))</f>
        <v>41.09</v>
      </c>
      <c r="I49" s="233">
        <f>IF(OR(Umse!$C$24=0,Umse!$B$11=0),"",IF(AND('B Mask'!I49="",'V Mask'!I49="",'VKr-AT Mask'!I49="",'Kr Mask'!I49="",'L Mask'!I49="",'AVH Mask'!I49=""),"",IF(OR('B Mask'!I49="-",'V Mask'!I49="-",'VKr-AT Mask'!I49="-",'Kr Mask'!I49="-",'L Mask'!I49="-",'AVH Mask'!I49="-"),"-",'B Mask'!I49+'V Mask'!I49+'VKr-AT Mask'!I49+'Kr Mask'!I49+'L Mask'!I49+'AVH Mask'!I49)))</f>
        <v>10.65</v>
      </c>
      <c r="J49" s="254" t="str">
        <f>'B Mask'!J49&amp;'V Mask'!J49&amp;'VKr-AT Mask'!J49&amp;'VKr Mask'!J49&amp;'L Mask'!J49&amp;'AVH Mask'!J49</f>
        <v/>
      </c>
      <c r="K49" s="273" t="str">
        <f>IF(OR(Umse!$B$11="3.1.",Umse!$B$11="3.2.",Umse!$B$11="3.5.",Umse!$B$11="3.6.",Umse!$B$11="3.9.",Umse!$B$11="3.10.",Umse!$B$11="4.1.",Umse!$B$11="4.2.",Umse!$B$11="4.3.",Umse!$B$11="4.4.",Umse!$B$11="4.5.",Umse!$B$11="4.6.",Umse!$B$11="6.1.",Umse!$B$11="6.2.",Umse!$B$11="6.3.",Umse!$B$11="6.4.",Umse!$B$11="6.5.",Umse!$B$11="6.6."),'Kr Mask'!K49,'B Mask'!K49&amp;'V Mask'!K49&amp;'VKr-AT Mask'!K49&amp;'L Mask'!K49&amp;'AVH Mask'!K49)</f>
        <v>EG</v>
      </c>
      <c r="L49" s="274" t="str">
        <f>IF(OR(Umse!$B$11="3.1.",Umse!$B$11="3.2.",Umse!$B$11="3.5.",Umse!$B$11="3.6.",Umse!$B$11="3.9.",Umse!$B$11="3.10.",Umse!$B$11="4.1.",Umse!$B$11="4.2.",Umse!$B$11="4.3.",Umse!$B$11="4.4.",Umse!$B$11="4.5.",Umse!$B$11="4.6.",Umse!$B$11="6.1.",Umse!$B$11="6.2.",Umse!$B$11="6.3.",Umse!$B$11="6.4.",Umse!$B$11="6.5.",Umse!$B$11="6.6."),'Kr Mask'!L49,'B Mask'!L49&amp;'V Mask'!L49&amp;'VKr-AT Mask'!L49&amp;'L Mask'!L49&amp;'AVH Mask'!L49)</f>
        <v>14</v>
      </c>
      <c r="M49" s="233">
        <f>IF(OR(Umse!$C$24=0,Umse!$B$11=0),"",IF(OR(Umse!$B$11="3.1.",Umse!$B$11="3.2.",Umse!$B$11="3.5.",Umse!$B$11="3.6.",Umse!$B$11="3.9.",Umse!$B$11="3.10.",Umse!$B$11="3.9.",Umse!$B$11="3.10.",Kalk!$B$5=4,Kalk!$B$5=6),'Kr Mask'!M49,IF(Kalk!$B$5=8,'AVH Mask'!M49,IF(AND('B Mask'!M49=0,'V Mask'!M49=0,'VKr-AT Mask'!M49=0,'L Mask'!M49=0),"",IF(OR('B Mask'!M49="-",'V Mask'!M49="-",'VKr-AT Mask'!M49="-",'L Mask'!M49="-",'AVH Mask'!M49="-"),"-",'B Mask'!M49+'V Mask'!M49+'VKr-AT Mask'!M49+'L Mask'!M49+'AVH Mask'!M49)))))</f>
        <v>30.89</v>
      </c>
      <c r="N49" s="233">
        <f>IF(OR(Umse!$C$24=0,Umse!$B$11=0),"",IF(OR(Umse!$B$11="3.1.",Umse!$B$11="3.2.",Umse!$B$11="3.5.",Umse!$B$11="3.6.",Umse!$B$11="3.9.",Umse!$B$11="3.10.",Umse!$B$11="3.9.",Umse!$B$11="3.10.",Kalk!$B$5=4,Kalk!$B$5=6),'Kr Mask'!N49,IF(Kalk!$B$5=8,'AVH Mask'!N49,IF(AND('B Mask'!N49=0,'V Mask'!N49=0,'VKr-AT Mask'!N49=0,'L Mask'!N49=0),"",IF(OR('B Mask'!N49="-",'V Mask'!N49="-",'VKr-AT Mask'!N49="-",'L Mask'!N49="-",'AVH Mask'!N49="-"),"-",'B Mask'!N49+'V Mask'!N49+'VKr-AT Mask'!N49+'L Mask'!N49+'AVH Mask'!N49)))))</f>
        <v>32.68</v>
      </c>
      <c r="O49" s="233">
        <f>IF(OR(Umse!$C$24=0,Umse!$B$11=0),"",IF(OR(Umse!$B$11="3.1.",Umse!$B$11="3.2.",Umse!$B$11="3.5.",Umse!$B$11="3.6.",Umse!$B$11="3.9.",Umse!$B$11="3.10.",Umse!$B$11="3.9.",Umse!$B$11="3.10.",Kalk!$B$5=4,Kalk!$B$5=6),'Kr Mask'!O49,IF(Kalk!$B$5=8,'AVH Mask'!O49,IF(AND('B Mask'!O49=0,'V Mask'!O49=0,'VKr-AT Mask'!O49=0,'L Mask'!O49=0),"",IF(OR('B Mask'!O49="-",'V Mask'!O49="-",'VKr-AT Mask'!O49="-",'L Mask'!O49="-",'AVH Mask'!O49="-"),"-",'B Mask'!O49+'V Mask'!O49+'VKr-AT Mask'!O49+'L Mask'!O49+'AVH Mask'!O49)))))</f>
        <v>35.010000000000005</v>
      </c>
      <c r="P49" s="233">
        <f>IF(OR(Umse!$C$24=0,Umse!$B$11=0),"",IF(OR(Umse!$B$11="3.1.",Umse!$B$11="3.2.",Umse!$B$11="3.5.",Umse!$B$11="3.6.",Umse!$B$11="3.9.",Umse!$B$11="3.10.",Umse!$B$11="3.9.",Umse!$B$11="3.10.",Kalk!$B$5=4,Kalk!$B$5=6),'Kr Mask'!P49,IF(Kalk!$B$5=8,'AVH Mask'!P49,IF(AND('B Mask'!P49=0,'V Mask'!P49=0,'VKr-AT Mask'!P49=0,'L Mask'!P49=0),"",IF(OR('B Mask'!P49="-",'V Mask'!P49="-",'VKr-AT Mask'!P49="-",'L Mask'!P49="-",'AVH Mask'!P49="-"),"-",'B Mask'!P49+'V Mask'!P49+'VKr-AT Mask'!P49+'L Mask'!P49+'AVH Mask'!P49)))))</f>
        <v>37.61</v>
      </c>
      <c r="Q49" s="233">
        <f>IF(OR(Umse!$C$24=0,Umse!$B$11=0),"",IF(OR(Umse!$B$11="3.1.",Umse!$B$11="3.2.",Umse!$B$11="3.5.",Umse!$B$11="3.6.",Umse!$B$11="3.9.",Umse!$B$11="3.10.",Umse!$B$11="3.9.",Umse!$B$11="3.10.",Kalk!$B$5=4,Kalk!$B$5=6),'Kr Mask'!Q49,IF(Kalk!$B$5=8,'AVH Mask'!Q49,IF(AND('B Mask'!Q49=0,'V Mask'!Q49=0,'VKr-AT Mask'!Q49=0,'L Mask'!Q49=0),"",IF(OR('B Mask'!Q49="-",'V Mask'!Q49="-",'VKr-AT Mask'!Q49="-",'L Mask'!Q49="-",'AVH Mask'!Q49="-"),"-",'B Mask'!Q49+'V Mask'!Q49+'VKr-AT Mask'!Q49+'L Mask'!Q49+'AVH Mask'!Q49)))))</f>
        <v>37.61</v>
      </c>
      <c r="R49" s="233">
        <f>IF(OR(Umse!$C$24=0,Umse!$B$11=0),"",IF(OR(Umse!$B$11="3.1.",Umse!$B$11="3.2.",Umse!$B$11="3.5.",Umse!$B$11="3.6.",Umse!$B$11="3.9.",Umse!$B$11="3.10.",Umse!$B$11="3.9.",Umse!$B$11="3.10.",Kalk!$B$5=4,Kalk!$B$5=6),'Kr Mask'!R49,IF(Kalk!$B$5=8,'AVH Mask'!R49,IF(AND('B Mask'!R49=0,'V Mask'!R49=0,'VKr-AT Mask'!R49=0,'L Mask'!R49=0),"",IF(OR('B Mask'!R49="-",'V Mask'!R49="-",'VKr-AT Mask'!R49="-",'L Mask'!R49="-",'AVH Mask'!R49="-"),"-",'B Mask'!R49+'V Mask'!R49+'VKr-AT Mask'!R49+'L Mask'!R49+'AVH Mask'!R49)))))</f>
        <v>37.61</v>
      </c>
    </row>
    <row r="50" spans="2:18" ht="10.5" customHeight="1">
      <c r="B50" s="275" t="str">
        <f>'B Mask'!B50&amp;'V Mask'!B50&amp;'VKr-AT Mask'!B50&amp;'Kr Mask'!B50&amp;'L Mask'!B50&amp;'AVH Mask'!B50</f>
        <v>EG</v>
      </c>
      <c r="C50" s="276" t="str">
        <f>'B Mask'!C50&amp;'V Mask'!C50&amp;'VKr-AT Mask'!C50&amp;'Kr Mask'!C50&amp;'L Mask'!C50&amp;'AVH Mask'!C50</f>
        <v>13</v>
      </c>
      <c r="D50" s="234">
        <f>IF(OR(Umse!$C$24=0,Umse!$B$11=0),"",IF(AND('B Mask'!D50="",'V Mask'!D50="",'VKr-AT Mask'!D50="",'Kr Mask'!D50="",'L Mask'!D50="",'AVH Mask'!D50=""),"",IF(OR('B Mask'!D50="-",'V Mask'!D50="-",'VKr-AT Mask'!D50="-",'Kr Mask'!D50="-",'L Mask'!D50="-",'AVH Mask'!D50="-"),"-",'B Mask'!D50+'V Mask'!D50+'VKr-AT Mask'!D50+'Kr Mask'!D50+'L Mask'!D50+'AVH Mask'!D50)))</f>
        <v>4.2699999999999996</v>
      </c>
      <c r="E50" s="234">
        <f>IF(OR(Umse!$C$24=0,Umse!$B$11=0),"",IF(AND('B Mask'!E50="",'V Mask'!E50="",'VKr-AT Mask'!E50="",'Kr Mask'!E50="",'L Mask'!E50="",'AVH Mask'!E50=""),"",IF(OR('B Mask'!E50="-",'V Mask'!E50="-",'VKr-AT Mask'!E50="-",'Kr Mask'!E50="-",'L Mask'!E50="-",'AVH Mask'!E50="-"),"-",IF(OR(Umse!$B$11="3.1.",Umse!$B$11="3.2.",Umse!$B$11="3.5.",Umse!$B$11="3.6.",Umse!$B$11="3.9.",Umse!$B$11="3.10."),'Kr Mask'!E50,IF(OR(Umse!$B$11="3.3.",Umse!$B$11="3.4.",Umse!$B$11="3.7.",Umse!$B$11="3.8.",Umse!$B$11="3.11.",Umse!$B$11="3.12."),'VKr-AT Mask'!E50,'B Mask'!E50+'V Mask'!E50+'VKr-AT Mask'!E50+'Kr Mask'!E50+'L Mask'!E50+'AVH Mask'!E50)))))</f>
        <v>5.69</v>
      </c>
      <c r="F50" s="234">
        <f>IF(OR(Umse!$C$24=0,Umse!$B$11=0),"",IF(AND('B Mask'!F50="",'V Mask'!F50="",'VKr-AT Mask'!F50="",'Kr Mask'!F50="",'L Mask'!F50="",'AVH Mask'!F50=""),"",IF(OR('B Mask'!F50="-",'V Mask'!F50="-",'VKr-AT Mask'!F50="-",'Kr Mask'!F50="-",'L Mask'!F50="-",'AVH Mask'!F50="-"),"-",'B Mask'!F50+'V Mask'!F50+'VKr-AT Mask'!F50+'Kr Mask'!F50+'L Mask'!F50+'AVH Mask'!F50)))</f>
        <v>7.11</v>
      </c>
      <c r="G50" s="234">
        <f>IF(OR(Umse!$C$24=0,Umse!$B$11=0),"",IF(AND('B Mask'!G50="",'V Mask'!G50="",'VKr-AT Mask'!G50="",'Kr Mask'!G50="",'L Mask'!G50="",'AVH Mask'!G50=""),"",IF(OR('B Mask'!G50="-",'V Mask'!G50="-",'VKr-AT Mask'!G50="-",'Kr Mask'!G50="-",'L Mask'!G50="-",'AVH Mask'!G50="-"),"-",'B Mask'!G50+'V Mask'!G50+'VKr-AT Mask'!G50+'Kr Mask'!G50+'L Mask'!G50+'AVH Mask'!G50)))</f>
        <v>9.9600000000000009</v>
      </c>
      <c r="H50" s="234">
        <f>IF(OR(Umse!$C$24=0,Umse!$B$11=0),"",IF(AND('B Mask'!H50="",'V Mask'!H50="",'VKr-AT Mask'!H50="",'Kr Mask'!H50="",'L Mask'!H50="",'AVH Mask'!H50=""),"",IF(OR('B Mask'!H50="-",'V Mask'!H50="-",'VKr-AT Mask'!H50="-",'Kr Mask'!H50="-",'L Mask'!H50="-",'AVH Mask'!H50="-"),"-",'B Mask'!H50+'V Mask'!H50+'VKr-AT Mask'!H50+'Kr Mask'!H50+'L Mask'!H50+'AVH Mask'!H50)))</f>
        <v>38.409999999999997</v>
      </c>
      <c r="I50" s="234">
        <f>IF(OR(Umse!$C$24=0,Umse!$B$11=0),"",IF(AND('B Mask'!I50="",'V Mask'!I50="",'VKr-AT Mask'!I50="",'Kr Mask'!I50="",'L Mask'!I50="",'AVH Mask'!I50=""),"",IF(OR('B Mask'!I50="-",'V Mask'!I50="-",'VKr-AT Mask'!I50="-",'Kr Mask'!I50="-",'L Mask'!I50="-",'AVH Mask'!I50="-"),"-",'B Mask'!I50+'V Mask'!I50+'VKr-AT Mask'!I50+'Kr Mask'!I50+'L Mask'!I50+'AVH Mask'!I50)))</f>
        <v>9.9600000000000009</v>
      </c>
      <c r="J50" s="254" t="str">
        <f>'B Mask'!J50&amp;'V Mask'!J50&amp;'VKr-AT Mask'!J50&amp;'VKr Mask'!J50&amp;'L Mask'!J50&amp;'AVH Mask'!J50</f>
        <v/>
      </c>
      <c r="K50" s="275" t="str">
        <f>IF(OR(Umse!$B$11="3.1.",Umse!$B$11="3.2.",Umse!$B$11="3.5.",Umse!$B$11="3.6.",Umse!$B$11="3.9.",Umse!$B$11="3.10.",Umse!$B$11="4.1.",Umse!$B$11="4.2.",Umse!$B$11="4.3.",Umse!$B$11="4.4.",Umse!$B$11="4.5.",Umse!$B$11="4.6.",Umse!$B$11="6.1.",Umse!$B$11="6.2.",Umse!$B$11="6.3.",Umse!$B$11="6.4.",Umse!$B$11="6.5.",Umse!$B$11="6.6."),'Kr Mask'!K50,'B Mask'!K50&amp;'V Mask'!K50&amp;'VKr-AT Mask'!K50&amp;'L Mask'!K50&amp;'AVH Mask'!K50)</f>
        <v>EG</v>
      </c>
      <c r="L50" s="276" t="str">
        <f>IF(OR(Umse!$B$11="3.1.",Umse!$B$11="3.2.",Umse!$B$11="3.5.",Umse!$B$11="3.6.",Umse!$B$11="3.9.",Umse!$B$11="3.10.",Umse!$B$11="4.1.",Umse!$B$11="4.2.",Umse!$B$11="4.3.",Umse!$B$11="4.4.",Umse!$B$11="4.5.",Umse!$B$11="4.6.",Umse!$B$11="6.1.",Umse!$B$11="6.2.",Umse!$B$11="6.3.",Umse!$B$11="6.4.",Umse!$B$11="6.5.",Umse!$B$11="6.6."),'Kr Mask'!L50,'B Mask'!L50&amp;'V Mask'!L50&amp;'VKr-AT Mask'!L50&amp;'L Mask'!L50&amp;'AVH Mask'!L50)</f>
        <v>13</v>
      </c>
      <c r="M50" s="234">
        <f>IF(OR(Umse!$C$24=0,Umse!$B$11=0),"",IF(OR(Umse!$B$11="3.1.",Umse!$B$11="3.2.",Umse!$B$11="3.5.",Umse!$B$11="3.6.",Umse!$B$11="3.9.",Umse!$B$11="3.10.",Umse!$B$11="3.9.",Umse!$B$11="3.10.",Kalk!$B$5=4,Kalk!$B$5=6),'Kr Mask'!M50,IF(Kalk!$B$5=8,'AVH Mask'!M50,IF(AND('B Mask'!M50=0,'V Mask'!M50=0,'VKr-AT Mask'!M50=0,'L Mask'!M50=0),"",IF(OR('B Mask'!M50="-",'V Mask'!M50="-",'VKr-AT Mask'!M50="-",'L Mask'!M50="-",'AVH Mask'!M50="-"),"-",'B Mask'!M50+'V Mask'!M50+'VKr-AT Mask'!M50+'L Mask'!M50+'AVH Mask'!M50)))))</f>
        <v>28.53</v>
      </c>
      <c r="N50" s="234">
        <f>IF(OR(Umse!$C$24=0,Umse!$B$11=0),"",IF(OR(Umse!$B$11="3.1.",Umse!$B$11="3.2.",Umse!$B$11="3.5.",Umse!$B$11="3.6.",Umse!$B$11="3.9.",Umse!$B$11="3.10.",Umse!$B$11="3.9.",Umse!$B$11="3.10.",Kalk!$B$5=4,Kalk!$B$5=6),'Kr Mask'!N50,IF(Kalk!$B$5=8,'AVH Mask'!N50,IF(AND('B Mask'!N50=0,'V Mask'!N50=0,'VKr-AT Mask'!N50=0,'L Mask'!N50=0),"",IF(OR('B Mask'!N50="-",'V Mask'!N50="-",'VKr-AT Mask'!N50="-",'L Mask'!N50="-",'AVH Mask'!N50="-"),"-",'B Mask'!N50+'V Mask'!N50+'VKr-AT Mask'!N50+'L Mask'!N50+'AVH Mask'!N50)))))</f>
        <v>30.49</v>
      </c>
      <c r="O50" s="234">
        <f>IF(OR(Umse!$C$24=0,Umse!$B$11=0),"",IF(OR(Umse!$B$11="3.1.",Umse!$B$11="3.2.",Umse!$B$11="3.5.",Umse!$B$11="3.6.",Umse!$B$11="3.9.",Umse!$B$11="3.10.",Umse!$B$11="3.9.",Umse!$B$11="3.10.",Kalk!$B$5=4,Kalk!$B$5=6),'Kr Mask'!O50,IF(Kalk!$B$5=8,'AVH Mask'!O50,IF(AND('B Mask'!O50=0,'V Mask'!O50=0,'VKr-AT Mask'!O50=0,'L Mask'!O50=0),"",IF(OR('B Mask'!O50="-",'V Mask'!O50="-",'VKr-AT Mask'!O50="-",'L Mask'!O50="-",'AVH Mask'!O50="-"),"-",'B Mask'!O50+'V Mask'!O50+'VKr-AT Mask'!O50+'L Mask'!O50+'AVH Mask'!O50)))))</f>
        <v>32.72</v>
      </c>
      <c r="P50" s="234">
        <f>IF(OR(Umse!$C$24=0,Umse!$B$11=0),"",IF(OR(Umse!$B$11="3.1.",Umse!$B$11="3.2.",Umse!$B$11="3.5.",Umse!$B$11="3.6.",Umse!$B$11="3.9.",Umse!$B$11="3.10.",Umse!$B$11="3.9.",Umse!$B$11="3.10.",Kalk!$B$5=4,Kalk!$B$5=6),'Kr Mask'!P50,IF(Kalk!$B$5=8,'AVH Mask'!P50,IF(AND('B Mask'!P50=0,'V Mask'!P50=0,'VKr-AT Mask'!P50=0,'L Mask'!P50=0),"",IF(OR('B Mask'!P50="-",'V Mask'!P50="-",'VKr-AT Mask'!P50="-",'L Mask'!P50="-",'AVH Mask'!P50="-"),"-",'B Mask'!P50+'V Mask'!P50+'VKr-AT Mask'!P50+'L Mask'!P50+'AVH Mask'!P50)))))</f>
        <v>35.15</v>
      </c>
      <c r="Q50" s="234">
        <f>IF(OR(Umse!$C$24=0,Umse!$B$11=0),"",IF(OR(Umse!$B$11="3.1.",Umse!$B$11="3.2.",Umse!$B$11="3.5.",Umse!$B$11="3.6.",Umse!$B$11="3.9.",Umse!$B$11="3.10.",Umse!$B$11="3.9.",Umse!$B$11="3.10.",Kalk!$B$5=4,Kalk!$B$5=6),'Kr Mask'!Q50,IF(Kalk!$B$5=8,'AVH Mask'!Q50,IF(AND('B Mask'!Q50=0,'V Mask'!Q50=0,'VKr-AT Mask'!Q50=0,'L Mask'!Q50=0),"",IF(OR('B Mask'!Q50="-",'V Mask'!Q50="-",'VKr-AT Mask'!Q50="-",'L Mask'!Q50="-",'AVH Mask'!Q50="-"),"-",'B Mask'!Q50+'V Mask'!Q50+'VKr-AT Mask'!Q50+'L Mask'!Q50+'AVH Mask'!Q50)))))</f>
        <v>35.15</v>
      </c>
      <c r="R50" s="234">
        <f>IF(OR(Umse!$C$24=0,Umse!$B$11=0),"",IF(OR(Umse!$B$11="3.1.",Umse!$B$11="3.2.",Umse!$B$11="3.5.",Umse!$B$11="3.6.",Umse!$B$11="3.9.",Umse!$B$11="3.10.",Umse!$B$11="3.9.",Umse!$B$11="3.10.",Kalk!$B$5=4,Kalk!$B$5=6),'Kr Mask'!R50,IF(Kalk!$B$5=8,'AVH Mask'!R50,IF(AND('B Mask'!R50=0,'V Mask'!R50=0,'VKr-AT Mask'!R50=0,'L Mask'!R50=0),"",IF(OR('B Mask'!R50="-",'V Mask'!R50="-",'VKr-AT Mask'!R50="-",'L Mask'!R50="-",'AVH Mask'!R50="-"),"-",'B Mask'!R50+'V Mask'!R50+'VKr-AT Mask'!R50+'L Mask'!R50+'AVH Mask'!R50)))))</f>
        <v>35.15</v>
      </c>
    </row>
    <row r="51" spans="2:18" ht="10.5" customHeight="1">
      <c r="B51" s="273" t="str">
        <f>'B Mask'!B51&amp;'V Mask'!B51&amp;'VKr-AT Mask'!B51&amp;'Kr Mask'!B51&amp;'L Mask'!B51&amp;'AVH Mask'!B51</f>
        <v>EG</v>
      </c>
      <c r="C51" s="274" t="str">
        <f>'B Mask'!C51&amp;'V Mask'!C51&amp;'VKr-AT Mask'!C51&amp;'Kr Mask'!C51&amp;'L Mask'!C51&amp;'AVH Mask'!C51</f>
        <v>12</v>
      </c>
      <c r="D51" s="233">
        <f>IF(OR(Umse!$C$24=0,Umse!$B$11=0),"",IF(AND('B Mask'!D51="",'V Mask'!D51="",'VKr-AT Mask'!D51="",'Kr Mask'!D51="",'L Mask'!D51="",'AVH Mask'!D51=""),"",IF(OR('B Mask'!D51="-",'V Mask'!D51="-",'VKr-AT Mask'!D51="-",'Kr Mask'!D51="-",'L Mask'!D51="-",'AVH Mask'!D51="-"),"-",'B Mask'!D51+'V Mask'!D51+'VKr-AT Mask'!D51+'Kr Mask'!D51+'L Mask'!D51+'AVH Mask'!D51)))</f>
        <v>3.99</v>
      </c>
      <c r="E51" s="233">
        <f>IF(OR(Umse!$C$24=0,Umse!$B$11=0),"",IF(AND('B Mask'!E51="",'V Mask'!E51="",'VKr-AT Mask'!E51="",'Kr Mask'!E51="",'L Mask'!E51="",'AVH Mask'!E51=""),"",IF(OR('B Mask'!E51="-",'V Mask'!E51="-",'VKr-AT Mask'!E51="-",'Kr Mask'!E51="-",'L Mask'!E51="-",'AVH Mask'!E51="-"),"-",IF(OR(Umse!$B$11="3.1.",Umse!$B$11="3.2.",Umse!$B$11="3.5.",Umse!$B$11="3.6.",Umse!$B$11="3.9.",Umse!$B$11="3.10."),'Kr Mask'!E51,IF(OR(Umse!$B$11="3.3.",Umse!$B$11="3.4.",Umse!$B$11="3.7.",Umse!$B$11="3.8.",Umse!$B$11="3.11.",Umse!$B$11="3.12."),'VKr-AT Mask'!E51,'B Mask'!E51+'V Mask'!E51+'VKr-AT Mask'!E51+'Kr Mask'!E51+'L Mask'!E51+'AVH Mask'!E51)))))</f>
        <v>5.33</v>
      </c>
      <c r="F51" s="233">
        <f>IF(OR(Umse!$C$24=0,Umse!$B$11=0),"",IF(AND('B Mask'!F51="",'V Mask'!F51="",'VKr-AT Mask'!F51="",'Kr Mask'!F51="",'L Mask'!F51="",'AVH Mask'!F51=""),"",IF(OR('B Mask'!F51="-",'V Mask'!F51="-",'VKr-AT Mask'!F51="-",'Kr Mask'!F51="-",'L Mask'!F51="-",'AVH Mask'!F51="-"),"-",'B Mask'!F51+'V Mask'!F51+'VKr-AT Mask'!F51+'Kr Mask'!F51+'L Mask'!F51+'AVH Mask'!F51)))</f>
        <v>6.66</v>
      </c>
      <c r="G51" s="233">
        <f>IF(OR(Umse!$C$24=0,Umse!$B$11=0),"",IF(AND('B Mask'!G51="",'V Mask'!G51="",'VKr-AT Mask'!G51="",'Kr Mask'!G51="",'L Mask'!G51="",'AVH Mask'!G51=""),"",IF(OR('B Mask'!G51="-",'V Mask'!G51="-",'VKr-AT Mask'!G51="-",'Kr Mask'!G51="-",'L Mask'!G51="-",'AVH Mask'!G51="-"),"-",'B Mask'!G51+'V Mask'!G51+'VKr-AT Mask'!G51+'Kr Mask'!G51+'L Mask'!G51+'AVH Mask'!G51)))</f>
        <v>9.32</v>
      </c>
      <c r="H51" s="233">
        <f>IF(OR(Umse!$C$24=0,Umse!$B$11=0),"",IF(AND('B Mask'!H51="",'V Mask'!H51="",'VKr-AT Mask'!H51="",'Kr Mask'!H51="",'L Mask'!H51="",'AVH Mask'!H51=""),"",IF(OR('B Mask'!H51="-",'V Mask'!H51="-",'VKr-AT Mask'!H51="-",'Kr Mask'!H51="-",'L Mask'!H51="-",'AVH Mask'!H51="-"),"-",'B Mask'!H51+'V Mask'!H51+'VKr-AT Mask'!H51+'Kr Mask'!H51+'L Mask'!H51+'AVH Mask'!H51)))</f>
        <v>35.950000000000003</v>
      </c>
      <c r="I51" s="233">
        <f>IF(OR(Umse!$C$24=0,Umse!$B$11=0),"",IF(AND('B Mask'!I51="",'V Mask'!I51="",'VKr-AT Mask'!I51="",'Kr Mask'!I51="",'L Mask'!I51="",'AVH Mask'!I51=""),"",IF(OR('B Mask'!I51="-",'V Mask'!I51="-",'VKr-AT Mask'!I51="-",'Kr Mask'!I51="-",'L Mask'!I51="-",'AVH Mask'!I51="-"),"-",'B Mask'!I51+'V Mask'!I51+'VKr-AT Mask'!I51+'Kr Mask'!I51+'L Mask'!I51+'AVH Mask'!I51)))</f>
        <v>9.32</v>
      </c>
      <c r="J51" s="254" t="str">
        <f>'B Mask'!J51&amp;'V Mask'!J51&amp;'VKr-AT Mask'!J51&amp;'VKr Mask'!J51&amp;'L Mask'!J51&amp;'AVH Mask'!J51</f>
        <v/>
      </c>
      <c r="K51" s="273" t="str">
        <f>IF(OR(Umse!$B$11="3.1.",Umse!$B$11="3.2.",Umse!$B$11="3.5.",Umse!$B$11="3.6.",Umse!$B$11="3.9.",Umse!$B$11="3.10.",Umse!$B$11="4.1.",Umse!$B$11="4.2.",Umse!$B$11="4.3.",Umse!$B$11="4.4.",Umse!$B$11="4.5.",Umse!$B$11="4.6.",Umse!$B$11="6.1.",Umse!$B$11="6.2.",Umse!$B$11="6.3.",Umse!$B$11="6.4.",Umse!$B$11="6.5.",Umse!$B$11="6.6."),'Kr Mask'!K51,'B Mask'!K51&amp;'V Mask'!K51&amp;'VKr-AT Mask'!K51&amp;'L Mask'!K51&amp;'AVH Mask'!K51)</f>
        <v>EG</v>
      </c>
      <c r="L51" s="274" t="str">
        <f>IF(OR(Umse!$B$11="3.1.",Umse!$B$11="3.2.",Umse!$B$11="3.5.",Umse!$B$11="3.6.",Umse!$B$11="3.9.",Umse!$B$11="3.10.",Umse!$B$11="4.1.",Umse!$B$11="4.2.",Umse!$B$11="4.3.",Umse!$B$11="4.4.",Umse!$B$11="4.5.",Umse!$B$11="4.6.",Umse!$B$11="6.1.",Umse!$B$11="6.2.",Umse!$B$11="6.3.",Umse!$B$11="6.4.",Umse!$B$11="6.5.",Umse!$B$11="6.6."),'Kr Mask'!L51,'B Mask'!L51&amp;'V Mask'!L51&amp;'VKr-AT Mask'!L51&amp;'L Mask'!L51&amp;'AVH Mask'!L51)</f>
        <v>12</v>
      </c>
      <c r="M51" s="233">
        <f>IF(OR(Umse!$C$24=0,Umse!$B$11=0),"",IF(OR(Umse!$B$11="3.1.",Umse!$B$11="3.2.",Umse!$B$11="3.5.",Umse!$B$11="3.6.",Umse!$B$11="3.9.",Umse!$B$11="3.10.",Umse!$B$11="3.9.",Umse!$B$11="3.10.",Kalk!$B$5=4,Kalk!$B$5=6),'Kr Mask'!M51,IF(Kalk!$B$5=8,'AVH Mask'!M51,IF(AND('B Mask'!M51=0,'V Mask'!M51=0,'VKr-AT Mask'!M51=0,'L Mask'!M51=0),"",IF(OR('B Mask'!M51="-",'V Mask'!M51="-",'VKr-AT Mask'!M51="-",'L Mask'!M51="-",'AVH Mask'!M51="-"),"-",'B Mask'!M51+'V Mask'!M51+'VKr-AT Mask'!M51+'L Mask'!M51+'AVH Mask'!M51)))))</f>
        <v>25.729999999999997</v>
      </c>
      <c r="N51" s="233">
        <f>IF(OR(Umse!$C$24=0,Umse!$B$11=0),"",IF(OR(Umse!$B$11="3.1.",Umse!$B$11="3.2.",Umse!$B$11="3.5.",Umse!$B$11="3.6.",Umse!$B$11="3.9.",Umse!$B$11="3.10.",Umse!$B$11="3.9.",Umse!$B$11="3.10.",Kalk!$B$5=4,Kalk!$B$5=6),'Kr Mask'!N51,IF(Kalk!$B$5=8,'AVH Mask'!N51,IF(AND('B Mask'!N51=0,'V Mask'!N51=0,'VKr-AT Mask'!N51=0,'L Mask'!N51=0),"",IF(OR('B Mask'!N51="-",'V Mask'!N51="-",'VKr-AT Mask'!N51="-",'L Mask'!N51="-",'AVH Mask'!N51="-"),"-",'B Mask'!N51+'V Mask'!N51+'VKr-AT Mask'!N51+'L Mask'!N51+'AVH Mask'!N51)))))</f>
        <v>27.990000000000002</v>
      </c>
      <c r="O51" s="233">
        <f>IF(OR(Umse!$C$24=0,Umse!$B$11=0),"",IF(OR(Umse!$B$11="3.1.",Umse!$B$11="3.2.",Umse!$B$11="3.5.",Umse!$B$11="3.6.",Umse!$B$11="3.9.",Umse!$B$11="3.10.",Umse!$B$11="3.9.",Umse!$B$11="3.10.",Kalk!$B$5=4,Kalk!$B$5=6),'Kr Mask'!O51,IF(Kalk!$B$5=8,'AVH Mask'!O51,IF(AND('B Mask'!O51=0,'V Mask'!O51=0,'VKr-AT Mask'!O51=0,'L Mask'!O51=0),"",IF(OR('B Mask'!O51="-",'V Mask'!O51="-",'VKr-AT Mask'!O51="-",'L Mask'!O51="-",'AVH Mask'!O51="-"),"-",'B Mask'!O51+'V Mask'!O51+'VKr-AT Mask'!O51+'L Mask'!O51+'AVH Mask'!O51)))))</f>
        <v>30.619999999999997</v>
      </c>
      <c r="P51" s="233">
        <f>IF(OR(Umse!$C$24=0,Umse!$B$11=0),"",IF(OR(Umse!$B$11="3.1.",Umse!$B$11="3.2.",Umse!$B$11="3.5.",Umse!$B$11="3.6.",Umse!$B$11="3.9.",Umse!$B$11="3.10.",Umse!$B$11="3.9.",Umse!$B$11="3.10.",Kalk!$B$5=4,Kalk!$B$5=6),'Kr Mask'!P51,IF(Kalk!$B$5=8,'AVH Mask'!P51,IF(AND('B Mask'!P51=0,'V Mask'!P51=0,'VKr-AT Mask'!P51=0,'L Mask'!P51=0),"",IF(OR('B Mask'!P51="-",'V Mask'!P51="-",'VKr-AT Mask'!P51="-",'L Mask'!P51="-",'AVH Mask'!P51="-"),"-",'B Mask'!P51+'V Mask'!P51+'VKr-AT Mask'!P51+'L Mask'!P51+'AVH Mask'!P51)))))</f>
        <v>33.549999999999997</v>
      </c>
      <c r="Q51" s="233">
        <f>IF(OR(Umse!$C$24=0,Umse!$B$11=0),"",IF(OR(Umse!$B$11="3.1.",Umse!$B$11="3.2.",Umse!$B$11="3.5.",Umse!$B$11="3.6.",Umse!$B$11="3.9.",Umse!$B$11="3.10.",Umse!$B$11="3.9.",Umse!$B$11="3.10.",Kalk!$B$5=4,Kalk!$B$5=6),'Kr Mask'!Q51,IF(Kalk!$B$5=8,'AVH Mask'!Q51,IF(AND('B Mask'!Q51=0,'V Mask'!Q51=0,'VKr-AT Mask'!Q51=0,'L Mask'!Q51=0),"",IF(OR('B Mask'!Q51="-",'V Mask'!Q51="-",'VKr-AT Mask'!Q51="-",'L Mask'!Q51="-",'AVH Mask'!Q51="-"),"-",'B Mask'!Q51+'V Mask'!Q51+'VKr-AT Mask'!Q51+'L Mask'!Q51+'AVH Mask'!Q51)))))</f>
        <v>33.549999999999997</v>
      </c>
      <c r="R51" s="233">
        <f>IF(OR(Umse!$C$24=0,Umse!$B$11=0),"",IF(OR(Umse!$B$11="3.1.",Umse!$B$11="3.2.",Umse!$B$11="3.5.",Umse!$B$11="3.6.",Umse!$B$11="3.9.",Umse!$B$11="3.10.",Umse!$B$11="3.9.",Umse!$B$11="3.10.",Kalk!$B$5=4,Kalk!$B$5=6),'Kr Mask'!R51,IF(Kalk!$B$5=8,'AVH Mask'!R51,IF(AND('B Mask'!R51=0,'V Mask'!R51=0,'VKr-AT Mask'!R51=0,'L Mask'!R51=0),"",IF(OR('B Mask'!R51="-",'V Mask'!R51="-",'VKr-AT Mask'!R51="-",'L Mask'!R51="-",'AVH Mask'!R51="-"),"-",'B Mask'!R51+'V Mask'!R51+'VKr-AT Mask'!R51+'L Mask'!R51+'AVH Mask'!R51)))))</f>
        <v>33.549999999999997</v>
      </c>
    </row>
    <row r="52" spans="2:18" ht="10.5" customHeight="1">
      <c r="B52" s="275" t="str">
        <f>'B Mask'!B52&amp;'V Mask'!B52&amp;'VKr-AT Mask'!B52&amp;'Kr Mask'!B52&amp;'L Mask'!B52&amp;'AVH Mask'!B52</f>
        <v>EG</v>
      </c>
      <c r="C52" s="276" t="str">
        <f>'B Mask'!C52&amp;'V Mask'!C52&amp;'VKr-AT Mask'!C52&amp;'Kr Mask'!C52&amp;'L Mask'!C52&amp;'AVH Mask'!C52</f>
        <v>11</v>
      </c>
      <c r="D52" s="234">
        <f>IF(OR(Umse!$C$24=0,Umse!$B$11=0),"",IF(AND('B Mask'!D52="",'V Mask'!D52="",'VKr-AT Mask'!D52="",'Kr Mask'!D52="",'L Mask'!D52="",'AVH Mask'!D52=""),"",IF(OR('B Mask'!D52="-",'V Mask'!D52="-",'VKr-AT Mask'!D52="-",'Kr Mask'!D52="-",'L Mask'!D52="-",'AVH Mask'!D52="-"),"-",'B Mask'!D52+'V Mask'!D52+'VKr-AT Mask'!D52+'Kr Mask'!D52+'L Mask'!D52+'AVH Mask'!D52)))</f>
        <v>3.75</v>
      </c>
      <c r="E52" s="234">
        <f>IF(OR(Umse!$C$24=0,Umse!$B$11=0),"",IF(AND('B Mask'!E52="",'V Mask'!E52="",'VKr-AT Mask'!E52="",'Kr Mask'!E52="",'L Mask'!E52="",'AVH Mask'!E52=""),"",IF(OR('B Mask'!E52="-",'V Mask'!E52="-",'VKr-AT Mask'!E52="-",'Kr Mask'!E52="-",'L Mask'!E52="-",'AVH Mask'!E52="-"),"-",IF(OR(Umse!$B$11="3.1.",Umse!$B$11="3.2.",Umse!$B$11="3.5.",Umse!$B$11="3.6.",Umse!$B$11="3.9.",Umse!$B$11="3.10."),'Kr Mask'!E52,IF(OR(Umse!$B$11="3.3.",Umse!$B$11="3.4.",Umse!$B$11="3.7.",Umse!$B$11="3.8.",Umse!$B$11="3.11.",Umse!$B$11="3.12."),'VKr-AT Mask'!E52,'B Mask'!E52+'V Mask'!E52+'VKr-AT Mask'!E52+'Kr Mask'!E52+'L Mask'!E52+'AVH Mask'!E52)))))</f>
        <v>5</v>
      </c>
      <c r="F52" s="234">
        <f>IF(OR(Umse!$C$24=0,Umse!$B$11=0),"",IF(AND('B Mask'!F52="",'V Mask'!F52="",'VKr-AT Mask'!F52="",'Kr Mask'!F52="",'L Mask'!F52="",'AVH Mask'!F52=""),"",IF(OR('B Mask'!F52="-",'V Mask'!F52="-",'VKr-AT Mask'!F52="-",'Kr Mask'!F52="-",'L Mask'!F52="-",'AVH Mask'!F52="-"),"-",'B Mask'!F52+'V Mask'!F52+'VKr-AT Mask'!F52+'Kr Mask'!F52+'L Mask'!F52+'AVH Mask'!F52)))</f>
        <v>6.25</v>
      </c>
      <c r="G52" s="234">
        <f>IF(OR(Umse!$C$24=0,Umse!$B$11=0),"",IF(AND('B Mask'!G52="",'V Mask'!G52="",'VKr-AT Mask'!G52="",'Kr Mask'!G52="",'L Mask'!G52="",'AVH Mask'!G52=""),"",IF(OR('B Mask'!G52="-",'V Mask'!G52="-",'VKr-AT Mask'!G52="-",'Kr Mask'!G52="-",'L Mask'!G52="-",'AVH Mask'!G52="-"),"-",'B Mask'!G52+'V Mask'!G52+'VKr-AT Mask'!G52+'Kr Mask'!G52+'L Mask'!G52+'AVH Mask'!G52)))</f>
        <v>8.75</v>
      </c>
      <c r="H52" s="234">
        <f>IF(OR(Umse!$C$24=0,Umse!$B$11=0),"",IF(AND('B Mask'!H52="",'V Mask'!H52="",'VKr-AT Mask'!H52="",'Kr Mask'!H52="",'L Mask'!H52="",'AVH Mask'!H52=""),"",IF(OR('B Mask'!H52="-",'V Mask'!H52="-",'VKr-AT Mask'!H52="-",'Kr Mask'!H52="-",'L Mask'!H52="-",'AVH Mask'!H52="-"),"-",'B Mask'!H52+'V Mask'!H52+'VKr-AT Mask'!H52+'Kr Mask'!H52+'L Mask'!H52+'AVH Mask'!H52)))</f>
        <v>33.76</v>
      </c>
      <c r="I52" s="234">
        <f>IF(OR(Umse!$C$24=0,Umse!$B$11=0),"",IF(AND('B Mask'!I52="",'V Mask'!I52="",'VKr-AT Mask'!I52="",'Kr Mask'!I52="",'L Mask'!I52="",'AVH Mask'!I52=""),"",IF(OR('B Mask'!I52="-",'V Mask'!I52="-",'VKr-AT Mask'!I52="-",'Kr Mask'!I52="-",'L Mask'!I52="-",'AVH Mask'!I52="-"),"-",'B Mask'!I52+'V Mask'!I52+'VKr-AT Mask'!I52+'Kr Mask'!I52+'L Mask'!I52+'AVH Mask'!I52)))</f>
        <v>8.75</v>
      </c>
      <c r="J52" s="254" t="str">
        <f>'B Mask'!J52&amp;'V Mask'!J52&amp;'VKr-AT Mask'!J52&amp;'VKr Mask'!J52&amp;'L Mask'!J52&amp;'AVH Mask'!J52</f>
        <v/>
      </c>
      <c r="K52" s="275" t="str">
        <f>IF(OR(Umse!$B$11="3.1.",Umse!$B$11="3.2.",Umse!$B$11="3.5.",Umse!$B$11="3.6.",Umse!$B$11="3.9.",Umse!$B$11="3.10.",Umse!$B$11="4.1.",Umse!$B$11="4.2.",Umse!$B$11="4.3.",Umse!$B$11="4.4.",Umse!$B$11="4.5.",Umse!$B$11="4.6.",Umse!$B$11="6.1.",Umse!$B$11="6.2.",Umse!$B$11="6.3.",Umse!$B$11="6.4.",Umse!$B$11="6.5.",Umse!$B$11="6.6."),'Kr Mask'!K52,'B Mask'!K52&amp;'V Mask'!K52&amp;'VKr-AT Mask'!K52&amp;'L Mask'!K52&amp;'AVH Mask'!K52)</f>
        <v>EG</v>
      </c>
      <c r="L52" s="276" t="str">
        <f>IF(OR(Umse!$B$11="3.1.",Umse!$B$11="3.2.",Umse!$B$11="3.5.",Umse!$B$11="3.6.",Umse!$B$11="3.9.",Umse!$B$11="3.10.",Umse!$B$11="4.1.",Umse!$B$11="4.2.",Umse!$B$11="4.3.",Umse!$B$11="4.4.",Umse!$B$11="4.5.",Umse!$B$11="4.6.",Umse!$B$11="6.1.",Umse!$B$11="6.2.",Umse!$B$11="6.3.",Umse!$B$11="6.4.",Umse!$B$11="6.5.",Umse!$B$11="6.6."),'Kr Mask'!L52,'B Mask'!L52&amp;'V Mask'!L52&amp;'VKr-AT Mask'!L52&amp;'L Mask'!L52&amp;'AVH Mask'!L52)</f>
        <v>11</v>
      </c>
      <c r="M52" s="234">
        <f>IF(OR(Umse!$C$24=0,Umse!$B$11=0),"",IF(OR(Umse!$B$11="3.1.",Umse!$B$11="3.2.",Umse!$B$11="3.5.",Umse!$B$11="3.6.",Umse!$B$11="3.9.",Umse!$B$11="3.10.",Umse!$B$11="3.9.",Umse!$B$11="3.10.",Kalk!$B$5=4,Kalk!$B$5=6),'Kr Mask'!M52,IF(Kalk!$B$5=8,'AVH Mask'!M52,IF(AND('B Mask'!M52=0,'V Mask'!M52=0,'VKr-AT Mask'!M52=0,'L Mask'!M52=0),"",IF(OR('B Mask'!M52="-",'V Mask'!M52="-",'VKr-AT Mask'!M52="-",'L Mask'!M52="-",'AVH Mask'!M52="-"),"-",'B Mask'!M52+'V Mask'!M52+'VKr-AT Mask'!M52+'L Mask'!M52+'AVH Mask'!M52)))))</f>
        <v>24.73</v>
      </c>
      <c r="N52" s="234">
        <f>IF(OR(Umse!$C$24=0,Umse!$B$11=0),"",IF(OR(Umse!$B$11="3.1.",Umse!$B$11="3.2.",Umse!$B$11="3.5.",Umse!$B$11="3.6.",Umse!$B$11="3.9.",Umse!$B$11="3.10.",Umse!$B$11="3.9.",Umse!$B$11="3.10.",Kalk!$B$5=4,Kalk!$B$5=6),'Kr Mask'!N52,IF(Kalk!$B$5=8,'AVH Mask'!N52,IF(AND('B Mask'!N52=0,'V Mask'!N52=0,'VKr-AT Mask'!N52=0,'L Mask'!N52=0),"",IF(OR('B Mask'!N52="-",'V Mask'!N52="-",'VKr-AT Mask'!N52="-",'L Mask'!N52="-",'AVH Mask'!N52="-"),"-",'B Mask'!N52+'V Mask'!N52+'VKr-AT Mask'!N52+'L Mask'!N52+'AVH Mask'!N52)))))</f>
        <v>26.81</v>
      </c>
      <c r="O52" s="234">
        <f>IF(OR(Umse!$C$24=0,Umse!$B$11=0),"",IF(OR(Umse!$B$11="3.1.",Umse!$B$11="3.2.",Umse!$B$11="3.5.",Umse!$B$11="3.6.",Umse!$B$11="3.9.",Umse!$B$11="3.10.",Umse!$B$11="3.9.",Umse!$B$11="3.10.",Kalk!$B$5=4,Kalk!$B$5=6),'Kr Mask'!O52,IF(Kalk!$B$5=8,'AVH Mask'!O52,IF(AND('B Mask'!O52=0,'V Mask'!O52=0,'VKr-AT Mask'!O52=0,'L Mask'!O52=0),"",IF(OR('B Mask'!O52="-",'V Mask'!O52="-",'VKr-AT Mask'!O52="-",'L Mask'!O52="-",'AVH Mask'!O52="-"),"-",'B Mask'!O52+'V Mask'!O52+'VKr-AT Mask'!O52+'L Mask'!O52+'AVH Mask'!O52)))))</f>
        <v>28.76</v>
      </c>
      <c r="P52" s="234">
        <f>IF(OR(Umse!$C$24=0,Umse!$B$11=0),"",IF(OR(Umse!$B$11="3.1.",Umse!$B$11="3.2.",Umse!$B$11="3.5.",Umse!$B$11="3.6.",Umse!$B$11="3.9.",Umse!$B$11="3.10.",Umse!$B$11="3.9.",Umse!$B$11="3.10.",Kalk!$B$5=4,Kalk!$B$5=6),'Kr Mask'!P52,IF(Kalk!$B$5=8,'AVH Mask'!P52,IF(AND('B Mask'!P52=0,'V Mask'!P52=0,'VKr-AT Mask'!P52=0,'L Mask'!P52=0),"",IF(OR('B Mask'!P52="-",'V Mask'!P52="-",'VKr-AT Mask'!P52="-",'L Mask'!P52="-",'AVH Mask'!P52="-"),"-",'B Mask'!P52+'V Mask'!P52+'VKr-AT Mask'!P52+'L Mask'!P52+'AVH Mask'!P52)))))</f>
        <v>30.88</v>
      </c>
      <c r="Q52" s="234">
        <f>IF(OR(Umse!$C$24=0,Umse!$B$11=0),"",IF(OR(Umse!$B$11="3.1.",Umse!$B$11="3.2.",Umse!$B$11="3.5.",Umse!$B$11="3.6.",Umse!$B$11="3.9.",Umse!$B$11="3.10.",Umse!$B$11="3.9.",Umse!$B$11="3.10.",Kalk!$B$5=4,Kalk!$B$5=6),'Kr Mask'!Q52,IF(Kalk!$B$5=8,'AVH Mask'!Q52,IF(AND('B Mask'!Q52=0,'V Mask'!Q52=0,'VKr-AT Mask'!Q52=0,'L Mask'!Q52=0),"",IF(OR('B Mask'!Q52="-",'V Mask'!Q52="-",'VKr-AT Mask'!Q52="-",'L Mask'!Q52="-",'AVH Mask'!Q52="-"),"-",'B Mask'!Q52+'V Mask'!Q52+'VKr-AT Mask'!Q52+'L Mask'!Q52+'AVH Mask'!Q52)))))</f>
        <v>30.88</v>
      </c>
      <c r="R52" s="234">
        <f>IF(OR(Umse!$C$24=0,Umse!$B$11=0),"",IF(OR(Umse!$B$11="3.1.",Umse!$B$11="3.2.",Umse!$B$11="3.5.",Umse!$B$11="3.6.",Umse!$B$11="3.9.",Umse!$B$11="3.10.",Umse!$B$11="3.9.",Umse!$B$11="3.10.",Kalk!$B$5=4,Kalk!$B$5=6),'Kr Mask'!R52,IF(Kalk!$B$5=8,'AVH Mask'!R52,IF(AND('B Mask'!R52=0,'V Mask'!R52=0,'VKr-AT Mask'!R52=0,'L Mask'!R52=0),"",IF(OR('B Mask'!R52="-",'V Mask'!R52="-",'VKr-AT Mask'!R52="-",'L Mask'!R52="-",'AVH Mask'!R52="-"),"-",'B Mask'!R52+'V Mask'!R52+'VKr-AT Mask'!R52+'L Mask'!R52+'AVH Mask'!R52)))))</f>
        <v>30.88</v>
      </c>
    </row>
    <row r="53" spans="2:18" ht="10.5" customHeight="1">
      <c r="B53" s="273" t="str">
        <f>'B Mask'!B53&amp;'V Mask'!B53&amp;'VKr-AT Mask'!B53&amp;'Kr Mask'!B53&amp;'L Mask'!B53&amp;'AVH Mask'!B53</f>
        <v>EG</v>
      </c>
      <c r="C53" s="274" t="str">
        <f>'B Mask'!C53&amp;'V Mask'!C53&amp;'VKr-AT Mask'!C53&amp;'Kr Mask'!C53&amp;'L Mask'!C53&amp;'AVH Mask'!C53</f>
        <v>10</v>
      </c>
      <c r="D53" s="233">
        <f>IF(OR(Umse!$C$24=0,Umse!$B$11=0),"",IF(AND('B Mask'!D53="",'V Mask'!D53="",'VKr-AT Mask'!D53="",'Kr Mask'!D53="",'L Mask'!D53="",'AVH Mask'!D53=""),"",IF(OR('B Mask'!D53="-",'V Mask'!D53="-",'VKr-AT Mask'!D53="-",'Kr Mask'!D53="-",'L Mask'!D53="-",'AVH Mask'!D53="-"),"-",'B Mask'!D53+'V Mask'!D53+'VKr-AT Mask'!D53+'Kr Mask'!D53+'L Mask'!D53+'AVH Mask'!D53)))</f>
        <v>3.56</v>
      </c>
      <c r="E53" s="233">
        <f>IF(OR(Umse!$C$24=0,Umse!$B$11=0),"",IF(AND('B Mask'!E53="",'V Mask'!E53="",'VKr-AT Mask'!E53="",'Kr Mask'!E53="",'L Mask'!E53="",'AVH Mask'!E53=""),"",IF(OR('B Mask'!E53="-",'V Mask'!E53="-",'VKr-AT Mask'!E53="-",'Kr Mask'!E53="-",'L Mask'!E53="-",'AVH Mask'!E53="-"),"-",IF(OR(Umse!$B$11="3.1.",Umse!$B$11="3.2.",Umse!$B$11="3.5.",Umse!$B$11="3.6.",Umse!$B$11="3.9.",Umse!$B$11="3.10."),'Kr Mask'!E53,IF(OR(Umse!$B$11="3.3.",Umse!$B$11="3.4.",Umse!$B$11="3.7.",Umse!$B$11="3.8.",Umse!$B$11="3.11.",Umse!$B$11="3.12."),'VKr-AT Mask'!E53,'B Mask'!E53+'V Mask'!E53+'VKr-AT Mask'!E53+'Kr Mask'!E53+'L Mask'!E53+'AVH Mask'!E53)))))</f>
        <v>4.74</v>
      </c>
      <c r="F53" s="233">
        <f>IF(OR(Umse!$C$24=0,Umse!$B$11=0),"",IF(AND('B Mask'!F53="",'V Mask'!F53="",'VKr-AT Mask'!F53="",'Kr Mask'!F53="",'L Mask'!F53="",'AVH Mask'!F53=""),"",IF(OR('B Mask'!F53="-",'V Mask'!F53="-",'VKr-AT Mask'!F53="-",'Kr Mask'!F53="-",'L Mask'!F53="-",'AVH Mask'!F53="-"),"-",'B Mask'!F53+'V Mask'!F53+'VKr-AT Mask'!F53+'Kr Mask'!F53+'L Mask'!F53+'AVH Mask'!F53)))</f>
        <v>5.93</v>
      </c>
      <c r="G53" s="233">
        <f>IF(OR(Umse!$C$24=0,Umse!$B$11=0),"",IF(AND('B Mask'!G53="",'V Mask'!G53="",'VKr-AT Mask'!G53="",'Kr Mask'!G53="",'L Mask'!G53="",'AVH Mask'!G53=""),"",IF(OR('B Mask'!G53="-",'V Mask'!G53="-",'VKr-AT Mask'!G53="-",'Kr Mask'!G53="-",'L Mask'!G53="-",'AVH Mask'!G53="-"),"-",'B Mask'!G53+'V Mask'!G53+'VKr-AT Mask'!G53+'Kr Mask'!G53+'L Mask'!G53+'AVH Mask'!G53)))</f>
        <v>8.3000000000000007</v>
      </c>
      <c r="H53" s="233">
        <f>IF(OR(Umse!$C$24=0,Umse!$B$11=0),"",IF(AND('B Mask'!H53="",'V Mask'!H53="",'VKr-AT Mask'!H53="",'Kr Mask'!H53="",'L Mask'!H53="",'AVH Mask'!H53=""),"",IF(OR('B Mask'!H53="-",'V Mask'!H53="-",'VKr-AT Mask'!H53="-",'Kr Mask'!H53="-",'L Mask'!H53="-",'AVH Mask'!H53="-"),"-",'B Mask'!H53+'V Mask'!H53+'VKr-AT Mask'!H53+'Kr Mask'!H53+'L Mask'!H53+'AVH Mask'!H53)))</f>
        <v>32.01</v>
      </c>
      <c r="I53" s="233">
        <f>IF(OR(Umse!$C$24=0,Umse!$B$11=0),"",IF(AND('B Mask'!I53="",'V Mask'!I53="",'VKr-AT Mask'!I53="",'Kr Mask'!I53="",'L Mask'!I53="",'AVH Mask'!I53=""),"",IF(OR('B Mask'!I53="-",'V Mask'!I53="-",'VKr-AT Mask'!I53="-",'Kr Mask'!I53="-",'L Mask'!I53="-",'AVH Mask'!I53="-"),"-",'B Mask'!I53+'V Mask'!I53+'VKr-AT Mask'!I53+'Kr Mask'!I53+'L Mask'!I53+'AVH Mask'!I53)))</f>
        <v>8.3000000000000007</v>
      </c>
      <c r="J53" s="254" t="str">
        <f>'B Mask'!J53&amp;'V Mask'!J53&amp;'VKr-AT Mask'!J53&amp;'VKr Mask'!J53&amp;'L Mask'!J53&amp;'AVH Mask'!J53</f>
        <v>* Ergebnis der Redaktion:</v>
      </c>
      <c r="K53" s="273" t="str">
        <f>IF(OR(Umse!$B$11="3.1.",Umse!$B$11="3.2.",Umse!$B$11="3.5.",Umse!$B$11="3.6.",Umse!$B$11="3.9.",Umse!$B$11="3.10.",Umse!$B$11="4.1.",Umse!$B$11="4.2.",Umse!$B$11="4.3.",Umse!$B$11="4.4.",Umse!$B$11="4.5.",Umse!$B$11="4.6.",Umse!$B$11="6.1.",Umse!$B$11="6.2.",Umse!$B$11="6.3.",Umse!$B$11="6.4.",Umse!$B$11="6.5.",Umse!$B$11="6.6."),'Kr Mask'!K53,'B Mask'!K53&amp;'V Mask'!K53&amp;'VKr-AT Mask'!K53&amp;'L Mask'!K53&amp;'AVH Mask'!K53)</f>
        <v>EG</v>
      </c>
      <c r="L53" s="274" t="str">
        <f>IF(OR(Umse!$B$11="3.1.",Umse!$B$11="3.2.",Umse!$B$11="3.5.",Umse!$B$11="3.6.",Umse!$B$11="3.9.",Umse!$B$11="3.10.",Umse!$B$11="4.1.",Umse!$B$11="4.2.",Umse!$B$11="4.3.",Umse!$B$11="4.4.",Umse!$B$11="4.5.",Umse!$B$11="4.6.",Umse!$B$11="6.1.",Umse!$B$11="6.2.",Umse!$B$11="6.3.",Umse!$B$11="6.4.",Umse!$B$11="6.5.",Umse!$B$11="6.6."),'Kr Mask'!L53,'B Mask'!L53&amp;'V Mask'!L53&amp;'VKr-AT Mask'!L53&amp;'L Mask'!L53&amp;'AVH Mask'!L53)</f>
        <v>10</v>
      </c>
      <c r="M53" s="233">
        <f>IF(OR(Umse!$C$24=0,Umse!$B$11=0),"",IF(OR(Umse!$B$11="3.1.",Umse!$B$11="3.2.",Umse!$B$11="3.5.",Umse!$B$11="3.6.",Umse!$B$11="3.9.",Umse!$B$11="3.10.",Umse!$B$11="3.9.",Umse!$B$11="3.10.",Kalk!$B$5=4,Kalk!$B$5=6),'Kr Mask'!M53,IF(Kalk!$B$5=8,'AVH Mask'!M53,IF(AND('B Mask'!M53=0,'V Mask'!M53=0,'VKr-AT Mask'!M53=0,'L Mask'!M53=0),"",IF(OR('B Mask'!M53="-",'V Mask'!M53="-",'VKr-AT Mask'!M53="-",'L Mask'!M53="-",'AVH Mask'!M53="-"),"-",'B Mask'!M53+'V Mask'!M53+'VKr-AT Mask'!M53+'L Mask'!M53+'AVH Mask'!M53)))))</f>
        <v>23.79</v>
      </c>
      <c r="N53" s="233">
        <f>IF(OR(Umse!$C$24=0,Umse!$B$11=0),"",IF(OR(Umse!$B$11="3.1.",Umse!$B$11="3.2.",Umse!$B$11="3.5.",Umse!$B$11="3.6.",Umse!$B$11="3.9.",Umse!$B$11="3.10.",Umse!$B$11="3.9.",Umse!$B$11="3.10.",Kalk!$B$5=4,Kalk!$B$5=6),'Kr Mask'!N53,IF(Kalk!$B$5=8,'AVH Mask'!N53,IF(AND('B Mask'!N53=0,'V Mask'!N53=0,'VKr-AT Mask'!N53=0,'L Mask'!N53=0),"",IF(OR('B Mask'!N53="-",'V Mask'!N53="-",'VKr-AT Mask'!N53="-",'L Mask'!N53="-",'AVH Mask'!N53="-"),"-",'B Mask'!N53+'V Mask'!N53+'VKr-AT Mask'!N53+'L Mask'!N53+'AVH Mask'!N53)))))</f>
        <v>25.419999999999998</v>
      </c>
      <c r="O53" s="233">
        <f>IF(OR(Umse!$C$24=0,Umse!$B$11=0),"",IF(OR(Umse!$B$11="3.1.",Umse!$B$11="3.2.",Umse!$B$11="3.5.",Umse!$B$11="3.6.",Umse!$B$11="3.9.",Umse!$B$11="3.10.",Umse!$B$11="3.9.",Umse!$B$11="3.10.",Kalk!$B$5=4,Kalk!$B$5=6),'Kr Mask'!O53,IF(Kalk!$B$5=8,'AVH Mask'!O53,IF(AND('B Mask'!O53=0,'V Mask'!O53=0,'VKr-AT Mask'!O53=0,'L Mask'!O53=0),"",IF(OR('B Mask'!O53="-",'V Mask'!O53="-",'VKr-AT Mask'!O53="-",'L Mask'!O53="-",'AVH Mask'!O53="-"),"-",'B Mask'!O53+'V Mask'!O53+'VKr-AT Mask'!O53+'L Mask'!O53+'AVH Mask'!O53)))))</f>
        <v>27.27</v>
      </c>
      <c r="P53" s="233">
        <f>IF(OR(Umse!$C$24=0,Umse!$B$11=0),"",IF(OR(Umse!$B$11="3.1.",Umse!$B$11="3.2.",Umse!$B$11="3.5.",Umse!$B$11="3.6.",Umse!$B$11="3.9.",Umse!$B$11="3.10.",Umse!$B$11="3.9.",Umse!$B$11="3.10.",Kalk!$B$5=4,Kalk!$B$5=6),'Kr Mask'!P53,IF(Kalk!$B$5=8,'AVH Mask'!P53,IF(AND('B Mask'!P53=0,'V Mask'!P53=0,'VKr-AT Mask'!P53=0,'L Mask'!P53=0),"",IF(OR('B Mask'!P53="-",'V Mask'!P53="-",'VKr-AT Mask'!P53="-",'L Mask'!P53="-",'AVH Mask'!P53="-"),"-",'B Mask'!P53+'V Mask'!P53+'VKr-AT Mask'!P53+'L Mask'!P53+'AVH Mask'!P53)))))</f>
        <v>29.27</v>
      </c>
      <c r="Q53" s="233">
        <f>IF(OR(Umse!$C$24=0,Umse!$B$11=0),"",IF(OR(Umse!$B$11="3.1.",Umse!$B$11="3.2.",Umse!$B$11="3.5.",Umse!$B$11="3.6.",Umse!$B$11="3.9.",Umse!$B$11="3.10.",Umse!$B$11="3.9.",Umse!$B$11="3.10.",Kalk!$B$5=4,Kalk!$B$5=6),'Kr Mask'!Q53,IF(Kalk!$B$5=8,'AVH Mask'!Q53,IF(AND('B Mask'!Q53=0,'V Mask'!Q53=0,'VKr-AT Mask'!Q53=0,'L Mask'!Q53=0),"",IF(OR('B Mask'!Q53="-",'V Mask'!Q53="-",'VKr-AT Mask'!Q53="-",'L Mask'!Q53="-",'AVH Mask'!Q53="-"),"-",'B Mask'!Q53+'V Mask'!Q53+'VKr-AT Mask'!Q53+'L Mask'!Q53+'AVH Mask'!Q53)))))</f>
        <v>29.27</v>
      </c>
      <c r="R53" s="233">
        <f>IF(OR(Umse!$C$24=0,Umse!$B$11=0),"",IF(OR(Umse!$B$11="3.1.",Umse!$B$11="3.2.",Umse!$B$11="3.5.",Umse!$B$11="3.6.",Umse!$B$11="3.9.",Umse!$B$11="3.10.",Umse!$B$11="3.9.",Umse!$B$11="3.10.",Kalk!$B$5=4,Kalk!$B$5=6),'Kr Mask'!R53,IF(Kalk!$B$5=8,'AVH Mask'!R53,IF(AND('B Mask'!R53=0,'V Mask'!R53=0,'VKr-AT Mask'!R53=0,'L Mask'!R53=0),"",IF(OR('B Mask'!R53="-",'V Mask'!R53="-",'VKr-AT Mask'!R53="-",'L Mask'!R53="-",'AVH Mask'!R53="-"),"-",'B Mask'!R53+'V Mask'!R53+'VKr-AT Mask'!R53+'L Mask'!R53+'AVH Mask'!R53)))))</f>
        <v>29.27</v>
      </c>
    </row>
    <row r="54" spans="2:18" ht="10.5" customHeight="1">
      <c r="B54" s="275" t="str">
        <f>'B Mask'!B54&amp;'V Mask'!B54&amp;'VKr-AT Mask'!B54&amp;'Kr Mask'!B54&amp;'L Mask'!B54&amp;'AVH Mask'!B54</f>
        <v>EG</v>
      </c>
      <c r="C54" s="276" t="str">
        <f>'B Mask'!C54&amp;'V Mask'!C54&amp;'VKr-AT Mask'!C54&amp;'Kr Mask'!C54&amp;'L Mask'!C54&amp;'AVH Mask'!C54</f>
        <v>9c *</v>
      </c>
      <c r="D54" s="234">
        <f>IF(OR(Umse!$C$24=0,Umse!$B$11=0),"",IF(AND('B Mask'!D54="",'V Mask'!D54="",'VKr-AT Mask'!D54="",'Kr Mask'!D54="",'L Mask'!D54="",'AVH Mask'!D54=""),"",IF(OR('B Mask'!D54="-",'V Mask'!D54="-",'VKr-AT Mask'!D54="-",'Kr Mask'!D54="-",'L Mask'!D54="-",'AVH Mask'!D54="-"),"-",'B Mask'!D54+'V Mask'!D54+'VKr-AT Mask'!D54+'Kr Mask'!D54+'L Mask'!D54+'AVH Mask'!D54)))</f>
        <v>3.4</v>
      </c>
      <c r="E54" s="234">
        <f>IF(OR(Umse!$C$24=0,Umse!$B$11=0),"",IF(AND('B Mask'!E54="",'V Mask'!E54="",'VKr-AT Mask'!E54="",'Kr Mask'!E54="",'L Mask'!E54="",'AVH Mask'!E54=""),"",IF(OR('B Mask'!E54="-",'V Mask'!E54="-",'VKr-AT Mask'!E54="-",'Kr Mask'!E54="-",'L Mask'!E54="-",'AVH Mask'!E54="-"),"-",IF(OR(Umse!$B$11="3.1.",Umse!$B$11="3.2.",Umse!$B$11="3.5.",Umse!$B$11="3.6.",Umse!$B$11="3.9.",Umse!$B$11="3.10."),'Kr Mask'!E54,IF(OR(Umse!$B$11="3.3.",Umse!$B$11="3.4.",Umse!$B$11="3.7.",Umse!$B$11="3.8.",Umse!$B$11="3.11.",Umse!$B$11="3.12."),'VKr-AT Mask'!E54,'B Mask'!E54+'V Mask'!E54+'VKr-AT Mask'!E54+'Kr Mask'!E54+'L Mask'!E54+'AVH Mask'!E54)))))</f>
        <v>4.53</v>
      </c>
      <c r="F54" s="234">
        <f>IF(OR(Umse!$C$24=0,Umse!$B$11=0),"",IF(AND('B Mask'!F54="",'V Mask'!F54="",'VKr-AT Mask'!F54="",'Kr Mask'!F54="",'L Mask'!F54="",'AVH Mask'!F54=""),"",IF(OR('B Mask'!F54="-",'V Mask'!F54="-",'VKr-AT Mask'!F54="-",'Kr Mask'!F54="-",'L Mask'!F54="-",'AVH Mask'!F54="-"),"-",'B Mask'!F54+'V Mask'!F54+'VKr-AT Mask'!F54+'Kr Mask'!F54+'L Mask'!F54+'AVH Mask'!F54)))</f>
        <v>5.66</v>
      </c>
      <c r="G54" s="234">
        <f>IF(OR(Umse!$C$24=0,Umse!$B$11=0),"",IF(AND('B Mask'!G54="",'V Mask'!G54="",'VKr-AT Mask'!G54="",'Kr Mask'!G54="",'L Mask'!G54="",'AVH Mask'!G54=""),"",IF(OR('B Mask'!G54="-",'V Mask'!G54="-",'VKr-AT Mask'!G54="-",'Kr Mask'!G54="-",'L Mask'!G54="-",'AVH Mask'!G54="-"),"-",'B Mask'!G54+'V Mask'!G54+'VKr-AT Mask'!G54+'Kr Mask'!G54+'L Mask'!G54+'AVH Mask'!G54)))</f>
        <v>7.92</v>
      </c>
      <c r="H54" s="234">
        <f>IF(OR(Umse!$C$24=0,Umse!$B$11=0),"",IF(AND('B Mask'!H54="",'V Mask'!H54="",'VKr-AT Mask'!H54="",'Kr Mask'!H54="",'L Mask'!H54="",'AVH Mask'!H54=""),"",IF(OR('B Mask'!H54="-",'V Mask'!H54="-",'VKr-AT Mask'!H54="-",'Kr Mask'!H54="-",'L Mask'!H54="-",'AVH Mask'!H54="-"),"-",'B Mask'!H54+'V Mask'!H54+'VKr-AT Mask'!H54+'Kr Mask'!H54+'L Mask'!H54+'AVH Mask'!H54)))</f>
        <v>30.56</v>
      </c>
      <c r="I54" s="234">
        <f>IF(OR(Umse!$C$24=0,Umse!$B$11=0),"",IF(AND('B Mask'!I54="",'V Mask'!I54="",'VKr-AT Mask'!I54="",'Kr Mask'!I54="",'L Mask'!I54="",'AVH Mask'!I54=""),"",IF(OR('B Mask'!I54="-",'V Mask'!I54="-",'VKr-AT Mask'!I54="-",'Kr Mask'!I54="-",'L Mask'!I54="-",'AVH Mask'!I54="-"),"-",'B Mask'!I54+'V Mask'!I54+'VKr-AT Mask'!I54+'Kr Mask'!I54+'L Mask'!I54+'AVH Mask'!I54)))</f>
        <v>7.92</v>
      </c>
      <c r="J54" s="254" t="str">
        <f>'B Mask'!J54&amp;'V Mask'!J54&amp;'VKr-AT Mask'!J54&amp;'VKr Mask'!J54&amp;'L Mask'!J54&amp;'AVH Mask'!J54</f>
        <v>EG 9c und 9b in Stufe 1</v>
      </c>
      <c r="K54" s="275" t="str">
        <f>IF(OR(Umse!$B$11="3.1.",Umse!$B$11="3.2.",Umse!$B$11="3.5.",Umse!$B$11="3.6.",Umse!$B$11="3.9.",Umse!$B$11="3.10.",Umse!$B$11="4.1.",Umse!$B$11="4.2.",Umse!$B$11="4.3.",Umse!$B$11="4.4.",Umse!$B$11="4.5.",Umse!$B$11="4.6.",Umse!$B$11="6.1.",Umse!$B$11="6.2.",Umse!$B$11="6.3.",Umse!$B$11="6.4.",Umse!$B$11="6.5.",Umse!$B$11="6.6."),'Kr Mask'!K54,'B Mask'!K54&amp;'V Mask'!K54&amp;'VKr-AT Mask'!K54&amp;'L Mask'!K54&amp;'AVH Mask'!K54)</f>
        <v>EG</v>
      </c>
      <c r="L54" s="276" t="str">
        <f>IF(OR(Umse!$B$11="3.1.",Umse!$B$11="3.2.",Umse!$B$11="3.5.",Umse!$B$11="3.6.",Umse!$B$11="3.9.",Umse!$B$11="3.10.",Umse!$B$11="4.1.",Umse!$B$11="4.2.",Umse!$B$11="4.3.",Umse!$B$11="4.4.",Umse!$B$11="4.5.",Umse!$B$11="4.6.",Umse!$B$11="6.1.",Umse!$B$11="6.2.",Umse!$B$11="6.3.",Umse!$B$11="6.4.",Umse!$B$11="6.5.",Umse!$B$11="6.6."),'Kr Mask'!L54,'B Mask'!L54&amp;'V Mask'!L54&amp;'VKr-AT Mask'!L54&amp;'L Mask'!L54&amp;'AVH Mask'!L54)</f>
        <v>9c *</v>
      </c>
      <c r="M54" s="234">
        <f>IF(OR(Umse!$C$24=0,Umse!$B$11=0),"",IF(OR(Umse!$B$11="3.1.",Umse!$B$11="3.2.",Umse!$B$11="3.5.",Umse!$B$11="3.6.",Umse!$B$11="3.9.",Umse!$B$11="3.10.",Umse!$B$11="3.9.",Umse!$B$11="3.10.",Kalk!$B$5=4,Kalk!$B$5=6),'Kr Mask'!M54,IF(Kalk!$B$5=8,'AVH Mask'!M54,IF(AND('B Mask'!M54=0,'V Mask'!M54=0,'VKr-AT Mask'!M54=0,'L Mask'!M54=0),"",IF(OR('B Mask'!M54="-",'V Mask'!M54="-",'VKr-AT Mask'!M54="-",'L Mask'!M54="-",'AVH Mask'!M54="-"),"-",'B Mask'!M54+'V Mask'!M54+'VKr-AT Mask'!M54+'L Mask'!M54+'AVH Mask'!M54)))))</f>
        <v>22.869999999999997</v>
      </c>
      <c r="N54" s="234">
        <f>IF(OR(Umse!$C$24=0,Umse!$B$11=0),"",IF(OR(Umse!$B$11="3.1.",Umse!$B$11="3.2.",Umse!$B$11="3.5.",Umse!$B$11="3.6.",Umse!$B$11="3.9.",Umse!$B$11="3.10.",Umse!$B$11="3.9.",Umse!$B$11="3.10.",Kalk!$B$5=4,Kalk!$B$5=6),'Kr Mask'!N54,IF(Kalk!$B$5=8,'AVH Mask'!N54,IF(AND('B Mask'!N54=0,'V Mask'!N54=0,'VKr-AT Mask'!N54=0,'L Mask'!N54=0),"",IF(OR('B Mask'!N54="-",'V Mask'!N54="-",'VKr-AT Mask'!N54="-",'L Mask'!N54="-",'AVH Mask'!N54="-"),"-",'B Mask'!N54+'V Mask'!N54+'VKr-AT Mask'!N54+'L Mask'!N54+'AVH Mask'!N54)))))</f>
        <v>24.279999999999998</v>
      </c>
      <c r="O54" s="234">
        <f>IF(OR(Umse!$C$24=0,Umse!$B$11=0),"",IF(OR(Umse!$B$11="3.1.",Umse!$B$11="3.2.",Umse!$B$11="3.5.",Umse!$B$11="3.6.",Umse!$B$11="3.9.",Umse!$B$11="3.10.",Umse!$B$11="3.9.",Umse!$B$11="3.10.",Kalk!$B$5=4,Kalk!$B$5=6),'Kr Mask'!O54,IF(Kalk!$B$5=8,'AVH Mask'!O54,IF(AND('B Mask'!O54=0,'V Mask'!O54=0,'VKr-AT Mask'!O54=0,'L Mask'!O54=0),"",IF(OR('B Mask'!O54="-",'V Mask'!O54="-",'VKr-AT Mask'!O54="-",'L Mask'!O54="-",'AVH Mask'!O54="-"),"-",'B Mask'!O54+'V Mask'!O54+'VKr-AT Mask'!O54+'L Mask'!O54+'AVH Mask'!O54)))))</f>
        <v>26.04</v>
      </c>
      <c r="P54" s="234">
        <f>IF(OR(Umse!$C$24=0,Umse!$B$11=0),"",IF(OR(Umse!$B$11="3.1.",Umse!$B$11="3.2.",Umse!$B$11="3.5.",Umse!$B$11="3.6.",Umse!$B$11="3.9.",Umse!$B$11="3.10.",Umse!$B$11="3.9.",Umse!$B$11="3.10.",Kalk!$B$5=4,Kalk!$B$5=6),'Kr Mask'!P54,IF(Kalk!$B$5=8,'AVH Mask'!P54,IF(AND('B Mask'!P54=0,'V Mask'!P54=0,'VKr-AT Mask'!P54=0,'L Mask'!P54=0),"",IF(OR('B Mask'!P54="-",'V Mask'!P54="-",'VKr-AT Mask'!P54="-",'L Mask'!P54="-",'AVH Mask'!P54="-"),"-",'B Mask'!P54+'V Mask'!P54+'VKr-AT Mask'!P54+'L Mask'!P54+'AVH Mask'!P54)))))</f>
        <v>27.959999999999997</v>
      </c>
      <c r="Q54" s="234">
        <f>IF(OR(Umse!$C$24=0,Umse!$B$11=0),"",IF(OR(Umse!$B$11="3.1.",Umse!$B$11="3.2.",Umse!$B$11="3.5.",Umse!$B$11="3.6.",Umse!$B$11="3.9.",Umse!$B$11="3.10.",Umse!$B$11="3.9.",Umse!$B$11="3.10.",Kalk!$B$5=4,Kalk!$B$5=6),'Kr Mask'!Q54,IF(Kalk!$B$5=8,'AVH Mask'!Q54,IF(AND('B Mask'!Q54=0,'V Mask'!Q54=0,'VKr-AT Mask'!Q54=0,'L Mask'!Q54=0),"",IF(OR('B Mask'!Q54="-",'V Mask'!Q54="-",'VKr-AT Mask'!Q54="-",'L Mask'!Q54="-",'AVH Mask'!Q54="-"),"-",'B Mask'!Q54+'V Mask'!Q54+'VKr-AT Mask'!Q54+'L Mask'!Q54+'AVH Mask'!Q54)))))</f>
        <v>27.959999999999997</v>
      </c>
      <c r="R54" s="234">
        <f>IF(OR(Umse!$C$24=0,Umse!$B$11=0),"",IF(OR(Umse!$B$11="3.1.",Umse!$B$11="3.2.",Umse!$B$11="3.5.",Umse!$B$11="3.6.",Umse!$B$11="3.9.",Umse!$B$11="3.10.",Umse!$B$11="3.9.",Umse!$B$11="3.10.",Kalk!$B$5=4,Kalk!$B$5=6),'Kr Mask'!R54,IF(Kalk!$B$5=8,'AVH Mask'!R54,IF(AND('B Mask'!R54=0,'V Mask'!R54=0,'VKr-AT Mask'!R54=0,'L Mask'!R54=0),"",IF(OR('B Mask'!R54="-",'V Mask'!R54="-",'VKr-AT Mask'!R54="-",'L Mask'!R54="-",'AVH Mask'!R54="-"),"-",'B Mask'!R54+'V Mask'!R54+'VKr-AT Mask'!R54+'L Mask'!R54+'AVH Mask'!R54)))))</f>
        <v>27.959999999999997</v>
      </c>
    </row>
    <row r="55" spans="2:18" ht="10.5" customHeight="1">
      <c r="B55" s="273" t="str">
        <f>'B Mask'!B55&amp;'V Mask'!B55&amp;'VKr-AT Mask'!B55&amp;'Kr Mask'!B55&amp;'L Mask'!B55&amp;'AVH Mask'!B55</f>
        <v>EG</v>
      </c>
      <c r="C55" s="274" t="str">
        <f>'B Mask'!C55&amp;'V Mask'!C55&amp;'VKr-AT Mask'!C55&amp;'Kr Mask'!C55&amp;'L Mask'!C55&amp;'AVH Mask'!C55</f>
        <v>9b *</v>
      </c>
      <c r="D55" s="233">
        <f>IF(OR(Umse!$C$24=0,Umse!$B$11=0),"",IF(AND('B Mask'!D55="",'V Mask'!D55="",'VKr-AT Mask'!D55="",'Kr Mask'!D55="",'L Mask'!D55="",'AVH Mask'!D55=""),"",IF(OR('B Mask'!D55="-",'V Mask'!D55="-",'VKr-AT Mask'!D55="-",'Kr Mask'!D55="-",'L Mask'!D55="-",'AVH Mask'!D55="-"),"-",'B Mask'!D55+'V Mask'!D55+'VKr-AT Mask'!D55+'Kr Mask'!D55+'L Mask'!D55+'AVH Mask'!D55)))</f>
        <v>6.29</v>
      </c>
      <c r="E55" s="233">
        <f>IF(OR(Umse!$C$24=0,Umse!$B$11=0),"",IF(AND('B Mask'!E55="",'V Mask'!E55="",'VKr-AT Mask'!E55="",'Kr Mask'!E55="",'L Mask'!E55="",'AVH Mask'!E55=""),"",IF(OR('B Mask'!E55="-",'V Mask'!E55="-",'VKr-AT Mask'!E55="-",'Kr Mask'!E55="-",'L Mask'!E55="-",'AVH Mask'!E55="-"),"-",IF(OR(Umse!$B$11="3.1.",Umse!$B$11="3.2.",Umse!$B$11="3.5.",Umse!$B$11="3.6.",Umse!$B$11="3.9.",Umse!$B$11="3.10."),'Kr Mask'!E55,IF(OR(Umse!$B$11="3.3.",Umse!$B$11="3.4.",Umse!$B$11="3.7.",Umse!$B$11="3.8.",Umse!$B$11="3.11.",Umse!$B$11="3.12."),'VKr-AT Mask'!E55,'B Mask'!E55+'V Mask'!E55+'VKr-AT Mask'!E55+'Kr Mask'!E55+'L Mask'!E55+'AVH Mask'!E55)))))</f>
        <v>4.1900000000000004</v>
      </c>
      <c r="F55" s="233">
        <f>IF(OR(Umse!$C$24=0,Umse!$B$11=0),"",IF(AND('B Mask'!F55="",'V Mask'!F55="",'VKr-AT Mask'!F55="",'Kr Mask'!F55="",'L Mask'!F55="",'AVH Mask'!F55=""),"",IF(OR('B Mask'!F55="-",'V Mask'!F55="-",'VKr-AT Mask'!F55="-",'Kr Mask'!F55="-",'L Mask'!F55="-",'AVH Mask'!F55="-"),"-",'B Mask'!F55+'V Mask'!F55+'VKr-AT Mask'!F55+'Kr Mask'!F55+'L Mask'!F55+'AVH Mask'!F55)))</f>
        <v>5.24</v>
      </c>
      <c r="G55" s="233">
        <f>IF(OR(Umse!$C$24=0,Umse!$B$11=0),"",IF(AND('B Mask'!G55="",'V Mask'!G55="",'VKr-AT Mask'!G55="",'Kr Mask'!G55="",'L Mask'!G55="",'AVH Mask'!G55=""),"",IF(OR('B Mask'!G55="-",'V Mask'!G55="-",'VKr-AT Mask'!G55="-",'Kr Mask'!G55="-",'L Mask'!G55="-",'AVH Mask'!G55="-"),"-",'B Mask'!G55+'V Mask'!G55+'VKr-AT Mask'!G55+'Kr Mask'!G55+'L Mask'!G55+'AVH Mask'!G55)))</f>
        <v>7.34</v>
      </c>
      <c r="H55" s="233">
        <f>IF(OR(Umse!$C$24=0,Umse!$B$11=0),"",IF(AND('B Mask'!H55="",'V Mask'!H55="",'VKr-AT Mask'!H55="",'Kr Mask'!H55="",'L Mask'!H55="",'AVH Mask'!H55=""),"",IF(OR('B Mask'!H55="-",'V Mask'!H55="-",'VKr-AT Mask'!H55="-",'Kr Mask'!H55="-",'L Mask'!H55="-",'AVH Mask'!H55="-"),"-",'B Mask'!H55+'V Mask'!H55+'VKr-AT Mask'!H55+'Kr Mask'!H55+'L Mask'!H55+'AVH Mask'!H55)))</f>
        <v>28.31</v>
      </c>
      <c r="I55" s="233">
        <f>IF(OR(Umse!$C$24=0,Umse!$B$11=0),"",IF(AND('B Mask'!I55="",'V Mask'!I55="",'VKr-AT Mask'!I55="",'Kr Mask'!I55="",'L Mask'!I55="",'AVH Mask'!I55=""),"",IF(OR('B Mask'!I55="-",'V Mask'!I55="-",'VKr-AT Mask'!I55="-",'Kr Mask'!I55="-",'L Mask'!I55="-",'AVH Mask'!I55="-"),"-",'B Mask'!I55+'V Mask'!I55+'VKr-AT Mask'!I55+'Kr Mask'!I55+'L Mask'!I55+'AVH Mask'!I55)))</f>
        <v>7.34</v>
      </c>
      <c r="J55" s="254" t="str">
        <f>'B Mask'!J55&amp;'V Mask'!J55&amp;'VKr-AT Mask'!J55&amp;'VKr Mask'!J55&amp;'L Mask'!J55&amp;'AVH Mask'!J55</f>
        <v>differenziert angehoben</v>
      </c>
      <c r="K55" s="273" t="str">
        <f>IF(OR(Umse!$B$11="3.1.",Umse!$B$11="3.2.",Umse!$B$11="3.5.",Umse!$B$11="3.6.",Umse!$B$11="3.9.",Umse!$B$11="3.10.",Umse!$B$11="4.1.",Umse!$B$11="4.2.",Umse!$B$11="4.3.",Umse!$B$11="4.4.",Umse!$B$11="4.5.",Umse!$B$11="4.6.",Umse!$B$11="6.1.",Umse!$B$11="6.2.",Umse!$B$11="6.3.",Umse!$B$11="6.4.",Umse!$B$11="6.5.",Umse!$B$11="6.6."),'Kr Mask'!K55,'B Mask'!K55&amp;'V Mask'!K55&amp;'VKr-AT Mask'!K55&amp;'L Mask'!K55&amp;'AVH Mask'!K55)</f>
        <v>EG</v>
      </c>
      <c r="L55" s="274" t="str">
        <f>IF(OR(Umse!$B$11="3.1.",Umse!$B$11="3.2.",Umse!$B$11="3.5.",Umse!$B$11="3.6.",Umse!$B$11="3.9.",Umse!$B$11="3.10.",Umse!$B$11="4.1.",Umse!$B$11="4.2.",Umse!$B$11="4.3.",Umse!$B$11="4.4.",Umse!$B$11="4.5.",Umse!$B$11="4.6.",Umse!$B$11="6.1.",Umse!$B$11="6.2.",Umse!$B$11="6.3.",Umse!$B$11="6.4.",Umse!$B$11="6.5.",Umse!$B$11="6.6."),'Kr Mask'!L55,'B Mask'!L55&amp;'V Mask'!L55&amp;'VKr-AT Mask'!L55&amp;'L Mask'!L55&amp;'AVH Mask'!L55)</f>
        <v>9b *</v>
      </c>
      <c r="M55" s="233">
        <f>IF(OR(Umse!$C$24=0,Umse!$B$11=0),"",IF(OR(Umse!$B$11="3.1.",Umse!$B$11="3.2.",Umse!$B$11="3.5.",Umse!$B$11="3.6.",Umse!$B$11="3.9.",Umse!$B$11="3.10.",Umse!$B$11="3.9.",Umse!$B$11="3.10.",Kalk!$B$5=4,Kalk!$B$5=6),'Kr Mask'!M55,IF(Kalk!$B$5=8,'AVH Mask'!M55,IF(AND('B Mask'!M55=0,'V Mask'!M55=0,'VKr-AT Mask'!M55=0,'L Mask'!M55=0),"",IF(OR('B Mask'!M55="-",'V Mask'!M55="-",'VKr-AT Mask'!M55="-",'L Mask'!M55="-",'AVH Mask'!M55="-"),"-",'B Mask'!M55+'V Mask'!M55+'VKr-AT Mask'!M55+'L Mask'!M55+'AVH Mask'!M55)))))</f>
        <v>25</v>
      </c>
      <c r="N55" s="233">
        <f>IF(OR(Umse!$C$24=0,Umse!$B$11=0),"",IF(OR(Umse!$B$11="3.1.",Umse!$B$11="3.2.",Umse!$B$11="3.5.",Umse!$B$11="3.6.",Umse!$B$11="3.9.",Umse!$B$11="3.10.",Umse!$B$11="3.9.",Umse!$B$11="3.10.",Kalk!$B$5=4,Kalk!$B$5=6),'Kr Mask'!N55,IF(Kalk!$B$5=8,'AVH Mask'!N55,IF(AND('B Mask'!N55=0,'V Mask'!N55=0,'VKr-AT Mask'!N55=0,'L Mask'!N55=0),"",IF(OR('B Mask'!N55="-",'V Mask'!N55="-",'VKr-AT Mask'!N55="-",'L Mask'!N55="-",'AVH Mask'!N55="-"),"-",'B Mask'!N55+'V Mask'!N55+'VKr-AT Mask'!N55+'L Mask'!N55+'AVH Mask'!N55)))))</f>
        <v>25.65</v>
      </c>
      <c r="O55" s="233">
        <f>IF(OR(Umse!$C$24=0,Umse!$B$11=0),"",IF(OR(Umse!$B$11="3.1.",Umse!$B$11="3.2.",Umse!$B$11="3.5.",Umse!$B$11="3.6.",Umse!$B$11="3.9.",Umse!$B$11="3.10.",Umse!$B$11="3.9.",Umse!$B$11="3.10.",Kalk!$B$5=4,Kalk!$B$5=6),'Kr Mask'!O55,IF(Kalk!$B$5=8,'AVH Mask'!O55,IF(AND('B Mask'!O55=0,'V Mask'!O55=0,'VKr-AT Mask'!O55=0,'L Mask'!O55=0),"",IF(OR('B Mask'!O55="-",'V Mask'!O55="-",'VKr-AT Mask'!O55="-",'L Mask'!O55="-",'AVH Mask'!O55="-"),"-",'B Mask'!O55+'V Mask'!O55+'VKr-AT Mask'!O55+'L Mask'!O55+'AVH Mask'!O55)))))</f>
        <v>27.259999999999998</v>
      </c>
      <c r="P55" s="233">
        <f>IF(OR(Umse!$C$24=0,Umse!$B$11=0),"",IF(OR(Umse!$B$11="3.1.",Umse!$B$11="3.2.",Umse!$B$11="3.5.",Umse!$B$11="3.6.",Umse!$B$11="3.9.",Umse!$B$11="3.10.",Umse!$B$11="3.9.",Umse!$B$11="3.10.",Kalk!$B$5=4,Kalk!$B$5=6),'Kr Mask'!P55,IF(Kalk!$B$5=8,'AVH Mask'!P55,IF(AND('B Mask'!P55=0,'V Mask'!P55=0,'VKr-AT Mask'!P55=0,'L Mask'!P55=0),"",IF(OR('B Mask'!P55="-",'V Mask'!P55="-",'VKr-AT Mask'!P55="-",'L Mask'!P55="-",'AVH Mask'!P55="-"),"-",'B Mask'!P55+'V Mask'!P55+'VKr-AT Mask'!P55+'L Mask'!P55+'AVH Mask'!P55)))))</f>
        <v>29.029999999999998</v>
      </c>
      <c r="Q55" s="233">
        <f>IF(OR(Umse!$C$24=0,Umse!$B$11=0),"",IF(OR(Umse!$B$11="3.1.",Umse!$B$11="3.2.",Umse!$B$11="3.5.",Umse!$B$11="3.6.",Umse!$B$11="3.9.",Umse!$B$11="3.10.",Umse!$B$11="3.9.",Umse!$B$11="3.10.",Kalk!$B$5=4,Kalk!$B$5=6),'Kr Mask'!Q55,IF(Kalk!$B$5=8,'AVH Mask'!Q55,IF(AND('B Mask'!Q55=0,'V Mask'!Q55=0,'VKr-AT Mask'!Q55=0,'L Mask'!Q55=0),"",IF(OR('B Mask'!Q55="-",'V Mask'!Q55="-",'VKr-AT Mask'!Q55="-",'L Mask'!Q55="-",'AVH Mask'!Q55="-"),"-",'B Mask'!Q55+'V Mask'!Q55+'VKr-AT Mask'!Q55+'L Mask'!Q55+'AVH Mask'!Q55)))))</f>
        <v>29.029999999999998</v>
      </c>
      <c r="R55" s="233">
        <f>IF(OR(Umse!$C$24=0,Umse!$B$11=0),"",IF(OR(Umse!$B$11="3.1.",Umse!$B$11="3.2.",Umse!$B$11="3.5.",Umse!$B$11="3.6.",Umse!$B$11="3.9.",Umse!$B$11="3.10.",Umse!$B$11="3.9.",Umse!$B$11="3.10.",Kalk!$B$5=4,Kalk!$B$5=6),'Kr Mask'!R55,IF(Kalk!$B$5=8,'AVH Mask'!R55,IF(AND('B Mask'!R55=0,'V Mask'!R55=0,'VKr-AT Mask'!R55=0,'L Mask'!R55=0),"",IF(OR('B Mask'!R55="-",'V Mask'!R55="-",'VKr-AT Mask'!R55="-",'L Mask'!R55="-",'AVH Mask'!R55="-"),"-",'B Mask'!R55+'V Mask'!R55+'VKr-AT Mask'!R55+'L Mask'!R55+'AVH Mask'!R55)))))</f>
        <v>29.029999999999998</v>
      </c>
    </row>
    <row r="56" spans="2:18" ht="10.5" customHeight="1">
      <c r="B56" s="275" t="str">
        <f>'B Mask'!B56&amp;'V Mask'!B56&amp;'VKr-AT Mask'!B56&amp;'Kr Mask'!B56&amp;'L Mask'!B56&amp;'AVH Mask'!B56</f>
        <v>EG</v>
      </c>
      <c r="C56" s="276" t="str">
        <f>'B Mask'!C56&amp;'V Mask'!C56&amp;'VKr-AT Mask'!C56&amp;'Kr Mask'!C56&amp;'L Mask'!C56&amp;'AVH Mask'!C56</f>
        <v>9a</v>
      </c>
      <c r="D56" s="234">
        <f>IF(OR(Umse!$C$24=0,Umse!$B$11=0),"",IF(AND('B Mask'!D56="",'V Mask'!D56="",'VKr-AT Mask'!D56="",'Kr Mask'!D56="",'L Mask'!D56="",'AVH Mask'!D56=""),"",IF(OR('B Mask'!D56="-",'V Mask'!D56="-",'VKr-AT Mask'!D56="-",'Kr Mask'!D56="-",'L Mask'!D56="-",'AVH Mask'!D56="-"),"-",'B Mask'!D56+'V Mask'!D56+'VKr-AT Mask'!D56+'Kr Mask'!D56+'L Mask'!D56+'AVH Mask'!D56)))</f>
        <v>5.85</v>
      </c>
      <c r="E56" s="234">
        <f>IF(OR(Umse!$C$24=0,Umse!$B$11=0),"",IF(AND('B Mask'!E56="",'V Mask'!E56="",'VKr-AT Mask'!E56="",'Kr Mask'!E56="",'L Mask'!E56="",'AVH Mask'!E56=""),"",IF(OR('B Mask'!E56="-",'V Mask'!E56="-",'VKr-AT Mask'!E56="-",'Kr Mask'!E56="-",'L Mask'!E56="-",'AVH Mask'!E56="-"),"-",IF(OR(Umse!$B$11="3.1.",Umse!$B$11="3.2.",Umse!$B$11="3.5.",Umse!$B$11="3.6.",Umse!$B$11="3.9.",Umse!$B$11="3.10."),'Kr Mask'!E56,IF(OR(Umse!$B$11="3.3.",Umse!$B$11="3.4.",Umse!$B$11="3.7.",Umse!$B$11="3.8.",Umse!$B$11="3.11.",Umse!$B$11="3.12."),'VKr-AT Mask'!E56,'B Mask'!E56+'V Mask'!E56+'VKr-AT Mask'!E56+'Kr Mask'!E56+'L Mask'!E56+'AVH Mask'!E56)))))</f>
        <v>3.9</v>
      </c>
      <c r="F56" s="234">
        <f>IF(OR(Umse!$C$24=0,Umse!$B$11=0),"",IF(AND('B Mask'!F56="",'V Mask'!F56="",'VKr-AT Mask'!F56="",'Kr Mask'!F56="",'L Mask'!F56="",'AVH Mask'!F56=""),"",IF(OR('B Mask'!F56="-",'V Mask'!F56="-",'VKr-AT Mask'!F56="-",'Kr Mask'!F56="-",'L Mask'!F56="-",'AVH Mask'!F56="-"),"-",'B Mask'!F56+'V Mask'!F56+'VKr-AT Mask'!F56+'Kr Mask'!F56+'L Mask'!F56+'AVH Mask'!F56)))</f>
        <v>4.87</v>
      </c>
      <c r="G56" s="234">
        <f>IF(OR(Umse!$C$24=0,Umse!$B$11=0),"",IF(AND('B Mask'!G56="",'V Mask'!G56="",'VKr-AT Mask'!G56="",'Kr Mask'!G56="",'L Mask'!G56="",'AVH Mask'!G56=""),"",IF(OR('B Mask'!G56="-",'V Mask'!G56="-",'VKr-AT Mask'!G56="-",'Kr Mask'!G56="-",'L Mask'!G56="-",'AVH Mask'!G56="-"),"-",'B Mask'!G56+'V Mask'!G56+'VKr-AT Mask'!G56+'Kr Mask'!G56+'L Mask'!G56+'AVH Mask'!G56)))</f>
        <v>6.82</v>
      </c>
      <c r="H56" s="234">
        <f>IF(OR(Umse!$C$24=0,Umse!$B$11=0),"",IF(AND('B Mask'!H56="",'V Mask'!H56="",'VKr-AT Mask'!H56="",'Kr Mask'!H56="",'L Mask'!H56="",'AVH Mask'!H56=""),"",IF(OR('B Mask'!H56="-",'V Mask'!H56="-",'VKr-AT Mask'!H56="-",'Kr Mask'!H56="-",'L Mask'!H56="-",'AVH Mask'!H56="-"),"-",'B Mask'!H56+'V Mask'!H56+'VKr-AT Mask'!H56+'Kr Mask'!H56+'L Mask'!H56+'AVH Mask'!H56)))</f>
        <v>26.31</v>
      </c>
      <c r="I56" s="234">
        <f>IF(OR(Umse!$C$24=0,Umse!$B$11=0),"",IF(AND('B Mask'!I56="",'V Mask'!I56="",'VKr-AT Mask'!I56="",'Kr Mask'!I56="",'L Mask'!I56="",'AVH Mask'!I56=""),"",IF(OR('B Mask'!I56="-",'V Mask'!I56="-",'VKr-AT Mask'!I56="-",'Kr Mask'!I56="-",'L Mask'!I56="-",'AVH Mask'!I56="-"),"-",'B Mask'!I56+'V Mask'!I56+'VKr-AT Mask'!I56+'Kr Mask'!I56+'L Mask'!I56+'AVH Mask'!I56)))</f>
        <v>6.82</v>
      </c>
      <c r="J56" s="254" t="str">
        <f>'B Mask'!J56&amp;'V Mask'!J56&amp;'VKr-AT Mask'!J56&amp;'VKr Mask'!J56&amp;'L Mask'!J56&amp;'AVH Mask'!J56</f>
        <v/>
      </c>
      <c r="K56" s="275" t="str">
        <f>IF(OR(Umse!$B$11="3.1.",Umse!$B$11="3.2.",Umse!$B$11="3.5.",Umse!$B$11="3.6.",Umse!$B$11="3.9.",Umse!$B$11="3.10.",Umse!$B$11="4.1.",Umse!$B$11="4.2.",Umse!$B$11="4.3.",Umse!$B$11="4.4.",Umse!$B$11="4.5.",Umse!$B$11="4.6.",Umse!$B$11="6.1.",Umse!$B$11="6.2.",Umse!$B$11="6.3.",Umse!$B$11="6.4.",Umse!$B$11="6.5.",Umse!$B$11="6.6."),'Kr Mask'!K56,'B Mask'!K56&amp;'V Mask'!K56&amp;'VKr-AT Mask'!K56&amp;'L Mask'!K56&amp;'AVH Mask'!K56)</f>
        <v>EG</v>
      </c>
      <c r="L56" s="276" t="str">
        <f>IF(OR(Umse!$B$11="3.1.",Umse!$B$11="3.2.",Umse!$B$11="3.5.",Umse!$B$11="3.6.",Umse!$B$11="3.9.",Umse!$B$11="3.10.",Umse!$B$11="4.1.",Umse!$B$11="4.2.",Umse!$B$11="4.3.",Umse!$B$11="4.4.",Umse!$B$11="4.5.",Umse!$B$11="4.6.",Umse!$B$11="6.1.",Umse!$B$11="6.2.",Umse!$B$11="6.3.",Umse!$B$11="6.4.",Umse!$B$11="6.5.",Umse!$B$11="6.6."),'Kr Mask'!L56,'B Mask'!L56&amp;'V Mask'!L56&amp;'VKr-AT Mask'!L56&amp;'L Mask'!L56&amp;'AVH Mask'!L56)</f>
        <v>9a</v>
      </c>
      <c r="M56" s="234">
        <f>IF(OR(Umse!$C$24=0,Umse!$B$11=0),"",IF(OR(Umse!$B$11="3.1.",Umse!$B$11="3.2.",Umse!$B$11="3.5.",Umse!$B$11="3.6.",Umse!$B$11="3.9.",Umse!$B$11="3.10.",Umse!$B$11="3.9.",Umse!$B$11="3.10.",Kalk!$B$5=4,Kalk!$B$5=6),'Kr Mask'!M56,IF(Kalk!$B$5=8,'AVH Mask'!M56,IF(AND('B Mask'!M56=0,'V Mask'!M56=0,'VKr-AT Mask'!M56=0,'L Mask'!M56=0),"",IF(OR('B Mask'!M56="-",'V Mask'!M56="-",'VKr-AT Mask'!M56="-",'L Mask'!M56="-",'AVH Mask'!M56="-"),"-",'B Mask'!M56+'V Mask'!M56+'VKr-AT Mask'!M56+'L Mask'!M56+'AVH Mask'!M56)))))</f>
        <v>23.810000000000002</v>
      </c>
      <c r="N56" s="234">
        <f>IF(OR(Umse!$C$24=0,Umse!$B$11=0),"",IF(OR(Umse!$B$11="3.1.",Umse!$B$11="3.2.",Umse!$B$11="3.5.",Umse!$B$11="3.6.",Umse!$B$11="3.9.",Umse!$B$11="3.10.",Umse!$B$11="3.9.",Umse!$B$11="3.10.",Kalk!$B$5=4,Kalk!$B$5=6),'Kr Mask'!N56,IF(Kalk!$B$5=8,'AVH Mask'!N56,IF(AND('B Mask'!N56=0,'V Mask'!N56=0,'VKr-AT Mask'!N56=0,'L Mask'!N56=0),"",IF(OR('B Mask'!N56="-",'V Mask'!N56="-",'VKr-AT Mask'!N56="-",'L Mask'!N56="-",'AVH Mask'!N56="-"),"-",'B Mask'!N56+'V Mask'!N56+'VKr-AT Mask'!N56+'L Mask'!N56+'AVH Mask'!N56)))))</f>
        <v>25.009999999999998</v>
      </c>
      <c r="O56" s="234">
        <f>IF(OR(Umse!$C$24=0,Umse!$B$11=0),"",IF(OR(Umse!$B$11="3.1.",Umse!$B$11="3.2.",Umse!$B$11="3.5.",Umse!$B$11="3.6.",Umse!$B$11="3.9.",Umse!$B$11="3.10.",Umse!$B$11="3.9.",Umse!$B$11="3.10.",Kalk!$B$5=4,Kalk!$B$5=6),'Kr Mask'!O56,IF(Kalk!$B$5=8,'AVH Mask'!O56,IF(AND('B Mask'!O56=0,'V Mask'!O56=0,'VKr-AT Mask'!O56=0,'L Mask'!O56=0),"",IF(OR('B Mask'!O56="-",'V Mask'!O56="-",'VKr-AT Mask'!O56="-",'L Mask'!O56="-",'AVH Mask'!O56="-"),"-",'B Mask'!O56+'V Mask'!O56+'VKr-AT Mask'!O56+'L Mask'!O56+'AVH Mask'!O56)))))</f>
        <v>25.339999999999996</v>
      </c>
      <c r="P56" s="234">
        <f>IF(OR(Umse!$C$24=0,Umse!$B$11=0),"",IF(OR(Umse!$B$11="3.1.",Umse!$B$11="3.2.",Umse!$B$11="3.5.",Umse!$B$11="3.6.",Umse!$B$11="3.9.",Umse!$B$11="3.10.",Umse!$B$11="3.9.",Umse!$B$11="3.10.",Kalk!$B$5=4,Kalk!$B$5=6),'Kr Mask'!P56,IF(Kalk!$B$5=8,'AVH Mask'!P56,IF(AND('B Mask'!P56=0,'V Mask'!P56=0,'VKr-AT Mask'!P56=0,'L Mask'!P56=0),"",IF(OR('B Mask'!P56="-",'V Mask'!P56="-",'VKr-AT Mask'!P56="-",'L Mask'!P56="-",'AVH Mask'!P56="-"),"-",'B Mask'!P56+'V Mask'!P56+'VKr-AT Mask'!P56+'L Mask'!P56+'AVH Mask'!P56)))))</f>
        <v>26.450000000000003</v>
      </c>
      <c r="Q56" s="234">
        <f>IF(OR(Umse!$C$24=0,Umse!$B$11=0),"",IF(OR(Umse!$B$11="3.1.",Umse!$B$11="3.2.",Umse!$B$11="3.5.",Umse!$B$11="3.6.",Umse!$B$11="3.9.",Umse!$B$11="3.10.",Umse!$B$11="3.9.",Umse!$B$11="3.10.",Kalk!$B$5=4,Kalk!$B$5=6),'Kr Mask'!Q56,IF(Kalk!$B$5=8,'AVH Mask'!Q56,IF(AND('B Mask'!Q56=0,'V Mask'!Q56=0,'VKr-AT Mask'!Q56=0,'L Mask'!Q56=0),"",IF(OR('B Mask'!Q56="-",'V Mask'!Q56="-",'VKr-AT Mask'!Q56="-",'L Mask'!Q56="-",'AVH Mask'!Q56="-"),"-",'B Mask'!Q56+'V Mask'!Q56+'VKr-AT Mask'!Q56+'L Mask'!Q56+'AVH Mask'!Q56)))))</f>
        <v>26.450000000000003</v>
      </c>
      <c r="R56" s="234">
        <f>IF(OR(Umse!$C$24=0,Umse!$B$11=0),"",IF(OR(Umse!$B$11="3.1.",Umse!$B$11="3.2.",Umse!$B$11="3.5.",Umse!$B$11="3.6.",Umse!$B$11="3.9.",Umse!$B$11="3.10.",Umse!$B$11="3.9.",Umse!$B$11="3.10.",Kalk!$B$5=4,Kalk!$B$5=6),'Kr Mask'!R56,IF(Kalk!$B$5=8,'AVH Mask'!R56,IF(AND('B Mask'!R56=0,'V Mask'!R56=0,'VKr-AT Mask'!R56=0,'L Mask'!R56=0),"",IF(OR('B Mask'!R56="-",'V Mask'!R56="-",'VKr-AT Mask'!R56="-",'L Mask'!R56="-",'AVH Mask'!R56="-"),"-",'B Mask'!R56+'V Mask'!R56+'VKr-AT Mask'!R56+'L Mask'!R56+'AVH Mask'!R56)))))</f>
        <v>26.450000000000003</v>
      </c>
    </row>
    <row r="57" spans="2:18" ht="10.5" customHeight="1">
      <c r="B57" s="273" t="str">
        <f>'B Mask'!B57&amp;'V Mask'!B57&amp;'VKr-AT Mask'!B57&amp;'Kr Mask'!B57&amp;'L Mask'!B57&amp;'AVH Mask'!B57</f>
        <v>EG</v>
      </c>
      <c r="C57" s="274" t="str">
        <f>'B Mask'!C57&amp;'V Mask'!C57&amp;'VKr-AT Mask'!C57&amp;'Kr Mask'!C57&amp;'L Mask'!C57&amp;'AVH Mask'!C57</f>
        <v>8</v>
      </c>
      <c r="D57" s="233">
        <f>IF(OR(Umse!$C$24=0,Umse!$B$11=0),"",IF(AND('B Mask'!D57="",'V Mask'!D57="",'VKr-AT Mask'!D57="",'Kr Mask'!D57="",'L Mask'!D57="",'AVH Mask'!D57=""),"",IF(OR('B Mask'!D57="-",'V Mask'!D57="-",'VKr-AT Mask'!D57="-",'Kr Mask'!D57="-",'L Mask'!D57="-",'AVH Mask'!D57="-"),"-",'B Mask'!D57+'V Mask'!D57+'VKr-AT Mask'!D57+'Kr Mask'!D57+'L Mask'!D57+'AVH Mask'!D57)))</f>
        <v>5.63</v>
      </c>
      <c r="E57" s="233">
        <f>IF(OR(Umse!$C$24=0,Umse!$B$11=0),"",IF(AND('B Mask'!E57="",'V Mask'!E57="",'VKr-AT Mask'!E57="",'Kr Mask'!E57="",'L Mask'!E57="",'AVH Mask'!E57=""),"",IF(OR('B Mask'!E57="-",'V Mask'!E57="-",'VKr-AT Mask'!E57="-",'Kr Mask'!E57="-",'L Mask'!E57="-",'AVH Mask'!E57="-"),"-",IF(OR(Umse!$B$11="3.1.",Umse!$B$11="3.2.",Umse!$B$11="3.5.",Umse!$B$11="3.6.",Umse!$B$11="3.9.",Umse!$B$11="3.10."),'Kr Mask'!E57,IF(OR(Umse!$B$11="3.3.",Umse!$B$11="3.4.",Umse!$B$11="3.7.",Umse!$B$11="3.8.",Umse!$B$11="3.11.",Umse!$B$11="3.12."),'VKr-AT Mask'!E57,'B Mask'!E57+'V Mask'!E57+'VKr-AT Mask'!E57+'Kr Mask'!E57+'L Mask'!E57+'AVH Mask'!E57)))))</f>
        <v>3.75</v>
      </c>
      <c r="F57" s="233">
        <f>IF(OR(Umse!$C$24=0,Umse!$B$11=0),"",IF(AND('B Mask'!F57="",'V Mask'!F57="",'VKr-AT Mask'!F57="",'Kr Mask'!F57="",'L Mask'!F57="",'AVH Mask'!F57=""),"",IF(OR('B Mask'!F57="-",'V Mask'!F57="-",'VKr-AT Mask'!F57="-",'Kr Mask'!F57="-",'L Mask'!F57="-",'AVH Mask'!F57="-"),"-",'B Mask'!F57+'V Mask'!F57+'VKr-AT Mask'!F57+'Kr Mask'!F57+'L Mask'!F57+'AVH Mask'!F57)))</f>
        <v>4.6900000000000004</v>
      </c>
      <c r="G57" s="233">
        <f>IF(OR(Umse!$C$24=0,Umse!$B$11=0),"",IF(AND('B Mask'!G57="",'V Mask'!G57="",'VKr-AT Mask'!G57="",'Kr Mask'!G57="",'L Mask'!G57="",'AVH Mask'!G57=""),"",IF(OR('B Mask'!G57="-",'V Mask'!G57="-",'VKr-AT Mask'!G57="-",'Kr Mask'!G57="-",'L Mask'!G57="-",'AVH Mask'!G57="-"),"-",'B Mask'!G57+'V Mask'!G57+'VKr-AT Mask'!G57+'Kr Mask'!G57+'L Mask'!G57+'AVH Mask'!G57)))</f>
        <v>6.57</v>
      </c>
      <c r="H57" s="233">
        <f>IF(OR(Umse!$C$24=0,Umse!$B$11=0),"",IF(AND('B Mask'!H57="",'V Mask'!H57="",'VKr-AT Mask'!H57="",'Kr Mask'!H57="",'L Mask'!H57="",'AVH Mask'!H57=""),"",IF(OR('B Mask'!H57="-",'V Mask'!H57="-",'VKr-AT Mask'!H57="-",'Kr Mask'!H57="-",'L Mask'!H57="-",'AVH Mask'!H57="-"),"-",'B Mask'!H57+'V Mask'!H57+'VKr-AT Mask'!H57+'Kr Mask'!H57+'L Mask'!H57+'AVH Mask'!H57)))</f>
        <v>25.34</v>
      </c>
      <c r="I57" s="233">
        <f>IF(OR(Umse!$C$24=0,Umse!$B$11=0),"",IF(AND('B Mask'!I57="",'V Mask'!I57="",'VKr-AT Mask'!I57="",'Kr Mask'!I57="",'L Mask'!I57="",'AVH Mask'!I57=""),"",IF(OR('B Mask'!I57="-",'V Mask'!I57="-",'VKr-AT Mask'!I57="-",'Kr Mask'!I57="-",'L Mask'!I57="-",'AVH Mask'!I57="-"),"-",'B Mask'!I57+'V Mask'!I57+'VKr-AT Mask'!I57+'Kr Mask'!I57+'L Mask'!I57+'AVH Mask'!I57)))</f>
        <v>6.57</v>
      </c>
      <c r="J57" s="254" t="str">
        <f>'B Mask'!J57&amp;'V Mask'!J57&amp;'VKr-AT Mask'!J57&amp;'VKr Mask'!J57&amp;'L Mask'!J57&amp;'AVH Mask'!J57</f>
        <v/>
      </c>
      <c r="K57" s="273" t="str">
        <f>IF(OR(Umse!$B$11="3.1.",Umse!$B$11="3.2.",Umse!$B$11="3.5.",Umse!$B$11="3.6.",Umse!$B$11="3.9.",Umse!$B$11="3.10.",Umse!$B$11="4.1.",Umse!$B$11="4.2.",Umse!$B$11="4.3.",Umse!$B$11="4.4.",Umse!$B$11="4.5.",Umse!$B$11="4.6.",Umse!$B$11="6.1.",Umse!$B$11="6.2.",Umse!$B$11="6.3.",Umse!$B$11="6.4.",Umse!$B$11="6.5.",Umse!$B$11="6.6."),'Kr Mask'!K57,'B Mask'!K57&amp;'V Mask'!K57&amp;'VKr-AT Mask'!K57&amp;'L Mask'!K57&amp;'AVH Mask'!K57)</f>
        <v>EG</v>
      </c>
      <c r="L57" s="274" t="str">
        <f>IF(OR(Umse!$B$11="3.1.",Umse!$B$11="3.2.",Umse!$B$11="3.5.",Umse!$B$11="3.6.",Umse!$B$11="3.9.",Umse!$B$11="3.10.",Umse!$B$11="4.1.",Umse!$B$11="4.2.",Umse!$B$11="4.3.",Umse!$B$11="4.4.",Umse!$B$11="4.5.",Umse!$B$11="4.6.",Umse!$B$11="6.1.",Umse!$B$11="6.2.",Umse!$B$11="6.3.",Umse!$B$11="6.4.",Umse!$B$11="6.5.",Umse!$B$11="6.6."),'Kr Mask'!L57,'B Mask'!L57&amp;'V Mask'!L57&amp;'VKr-AT Mask'!L57&amp;'L Mask'!L57&amp;'AVH Mask'!L57)</f>
        <v>8</v>
      </c>
      <c r="M57" s="233">
        <f>IF(OR(Umse!$C$24=0,Umse!$B$11=0),"",IF(OR(Umse!$B$11="3.1.",Umse!$B$11="3.2.",Umse!$B$11="3.5.",Umse!$B$11="3.6.",Umse!$B$11="3.9.",Umse!$B$11="3.10.",Umse!$B$11="3.9.",Umse!$B$11="3.10.",Kalk!$B$5=4,Kalk!$B$5=6),'Kr Mask'!M57,IF(Kalk!$B$5=8,'AVH Mask'!M57,IF(AND('B Mask'!M57=0,'V Mask'!M57=0,'VKr-AT Mask'!M57=0,'L Mask'!M57=0),"",IF(OR('B Mask'!M57="-",'V Mask'!M57="-",'VKr-AT Mask'!M57="-",'L Mask'!M57="-",'AVH Mask'!M57="-"),"-",'B Mask'!M57+'V Mask'!M57+'VKr-AT Mask'!M57+'L Mask'!M57+'AVH Mask'!M57)))))</f>
        <v>22.49</v>
      </c>
      <c r="N57" s="233">
        <f>IF(OR(Umse!$C$24=0,Umse!$B$11=0),"",IF(OR(Umse!$B$11="3.1.",Umse!$B$11="3.2.",Umse!$B$11="3.5.",Umse!$B$11="3.6.",Umse!$B$11="3.9.",Umse!$B$11="3.10.",Umse!$B$11="3.9.",Umse!$B$11="3.10.",Kalk!$B$5=4,Kalk!$B$5=6),'Kr Mask'!N57,IF(Kalk!$B$5=8,'AVH Mask'!N57,IF(AND('B Mask'!N57=0,'V Mask'!N57=0,'VKr-AT Mask'!N57=0,'L Mask'!N57=0),"",IF(OR('B Mask'!N57="-",'V Mask'!N57="-",'VKr-AT Mask'!N57="-",'L Mask'!N57="-",'AVH Mask'!N57="-"),"-",'B Mask'!N57+'V Mask'!N57+'VKr-AT Mask'!N57+'L Mask'!N57+'AVH Mask'!N57)))))</f>
        <v>23.619999999999997</v>
      </c>
      <c r="O57" s="233">
        <f>IF(OR(Umse!$C$24=0,Umse!$B$11=0),"",IF(OR(Umse!$B$11="3.1.",Umse!$B$11="3.2.",Umse!$B$11="3.5.",Umse!$B$11="3.6.",Umse!$B$11="3.9.",Umse!$B$11="3.10.",Umse!$B$11="3.9.",Umse!$B$11="3.10.",Kalk!$B$5=4,Kalk!$B$5=6),'Kr Mask'!O57,IF(Kalk!$B$5=8,'AVH Mask'!O57,IF(AND('B Mask'!O57=0,'V Mask'!O57=0,'VKr-AT Mask'!O57=0,'L Mask'!O57=0),"",IF(OR('B Mask'!O57="-",'V Mask'!O57="-",'VKr-AT Mask'!O57="-",'L Mask'!O57="-",'AVH Mask'!O57="-"),"-",'B Mask'!O57+'V Mask'!O57+'VKr-AT Mask'!O57+'L Mask'!O57+'AVH Mask'!O57)))))</f>
        <v>24.4</v>
      </c>
      <c r="P57" s="233">
        <f>IF(OR(Umse!$C$24=0,Umse!$B$11=0),"",IF(OR(Umse!$B$11="3.1.",Umse!$B$11="3.2.",Umse!$B$11="3.5.",Umse!$B$11="3.6.",Umse!$B$11="3.9.",Umse!$B$11="3.10.",Umse!$B$11="3.9.",Umse!$B$11="3.10.",Kalk!$B$5=4,Kalk!$B$5=6),'Kr Mask'!P57,IF(Kalk!$B$5=8,'AVH Mask'!P57,IF(AND('B Mask'!P57=0,'V Mask'!P57=0,'VKr-AT Mask'!P57=0,'L Mask'!P57=0),"",IF(OR('B Mask'!P57="-",'V Mask'!P57="-",'VKr-AT Mask'!P57="-",'L Mask'!P57="-",'AVH Mask'!P57="-"),"-",'B Mask'!P57+'V Mask'!P57+'VKr-AT Mask'!P57+'L Mask'!P57+'AVH Mask'!P57)))))</f>
        <v>25.18</v>
      </c>
      <c r="Q57" s="233">
        <f>IF(OR(Umse!$C$24=0,Umse!$B$11=0),"",IF(OR(Umse!$B$11="3.1.",Umse!$B$11="3.2.",Umse!$B$11="3.5.",Umse!$B$11="3.6.",Umse!$B$11="3.9.",Umse!$B$11="3.10.",Umse!$B$11="3.9.",Umse!$B$11="3.10.",Kalk!$B$5=4,Kalk!$B$5=6),'Kr Mask'!Q57,IF(Kalk!$B$5=8,'AVH Mask'!Q57,IF(AND('B Mask'!Q57=0,'V Mask'!Q57=0,'VKr-AT Mask'!Q57=0,'L Mask'!Q57=0),"",IF(OR('B Mask'!Q57="-",'V Mask'!Q57="-",'VKr-AT Mask'!Q57="-",'L Mask'!Q57="-",'AVH Mask'!Q57="-"),"-",'B Mask'!Q57+'V Mask'!Q57+'VKr-AT Mask'!Q57+'L Mask'!Q57+'AVH Mask'!Q57)))))</f>
        <v>25.18</v>
      </c>
      <c r="R57" s="233">
        <f>IF(OR(Umse!$C$24=0,Umse!$B$11=0),"",IF(OR(Umse!$B$11="3.1.",Umse!$B$11="3.2.",Umse!$B$11="3.5.",Umse!$B$11="3.6.",Umse!$B$11="3.9.",Umse!$B$11="3.10.",Umse!$B$11="3.9.",Umse!$B$11="3.10.",Kalk!$B$5=4,Kalk!$B$5=6),'Kr Mask'!R57,IF(Kalk!$B$5=8,'AVH Mask'!R57,IF(AND('B Mask'!R57=0,'V Mask'!R57=0,'VKr-AT Mask'!R57=0,'L Mask'!R57=0),"",IF(OR('B Mask'!R57="-",'V Mask'!R57="-",'VKr-AT Mask'!R57="-",'L Mask'!R57="-",'AVH Mask'!R57="-"),"-",'B Mask'!R57+'V Mask'!R57+'VKr-AT Mask'!R57+'L Mask'!R57+'AVH Mask'!R57)))))</f>
        <v>25.18</v>
      </c>
    </row>
    <row r="58" spans="2:18" ht="10.5" customHeight="1">
      <c r="B58" s="275" t="str">
        <f>'B Mask'!B58&amp;'V Mask'!B58&amp;'VKr-AT Mask'!B58&amp;'Kr Mask'!B58&amp;'L Mask'!B58&amp;'AVH Mask'!B58</f>
        <v>EG</v>
      </c>
      <c r="C58" s="276" t="str">
        <f>'B Mask'!C58&amp;'V Mask'!C58&amp;'VKr-AT Mask'!C58&amp;'Kr Mask'!C58&amp;'L Mask'!C58&amp;'AVH Mask'!C58</f>
        <v>7</v>
      </c>
      <c r="D58" s="234">
        <f>IF(OR(Umse!$C$24=0,Umse!$B$11=0),"",IF(AND('B Mask'!D58="",'V Mask'!D58="",'VKr-AT Mask'!D58="",'Kr Mask'!D58="",'L Mask'!D58="",'AVH Mask'!D58=""),"",IF(OR('B Mask'!D58="-",'V Mask'!D58="-",'VKr-AT Mask'!D58="-",'Kr Mask'!D58="-",'L Mask'!D58="-",'AVH Mask'!D58="-"),"-",'B Mask'!D58+'V Mask'!D58+'VKr-AT Mask'!D58+'Kr Mask'!D58+'L Mask'!D58+'AVH Mask'!D58)))</f>
        <v>5.37</v>
      </c>
      <c r="E58" s="234">
        <f>IF(OR(Umse!$C$24=0,Umse!$B$11=0),"",IF(AND('B Mask'!E58="",'V Mask'!E58="",'VKr-AT Mask'!E58="",'Kr Mask'!E58="",'L Mask'!E58="",'AVH Mask'!E58=""),"",IF(OR('B Mask'!E58="-",'V Mask'!E58="-",'VKr-AT Mask'!E58="-",'Kr Mask'!E58="-",'L Mask'!E58="-",'AVH Mask'!E58="-"),"-",IF(OR(Umse!$B$11="3.1.",Umse!$B$11="3.2.",Umse!$B$11="3.5.",Umse!$B$11="3.6.",Umse!$B$11="3.9.",Umse!$B$11="3.10."),'Kr Mask'!E58,IF(OR(Umse!$B$11="3.3.",Umse!$B$11="3.4.",Umse!$B$11="3.7.",Umse!$B$11="3.8.",Umse!$B$11="3.11.",Umse!$B$11="3.12."),'VKr-AT Mask'!E58,'B Mask'!E58+'V Mask'!E58+'VKr-AT Mask'!E58+'Kr Mask'!E58+'L Mask'!E58+'AVH Mask'!E58)))))</f>
        <v>3.58</v>
      </c>
      <c r="F58" s="234">
        <f>IF(OR(Umse!$C$24=0,Umse!$B$11=0),"",IF(AND('B Mask'!F58="",'V Mask'!F58="",'VKr-AT Mask'!F58="",'Kr Mask'!F58="",'L Mask'!F58="",'AVH Mask'!F58=""),"",IF(OR('B Mask'!F58="-",'V Mask'!F58="-",'VKr-AT Mask'!F58="-",'Kr Mask'!F58="-",'L Mask'!F58="-",'AVH Mask'!F58="-"),"-",'B Mask'!F58+'V Mask'!F58+'VKr-AT Mask'!F58+'Kr Mask'!F58+'L Mask'!F58+'AVH Mask'!F58)))</f>
        <v>4.4800000000000004</v>
      </c>
      <c r="G58" s="234">
        <f>IF(OR(Umse!$C$24=0,Umse!$B$11=0),"",IF(AND('B Mask'!G58="",'V Mask'!G58="",'VKr-AT Mask'!G58="",'Kr Mask'!G58="",'L Mask'!G58="",'AVH Mask'!G58=""),"",IF(OR('B Mask'!G58="-",'V Mask'!G58="-",'VKr-AT Mask'!G58="-",'Kr Mask'!G58="-",'L Mask'!G58="-",'AVH Mask'!G58="-"),"-",'B Mask'!G58+'V Mask'!G58+'VKr-AT Mask'!G58+'Kr Mask'!G58+'L Mask'!G58+'AVH Mask'!G58)))</f>
        <v>6.27</v>
      </c>
      <c r="H58" s="234">
        <f>IF(OR(Umse!$C$24=0,Umse!$B$11=0),"",IF(AND('B Mask'!H58="",'V Mask'!H58="",'VKr-AT Mask'!H58="",'Kr Mask'!H58="",'L Mask'!H58="",'AVH Mask'!H58=""),"",IF(OR('B Mask'!H58="-",'V Mask'!H58="-",'VKr-AT Mask'!H58="-",'Kr Mask'!H58="-",'L Mask'!H58="-",'AVH Mask'!H58="-"),"-",'B Mask'!H58+'V Mask'!H58+'VKr-AT Mask'!H58+'Kr Mask'!H58+'L Mask'!H58+'AVH Mask'!H58)))</f>
        <v>24.18</v>
      </c>
      <c r="I58" s="234">
        <f>IF(OR(Umse!$C$24=0,Umse!$B$11=0),"",IF(AND('B Mask'!I58="",'V Mask'!I58="",'VKr-AT Mask'!I58="",'Kr Mask'!I58="",'L Mask'!I58="",'AVH Mask'!I58=""),"",IF(OR('B Mask'!I58="-",'V Mask'!I58="-",'VKr-AT Mask'!I58="-",'Kr Mask'!I58="-",'L Mask'!I58="-",'AVH Mask'!I58="-"),"-",'B Mask'!I58+'V Mask'!I58+'VKr-AT Mask'!I58+'Kr Mask'!I58+'L Mask'!I58+'AVH Mask'!I58)))</f>
        <v>6.27</v>
      </c>
      <c r="J58" s="254" t="str">
        <f>'B Mask'!J58&amp;'V Mask'!J58&amp;'VKr-AT Mask'!J58&amp;'VKr Mask'!J58&amp;'L Mask'!J58&amp;'AVH Mask'!J58</f>
        <v/>
      </c>
      <c r="K58" s="275" t="str">
        <f>IF(OR(Umse!$B$11="3.1.",Umse!$B$11="3.2.",Umse!$B$11="3.5.",Umse!$B$11="3.6.",Umse!$B$11="3.9.",Umse!$B$11="3.10.",Umse!$B$11="4.1.",Umse!$B$11="4.2.",Umse!$B$11="4.3.",Umse!$B$11="4.4.",Umse!$B$11="4.5.",Umse!$B$11="4.6.",Umse!$B$11="6.1.",Umse!$B$11="6.2.",Umse!$B$11="6.3.",Umse!$B$11="6.4.",Umse!$B$11="6.5.",Umse!$B$11="6.6."),'Kr Mask'!K58,'B Mask'!K58&amp;'V Mask'!K58&amp;'VKr-AT Mask'!K58&amp;'L Mask'!K58&amp;'AVH Mask'!K58)</f>
        <v>EG</v>
      </c>
      <c r="L58" s="276" t="str">
        <f>IF(OR(Umse!$B$11="3.1.",Umse!$B$11="3.2.",Umse!$B$11="3.5.",Umse!$B$11="3.6.",Umse!$B$11="3.9.",Umse!$B$11="3.10.",Umse!$B$11="4.1.",Umse!$B$11="4.2.",Umse!$B$11="4.3.",Umse!$B$11="4.4.",Umse!$B$11="4.5.",Umse!$B$11="4.6.",Umse!$B$11="6.1.",Umse!$B$11="6.2.",Umse!$B$11="6.3.",Umse!$B$11="6.4.",Umse!$B$11="6.5.",Umse!$B$11="6.6."),'Kr Mask'!L58,'B Mask'!L58&amp;'V Mask'!L58&amp;'VKr-AT Mask'!L58&amp;'L Mask'!L58&amp;'AVH Mask'!L58)</f>
        <v>7</v>
      </c>
      <c r="M58" s="234">
        <f>IF(OR(Umse!$C$24=0,Umse!$B$11=0),"",IF(OR(Umse!$B$11="3.1.",Umse!$B$11="3.2.",Umse!$B$11="3.5.",Umse!$B$11="3.6.",Umse!$B$11="3.9.",Umse!$B$11="3.10.",Umse!$B$11="3.9.",Umse!$B$11="3.10.",Kalk!$B$5=4,Kalk!$B$5=6),'Kr Mask'!M58,IF(Kalk!$B$5=8,'AVH Mask'!M58,IF(AND('B Mask'!M58=0,'V Mask'!M58=0,'VKr-AT Mask'!M58=0,'L Mask'!M58=0),"",IF(OR('B Mask'!M58="-",'V Mask'!M58="-",'VKr-AT Mask'!M58="-",'L Mask'!M58="-",'AVH Mask'!M58="-"),"-",'B Mask'!M58+'V Mask'!M58+'VKr-AT Mask'!M58+'L Mask'!M58+'AVH Mask'!M58)))))</f>
        <v>21.21</v>
      </c>
      <c r="N58" s="234">
        <f>IF(OR(Umse!$C$24=0,Umse!$B$11=0),"",IF(OR(Umse!$B$11="3.1.",Umse!$B$11="3.2.",Umse!$B$11="3.5.",Umse!$B$11="3.6.",Umse!$B$11="3.9.",Umse!$B$11="3.10.",Umse!$B$11="3.9.",Umse!$B$11="3.10.",Kalk!$B$5=4,Kalk!$B$5=6),'Kr Mask'!N58,IF(Kalk!$B$5=8,'AVH Mask'!N58,IF(AND('B Mask'!N58=0,'V Mask'!N58=0,'VKr-AT Mask'!N58=0,'L Mask'!N58=0),"",IF(OR('B Mask'!N58="-",'V Mask'!N58="-",'VKr-AT Mask'!N58="-",'L Mask'!N58="-",'AVH Mask'!N58="-"),"-",'B Mask'!N58+'V Mask'!N58+'VKr-AT Mask'!N58+'L Mask'!N58+'AVH Mask'!N58)))))</f>
        <v>22.51</v>
      </c>
      <c r="O58" s="234">
        <f>IF(OR(Umse!$C$24=0,Umse!$B$11=0),"",IF(OR(Umse!$B$11="3.1.",Umse!$B$11="3.2.",Umse!$B$11="3.5.",Umse!$B$11="3.6.",Umse!$B$11="3.9.",Umse!$B$11="3.10.",Umse!$B$11="3.9.",Umse!$B$11="3.10.",Kalk!$B$5=4,Kalk!$B$5=6),'Kr Mask'!O58,IF(Kalk!$B$5=8,'AVH Mask'!O58,IF(AND('B Mask'!O58=0,'V Mask'!O58=0,'VKr-AT Mask'!O58=0,'L Mask'!O58=0),"",IF(OR('B Mask'!O58="-",'V Mask'!O58="-",'VKr-AT Mask'!O58="-",'L Mask'!O58="-",'AVH Mask'!O58="-"),"-",'B Mask'!O58+'V Mask'!O58+'VKr-AT Mask'!O58+'L Mask'!O58+'AVH Mask'!O58)))))</f>
        <v>23.28</v>
      </c>
      <c r="P58" s="234">
        <f>IF(OR(Umse!$C$24=0,Umse!$B$11=0),"",IF(OR(Umse!$B$11="3.1.",Umse!$B$11="3.2.",Umse!$B$11="3.5.",Umse!$B$11="3.6.",Umse!$B$11="3.9.",Umse!$B$11="3.10.",Umse!$B$11="3.9.",Umse!$B$11="3.10.",Kalk!$B$5=4,Kalk!$B$5=6),'Kr Mask'!P58,IF(Kalk!$B$5=8,'AVH Mask'!P58,IF(AND('B Mask'!P58=0,'V Mask'!P58=0,'VKr-AT Mask'!P58=0,'L Mask'!P58=0),"",IF(OR('B Mask'!P58="-",'V Mask'!P58="-",'VKr-AT Mask'!P58="-",'L Mask'!P58="-",'AVH Mask'!P58="-"),"-",'B Mask'!P58+'V Mask'!P58+'VKr-AT Mask'!P58+'L Mask'!P58+'AVH Mask'!P58)))))</f>
        <v>24.060000000000002</v>
      </c>
      <c r="Q58" s="234">
        <f>IF(OR(Umse!$C$24=0,Umse!$B$11=0),"",IF(OR(Umse!$B$11="3.1.",Umse!$B$11="3.2.",Umse!$B$11="3.5.",Umse!$B$11="3.6.",Umse!$B$11="3.9.",Umse!$B$11="3.10.",Umse!$B$11="3.9.",Umse!$B$11="3.10.",Kalk!$B$5=4,Kalk!$B$5=6),'Kr Mask'!Q58,IF(Kalk!$B$5=8,'AVH Mask'!Q58,IF(AND('B Mask'!Q58=0,'V Mask'!Q58=0,'VKr-AT Mask'!Q58=0,'L Mask'!Q58=0),"",IF(OR('B Mask'!Q58="-",'V Mask'!Q58="-",'VKr-AT Mask'!Q58="-",'L Mask'!Q58="-",'AVH Mask'!Q58="-"),"-",'B Mask'!Q58+'V Mask'!Q58+'VKr-AT Mask'!Q58+'L Mask'!Q58+'AVH Mask'!Q58)))))</f>
        <v>24.060000000000002</v>
      </c>
      <c r="R58" s="234">
        <f>IF(OR(Umse!$C$24=0,Umse!$B$11=0),"",IF(OR(Umse!$B$11="3.1.",Umse!$B$11="3.2.",Umse!$B$11="3.5.",Umse!$B$11="3.6.",Umse!$B$11="3.9.",Umse!$B$11="3.10.",Umse!$B$11="3.9.",Umse!$B$11="3.10.",Kalk!$B$5=4,Kalk!$B$5=6),'Kr Mask'!R58,IF(Kalk!$B$5=8,'AVH Mask'!R58,IF(AND('B Mask'!R58=0,'V Mask'!R58=0,'VKr-AT Mask'!R58=0,'L Mask'!R58=0),"",IF(OR('B Mask'!R58="-",'V Mask'!R58="-",'VKr-AT Mask'!R58="-",'L Mask'!R58="-",'AVH Mask'!R58="-"),"-",'B Mask'!R58+'V Mask'!R58+'VKr-AT Mask'!R58+'L Mask'!R58+'AVH Mask'!R58)))))</f>
        <v>24.060000000000002</v>
      </c>
    </row>
    <row r="59" spans="2:18" ht="10.5" customHeight="1">
      <c r="B59" s="273" t="str">
        <f>'B Mask'!B59&amp;'V Mask'!B59&amp;'VKr-AT Mask'!B59&amp;'Kr Mask'!B59&amp;'L Mask'!B59&amp;'AVH Mask'!B59</f>
        <v>EG</v>
      </c>
      <c r="C59" s="274" t="str">
        <f>'B Mask'!C59&amp;'V Mask'!C59&amp;'VKr-AT Mask'!C59&amp;'Kr Mask'!C59&amp;'L Mask'!C59&amp;'AVH Mask'!C59</f>
        <v>6</v>
      </c>
      <c r="D59" s="233">
        <f>IF(OR(Umse!$C$24=0,Umse!$B$11=0),"",IF(AND('B Mask'!D59="",'V Mask'!D59="",'VKr-AT Mask'!D59="",'Kr Mask'!D59="",'L Mask'!D59="",'AVH Mask'!D59=""),"",IF(OR('B Mask'!D59="-",'V Mask'!D59="-",'VKr-AT Mask'!D59="-",'Kr Mask'!D59="-",'L Mask'!D59="-",'AVH Mask'!D59="-"),"-",'B Mask'!D59+'V Mask'!D59+'VKr-AT Mask'!D59+'Kr Mask'!D59+'L Mask'!D59+'AVH Mask'!D59)))</f>
        <v>5.21</v>
      </c>
      <c r="E59" s="233">
        <f>IF(OR(Umse!$C$24=0,Umse!$B$11=0),"",IF(AND('B Mask'!E59="",'V Mask'!E59="",'VKr-AT Mask'!E59="",'Kr Mask'!E59="",'L Mask'!E59="",'AVH Mask'!E59=""),"",IF(OR('B Mask'!E59="-",'V Mask'!E59="-",'VKr-AT Mask'!E59="-",'Kr Mask'!E59="-",'L Mask'!E59="-",'AVH Mask'!E59="-"),"-",IF(OR(Umse!$B$11="3.1.",Umse!$B$11="3.2.",Umse!$B$11="3.5.",Umse!$B$11="3.6.",Umse!$B$11="3.9.",Umse!$B$11="3.10."),'Kr Mask'!E59,IF(OR(Umse!$B$11="3.3.",Umse!$B$11="3.4.",Umse!$B$11="3.7.",Umse!$B$11="3.8.",Umse!$B$11="3.11.",Umse!$B$11="3.12."),'VKr-AT Mask'!E59,'B Mask'!E59+'V Mask'!E59+'VKr-AT Mask'!E59+'Kr Mask'!E59+'L Mask'!E59+'AVH Mask'!E59)))))</f>
        <v>3.47</v>
      </c>
      <c r="F59" s="233">
        <f>IF(OR(Umse!$C$24=0,Umse!$B$11=0),"",IF(AND('B Mask'!F59="",'V Mask'!F59="",'VKr-AT Mask'!F59="",'Kr Mask'!F59="",'L Mask'!F59="",'AVH Mask'!F59=""),"",IF(OR('B Mask'!F59="-",'V Mask'!F59="-",'VKr-AT Mask'!F59="-",'Kr Mask'!F59="-",'L Mask'!F59="-",'AVH Mask'!F59="-"),"-",'B Mask'!F59+'V Mask'!F59+'VKr-AT Mask'!F59+'Kr Mask'!F59+'L Mask'!F59+'AVH Mask'!F59)))</f>
        <v>4.34</v>
      </c>
      <c r="G59" s="233">
        <f>IF(OR(Umse!$C$24=0,Umse!$B$11=0),"",IF(AND('B Mask'!G59="",'V Mask'!G59="",'VKr-AT Mask'!G59="",'Kr Mask'!G59="",'L Mask'!G59="",'AVH Mask'!G59=""),"",IF(OR('B Mask'!G59="-",'V Mask'!G59="-",'VKr-AT Mask'!G59="-",'Kr Mask'!G59="-",'L Mask'!G59="-",'AVH Mask'!G59="-"),"-",'B Mask'!G59+'V Mask'!G59+'VKr-AT Mask'!G59+'Kr Mask'!G59+'L Mask'!G59+'AVH Mask'!G59)))</f>
        <v>6.08</v>
      </c>
      <c r="H59" s="233">
        <f>IF(OR(Umse!$C$24=0,Umse!$B$11=0),"",IF(AND('B Mask'!H59="",'V Mask'!H59="",'VKr-AT Mask'!H59="",'Kr Mask'!H59="",'L Mask'!H59="",'AVH Mask'!H59=""),"",IF(OR('B Mask'!H59="-",'V Mask'!H59="-",'VKr-AT Mask'!H59="-",'Kr Mask'!H59="-",'L Mask'!H59="-",'AVH Mask'!H59="-"),"-",'B Mask'!H59+'V Mask'!H59+'VKr-AT Mask'!H59+'Kr Mask'!H59+'L Mask'!H59+'AVH Mask'!H59)))</f>
        <v>23.44</v>
      </c>
      <c r="I59" s="233">
        <f>IF(OR(Umse!$C$24=0,Umse!$B$11=0),"",IF(AND('B Mask'!I59="",'V Mask'!I59="",'VKr-AT Mask'!I59="",'Kr Mask'!I59="",'L Mask'!I59="",'AVH Mask'!I59=""),"",IF(OR('B Mask'!I59="-",'V Mask'!I59="-",'VKr-AT Mask'!I59="-",'Kr Mask'!I59="-",'L Mask'!I59="-",'AVH Mask'!I59="-"),"-",'B Mask'!I59+'V Mask'!I59+'VKr-AT Mask'!I59+'Kr Mask'!I59+'L Mask'!I59+'AVH Mask'!I59)))</f>
        <v>6.08</v>
      </c>
      <c r="J59" s="254" t="str">
        <f>'B Mask'!J59&amp;'V Mask'!J59&amp;'VKr-AT Mask'!J59&amp;'VKr Mask'!J59&amp;'L Mask'!J59&amp;'AVH Mask'!J59</f>
        <v/>
      </c>
      <c r="K59" s="273" t="str">
        <f>IF(OR(Umse!$B$11="3.1.",Umse!$B$11="3.2.",Umse!$B$11="3.5.",Umse!$B$11="3.6.",Umse!$B$11="3.9.",Umse!$B$11="3.10.",Umse!$B$11="4.1.",Umse!$B$11="4.2.",Umse!$B$11="4.3.",Umse!$B$11="4.4.",Umse!$B$11="4.5.",Umse!$B$11="4.6.",Umse!$B$11="6.1.",Umse!$B$11="6.2.",Umse!$B$11="6.3.",Umse!$B$11="6.4.",Umse!$B$11="6.5.",Umse!$B$11="6.6."),'Kr Mask'!K59,'B Mask'!K59&amp;'V Mask'!K59&amp;'VKr-AT Mask'!K59&amp;'L Mask'!K59&amp;'AVH Mask'!K59)</f>
        <v>EG</v>
      </c>
      <c r="L59" s="274" t="str">
        <f>IF(OR(Umse!$B$11="3.1.",Umse!$B$11="3.2.",Umse!$B$11="3.5.",Umse!$B$11="3.6.",Umse!$B$11="3.9.",Umse!$B$11="3.10.",Umse!$B$11="4.1.",Umse!$B$11="4.2.",Umse!$B$11="4.3.",Umse!$B$11="4.4.",Umse!$B$11="4.5.",Umse!$B$11="4.6.",Umse!$B$11="6.1.",Umse!$B$11="6.2.",Umse!$B$11="6.3.",Umse!$B$11="6.4.",Umse!$B$11="6.5.",Umse!$B$11="6.6."),'Kr Mask'!L59,'B Mask'!L59&amp;'V Mask'!L59&amp;'VKr-AT Mask'!L59&amp;'L Mask'!L59&amp;'AVH Mask'!L59)</f>
        <v>6</v>
      </c>
      <c r="M59" s="233">
        <f>IF(OR(Umse!$C$24=0,Umse!$B$11=0),"",IF(OR(Umse!$B$11="3.1.",Umse!$B$11="3.2.",Umse!$B$11="3.5.",Umse!$B$11="3.6.",Umse!$B$11="3.9.",Umse!$B$11="3.10.",Umse!$B$11="3.9.",Umse!$B$11="3.10.",Kalk!$B$5=4,Kalk!$B$5=6),'Kr Mask'!M59,IF(Kalk!$B$5=8,'AVH Mask'!M59,IF(AND('B Mask'!M59=0,'V Mask'!M59=0,'VKr-AT Mask'!M59=0,'L Mask'!M59=0),"",IF(OR('B Mask'!M59="-",'V Mask'!M59="-",'VKr-AT Mask'!M59="-",'L Mask'!M59="-",'AVH Mask'!M59="-"),"-",'B Mask'!M59+'V Mask'!M59+'VKr-AT Mask'!M59+'L Mask'!M59+'AVH Mask'!M59)))))</f>
        <v>20.76</v>
      </c>
      <c r="N59" s="233">
        <f>IF(OR(Umse!$C$24=0,Umse!$B$11=0),"",IF(OR(Umse!$B$11="3.1.",Umse!$B$11="3.2.",Umse!$B$11="3.5.",Umse!$B$11="3.6.",Umse!$B$11="3.9.",Umse!$B$11="3.10.",Umse!$B$11="3.9.",Umse!$B$11="3.10.",Kalk!$B$5=4,Kalk!$B$5=6),'Kr Mask'!N59,IF(Kalk!$B$5=8,'AVH Mask'!N59,IF(AND('B Mask'!N59=0,'V Mask'!N59=0,'VKr-AT Mask'!N59=0,'L Mask'!N59=0),"",IF(OR('B Mask'!N59="-",'V Mask'!N59="-",'VKr-AT Mask'!N59="-",'L Mask'!N59="-",'AVH Mask'!N59="-"),"-",'B Mask'!N59+'V Mask'!N59+'VKr-AT Mask'!N59+'L Mask'!N59+'AVH Mask'!N59)))))</f>
        <v>21.82</v>
      </c>
      <c r="O59" s="233">
        <f>IF(OR(Umse!$C$24=0,Umse!$B$11=0),"",IF(OR(Umse!$B$11="3.1.",Umse!$B$11="3.2.",Umse!$B$11="3.5.",Umse!$B$11="3.6.",Umse!$B$11="3.9.",Umse!$B$11="3.10.",Umse!$B$11="3.9.",Umse!$B$11="3.10.",Kalk!$B$5=4,Kalk!$B$5=6),'Kr Mask'!O59,IF(Kalk!$B$5=8,'AVH Mask'!O59,IF(AND('B Mask'!O59=0,'V Mask'!O59=0,'VKr-AT Mask'!O59=0,'L Mask'!O59=0),"",IF(OR('B Mask'!O59="-",'V Mask'!O59="-",'VKr-AT Mask'!O59="-",'L Mask'!O59="-",'AVH Mask'!O59="-"),"-",'B Mask'!O59+'V Mask'!O59+'VKr-AT Mask'!O59+'L Mask'!O59+'AVH Mask'!O59)))))</f>
        <v>22.57</v>
      </c>
      <c r="P59" s="233">
        <f>IF(OR(Umse!$C$24=0,Umse!$B$11=0),"",IF(OR(Umse!$B$11="3.1.",Umse!$B$11="3.2.",Umse!$B$11="3.5.",Umse!$B$11="3.6.",Umse!$B$11="3.9.",Umse!$B$11="3.10.",Umse!$B$11="3.9.",Umse!$B$11="3.10.",Kalk!$B$5=4,Kalk!$B$5=6),'Kr Mask'!P59,IF(Kalk!$B$5=8,'AVH Mask'!P59,IF(AND('B Mask'!P59=0,'V Mask'!P59=0,'VKr-AT Mask'!P59=0,'L Mask'!P59=0),"",IF(OR('B Mask'!P59="-",'V Mask'!P59="-",'VKr-AT Mask'!P59="-",'L Mask'!P59="-",'AVH Mask'!P59="-"),"-",'B Mask'!P59+'V Mask'!P59+'VKr-AT Mask'!P59+'L Mask'!P59+'AVH Mask'!P59)))))</f>
        <v>23.310000000000002</v>
      </c>
      <c r="Q59" s="233">
        <f>IF(OR(Umse!$C$24=0,Umse!$B$11=0),"",IF(OR(Umse!$B$11="3.1.",Umse!$B$11="3.2.",Umse!$B$11="3.5.",Umse!$B$11="3.6.",Umse!$B$11="3.9.",Umse!$B$11="3.10.",Umse!$B$11="3.9.",Umse!$B$11="3.10.",Kalk!$B$5=4,Kalk!$B$5=6),'Kr Mask'!Q59,IF(Kalk!$B$5=8,'AVH Mask'!Q59,IF(AND('B Mask'!Q59=0,'V Mask'!Q59=0,'VKr-AT Mask'!Q59=0,'L Mask'!Q59=0),"",IF(OR('B Mask'!Q59="-",'V Mask'!Q59="-",'VKr-AT Mask'!Q59="-",'L Mask'!Q59="-",'AVH Mask'!Q59="-"),"-",'B Mask'!Q59+'V Mask'!Q59+'VKr-AT Mask'!Q59+'L Mask'!Q59+'AVH Mask'!Q59)))))</f>
        <v>23.310000000000002</v>
      </c>
      <c r="R59" s="233">
        <f>IF(OR(Umse!$C$24=0,Umse!$B$11=0),"",IF(OR(Umse!$B$11="3.1.",Umse!$B$11="3.2.",Umse!$B$11="3.5.",Umse!$B$11="3.6.",Umse!$B$11="3.9.",Umse!$B$11="3.10.",Umse!$B$11="3.9.",Umse!$B$11="3.10.",Kalk!$B$5=4,Kalk!$B$5=6),'Kr Mask'!R59,IF(Kalk!$B$5=8,'AVH Mask'!R59,IF(AND('B Mask'!R59=0,'V Mask'!R59=0,'VKr-AT Mask'!R59=0,'L Mask'!R59=0),"",IF(OR('B Mask'!R59="-",'V Mask'!R59="-",'VKr-AT Mask'!R59="-",'L Mask'!R59="-",'AVH Mask'!R59="-"),"-",'B Mask'!R59+'V Mask'!R59+'VKr-AT Mask'!R59+'L Mask'!R59+'AVH Mask'!R59)))))</f>
        <v>23.310000000000002</v>
      </c>
    </row>
    <row r="60" spans="2:18" ht="10.5" customHeight="1">
      <c r="B60" s="275" t="str">
        <f>'B Mask'!B60&amp;'V Mask'!B60&amp;'VKr-AT Mask'!B60&amp;'Kr Mask'!B60&amp;'L Mask'!B60&amp;'AVH Mask'!B60</f>
        <v>EG</v>
      </c>
      <c r="C60" s="276" t="str">
        <f>'B Mask'!C60&amp;'V Mask'!C60&amp;'VKr-AT Mask'!C60&amp;'Kr Mask'!C60&amp;'L Mask'!C60&amp;'AVH Mask'!C60</f>
        <v>5</v>
      </c>
      <c r="D60" s="234">
        <f>IF(OR(Umse!$C$24=0,Umse!$B$11=0),"",IF(AND('B Mask'!D60="",'V Mask'!D60="",'VKr-AT Mask'!D60="",'Kr Mask'!D60="",'L Mask'!D60="",'AVH Mask'!D60=""),"",IF(OR('B Mask'!D60="-",'V Mask'!D60="-",'VKr-AT Mask'!D60="-",'Kr Mask'!D60="-",'L Mask'!D60="-",'AVH Mask'!D60="-"),"-",'B Mask'!D60+'V Mask'!D60+'VKr-AT Mask'!D60+'Kr Mask'!D60+'L Mask'!D60+'AVH Mask'!D60)))</f>
        <v>5</v>
      </c>
      <c r="E60" s="234">
        <f>IF(OR(Umse!$C$24=0,Umse!$B$11=0),"",IF(AND('B Mask'!E60="",'V Mask'!E60="",'VKr-AT Mask'!E60="",'Kr Mask'!E60="",'L Mask'!E60="",'AVH Mask'!E60=""),"",IF(OR('B Mask'!E60="-",'V Mask'!E60="-",'VKr-AT Mask'!E60="-",'Kr Mask'!E60="-",'L Mask'!E60="-",'AVH Mask'!E60="-"),"-",IF(OR(Umse!$B$11="3.1.",Umse!$B$11="3.2.",Umse!$B$11="3.5.",Umse!$B$11="3.6.",Umse!$B$11="3.9.",Umse!$B$11="3.10."),'Kr Mask'!E60,IF(OR(Umse!$B$11="3.3.",Umse!$B$11="3.4.",Umse!$B$11="3.7.",Umse!$B$11="3.8.",Umse!$B$11="3.11.",Umse!$B$11="3.12."),'VKr-AT Mask'!E60,'B Mask'!E60+'V Mask'!E60+'VKr-AT Mask'!E60+'Kr Mask'!E60+'L Mask'!E60+'AVH Mask'!E60)))))</f>
        <v>3.33</v>
      </c>
      <c r="F60" s="234">
        <f>IF(OR(Umse!$C$24=0,Umse!$B$11=0),"",IF(AND('B Mask'!F60="",'V Mask'!F60="",'VKr-AT Mask'!F60="",'Kr Mask'!F60="",'L Mask'!F60="",'AVH Mask'!F60=""),"",IF(OR('B Mask'!F60="-",'V Mask'!F60="-",'VKr-AT Mask'!F60="-",'Kr Mask'!F60="-",'L Mask'!F60="-",'AVH Mask'!F60="-"),"-",'B Mask'!F60+'V Mask'!F60+'VKr-AT Mask'!F60+'Kr Mask'!F60+'L Mask'!F60+'AVH Mask'!F60)))</f>
        <v>4.17</v>
      </c>
      <c r="G60" s="234">
        <f>IF(OR(Umse!$C$24=0,Umse!$B$11=0),"",IF(AND('B Mask'!G60="",'V Mask'!G60="",'VKr-AT Mask'!G60="",'Kr Mask'!G60="",'L Mask'!G60="",'AVH Mask'!G60=""),"",IF(OR('B Mask'!G60="-",'V Mask'!G60="-",'VKr-AT Mask'!G60="-",'Kr Mask'!G60="-",'L Mask'!G60="-",'AVH Mask'!G60="-"),"-",'B Mask'!G60+'V Mask'!G60+'VKr-AT Mask'!G60+'Kr Mask'!G60+'L Mask'!G60+'AVH Mask'!G60)))</f>
        <v>5.83</v>
      </c>
      <c r="H60" s="234">
        <f>IF(OR(Umse!$C$24=0,Umse!$B$11=0),"",IF(AND('B Mask'!H60="",'V Mask'!H60="",'VKr-AT Mask'!H60="",'Kr Mask'!H60="",'L Mask'!H60="",'AVH Mask'!H60=""),"",IF(OR('B Mask'!H60="-",'V Mask'!H60="-",'VKr-AT Mask'!H60="-",'Kr Mask'!H60="-",'L Mask'!H60="-",'AVH Mask'!H60="-"),"-",'B Mask'!H60+'V Mask'!H60+'VKr-AT Mask'!H60+'Kr Mask'!H60+'L Mask'!H60+'AVH Mask'!H60)))</f>
        <v>22.49</v>
      </c>
      <c r="I60" s="234">
        <f>IF(OR(Umse!$C$24=0,Umse!$B$11=0),"",IF(AND('B Mask'!I60="",'V Mask'!I60="",'VKr-AT Mask'!I60="",'Kr Mask'!I60="",'L Mask'!I60="",'AVH Mask'!I60=""),"",IF(OR('B Mask'!I60="-",'V Mask'!I60="-",'VKr-AT Mask'!I60="-",'Kr Mask'!I60="-",'L Mask'!I60="-",'AVH Mask'!I60="-"),"-",'B Mask'!I60+'V Mask'!I60+'VKr-AT Mask'!I60+'Kr Mask'!I60+'L Mask'!I60+'AVH Mask'!I60)))</f>
        <v>5.83</v>
      </c>
      <c r="J60" s="254" t="str">
        <f>'B Mask'!J60&amp;'V Mask'!J60&amp;'VKr-AT Mask'!J60&amp;'VKr Mask'!J60&amp;'L Mask'!J60&amp;'AVH Mask'!J60</f>
        <v/>
      </c>
      <c r="K60" s="275" t="str">
        <f>IF(OR(Umse!$B$11="3.1.",Umse!$B$11="3.2.",Umse!$B$11="3.5.",Umse!$B$11="3.6.",Umse!$B$11="3.9.",Umse!$B$11="3.10.",Umse!$B$11="4.1.",Umse!$B$11="4.2.",Umse!$B$11="4.3.",Umse!$B$11="4.4.",Umse!$B$11="4.5.",Umse!$B$11="4.6.",Umse!$B$11="6.1.",Umse!$B$11="6.2.",Umse!$B$11="6.3.",Umse!$B$11="6.4.",Umse!$B$11="6.5.",Umse!$B$11="6.6."),'Kr Mask'!K60,'B Mask'!K60&amp;'V Mask'!K60&amp;'VKr-AT Mask'!K60&amp;'L Mask'!K60&amp;'AVH Mask'!K60)</f>
        <v>EG</v>
      </c>
      <c r="L60" s="276" t="str">
        <f>IF(OR(Umse!$B$11="3.1.",Umse!$B$11="3.2.",Umse!$B$11="3.5.",Umse!$B$11="3.6.",Umse!$B$11="3.9.",Umse!$B$11="3.10.",Umse!$B$11="4.1.",Umse!$B$11="4.2.",Umse!$B$11="4.3.",Umse!$B$11="4.4.",Umse!$B$11="4.5.",Umse!$B$11="4.6.",Umse!$B$11="6.1.",Umse!$B$11="6.2.",Umse!$B$11="6.3.",Umse!$B$11="6.4.",Umse!$B$11="6.5.",Umse!$B$11="6.6."),'Kr Mask'!L60,'B Mask'!L60&amp;'V Mask'!L60&amp;'VKr-AT Mask'!L60&amp;'L Mask'!L60&amp;'AVH Mask'!L60)</f>
        <v>5</v>
      </c>
      <c r="M60" s="234">
        <f>IF(OR(Umse!$C$24=0,Umse!$B$11=0),"",IF(OR(Umse!$B$11="3.1.",Umse!$B$11="3.2.",Umse!$B$11="3.5.",Umse!$B$11="3.6.",Umse!$B$11="3.9.",Umse!$B$11="3.10.",Umse!$B$11="3.9.",Umse!$B$11="3.10.",Kalk!$B$5=4,Kalk!$B$5=6),'Kr Mask'!M60,IF(Kalk!$B$5=8,'AVH Mask'!M60,IF(AND('B Mask'!M60=0,'V Mask'!M60=0,'VKr-AT Mask'!M60=0,'L Mask'!M60=0),"",IF(OR('B Mask'!M60="-",'V Mask'!M60="-",'VKr-AT Mask'!M60="-",'L Mask'!M60="-",'AVH Mask'!M60="-"),"-",'B Mask'!M60+'V Mask'!M60+'VKr-AT Mask'!M60+'L Mask'!M60+'AVH Mask'!M60)))))</f>
        <v>19.920000000000002</v>
      </c>
      <c r="N60" s="234">
        <f>IF(OR(Umse!$C$24=0,Umse!$B$11=0),"",IF(OR(Umse!$B$11="3.1.",Umse!$B$11="3.2.",Umse!$B$11="3.5.",Umse!$B$11="3.6.",Umse!$B$11="3.9.",Umse!$B$11="3.10.",Umse!$B$11="3.9.",Umse!$B$11="3.10.",Kalk!$B$5=4,Kalk!$B$5=6),'Kr Mask'!N60,IF(Kalk!$B$5=8,'AVH Mask'!N60,IF(AND('B Mask'!N60=0,'V Mask'!N60=0,'VKr-AT Mask'!N60=0,'L Mask'!N60=0),"",IF(OR('B Mask'!N60="-",'V Mask'!N60="-",'VKr-AT Mask'!N60="-",'L Mask'!N60="-",'AVH Mask'!N60="-"),"-",'B Mask'!N60+'V Mask'!N60+'VKr-AT Mask'!N60+'L Mask'!N60+'AVH Mask'!N60)))))</f>
        <v>20.96</v>
      </c>
      <c r="O60" s="234">
        <f>IF(OR(Umse!$C$24=0,Umse!$B$11=0),"",IF(OR(Umse!$B$11="3.1.",Umse!$B$11="3.2.",Umse!$B$11="3.5.",Umse!$B$11="3.6.",Umse!$B$11="3.9.",Umse!$B$11="3.10.",Umse!$B$11="3.9.",Umse!$B$11="3.10.",Kalk!$B$5=4,Kalk!$B$5=6),'Kr Mask'!O60,IF(Kalk!$B$5=8,'AVH Mask'!O60,IF(AND('B Mask'!O60=0,'V Mask'!O60=0,'VKr-AT Mask'!O60=0,'L Mask'!O60=0),"",IF(OR('B Mask'!O60="-",'V Mask'!O60="-",'VKr-AT Mask'!O60="-",'L Mask'!O60="-",'AVH Mask'!O60="-"),"-",'B Mask'!O60+'V Mask'!O60+'VKr-AT Mask'!O60+'L Mask'!O60+'AVH Mask'!O60)))))</f>
        <v>21.66</v>
      </c>
      <c r="P60" s="234">
        <f>IF(OR(Umse!$C$24=0,Umse!$B$11=0),"",IF(OR(Umse!$B$11="3.1.",Umse!$B$11="3.2.",Umse!$B$11="3.5.",Umse!$B$11="3.6.",Umse!$B$11="3.9.",Umse!$B$11="3.10.",Umse!$B$11="3.9.",Umse!$B$11="3.10.",Kalk!$B$5=4,Kalk!$B$5=6),'Kr Mask'!P60,IF(Kalk!$B$5=8,'AVH Mask'!P60,IF(AND('B Mask'!P60=0,'V Mask'!P60=0,'VKr-AT Mask'!P60=0,'L Mask'!P60=0),"",IF(OR('B Mask'!P60="-",'V Mask'!P60="-",'VKr-AT Mask'!P60="-",'L Mask'!P60="-",'AVH Mask'!P60="-"),"-",'B Mask'!P60+'V Mask'!P60+'VKr-AT Mask'!P60+'L Mask'!P60+'AVH Mask'!P60)))))</f>
        <v>22.4</v>
      </c>
      <c r="Q60" s="234">
        <f>IF(OR(Umse!$C$24=0,Umse!$B$11=0),"",IF(OR(Umse!$B$11="3.1.",Umse!$B$11="3.2.",Umse!$B$11="3.5.",Umse!$B$11="3.6.",Umse!$B$11="3.9.",Umse!$B$11="3.10.",Umse!$B$11="3.9.",Umse!$B$11="3.10.",Kalk!$B$5=4,Kalk!$B$5=6),'Kr Mask'!Q60,IF(Kalk!$B$5=8,'AVH Mask'!Q60,IF(AND('B Mask'!Q60=0,'V Mask'!Q60=0,'VKr-AT Mask'!Q60=0,'L Mask'!Q60=0),"",IF(OR('B Mask'!Q60="-",'V Mask'!Q60="-",'VKr-AT Mask'!Q60="-",'L Mask'!Q60="-",'AVH Mask'!Q60="-"),"-",'B Mask'!Q60+'V Mask'!Q60+'VKr-AT Mask'!Q60+'L Mask'!Q60+'AVH Mask'!Q60)))))</f>
        <v>22.4</v>
      </c>
      <c r="R60" s="234">
        <f>IF(OR(Umse!$C$24=0,Umse!$B$11=0),"",IF(OR(Umse!$B$11="3.1.",Umse!$B$11="3.2.",Umse!$B$11="3.5.",Umse!$B$11="3.6.",Umse!$B$11="3.9.",Umse!$B$11="3.10.",Umse!$B$11="3.9.",Umse!$B$11="3.10.",Kalk!$B$5=4,Kalk!$B$5=6),'Kr Mask'!R60,IF(Kalk!$B$5=8,'AVH Mask'!R60,IF(AND('B Mask'!R60=0,'V Mask'!R60=0,'VKr-AT Mask'!R60=0,'L Mask'!R60=0),"",IF(OR('B Mask'!R60="-",'V Mask'!R60="-",'VKr-AT Mask'!R60="-",'L Mask'!R60="-",'AVH Mask'!R60="-"),"-",'B Mask'!R60+'V Mask'!R60+'VKr-AT Mask'!R60+'L Mask'!R60+'AVH Mask'!R60)))))</f>
        <v>22.4</v>
      </c>
    </row>
    <row r="61" spans="2:18" ht="10.5" customHeight="1">
      <c r="B61" s="273" t="str">
        <f>'B Mask'!B61&amp;'V Mask'!B61&amp;'VKr-AT Mask'!B61&amp;'Kr Mask'!B61&amp;'L Mask'!B61&amp;'AVH Mask'!B61</f>
        <v>EG</v>
      </c>
      <c r="C61" s="274" t="str">
        <f>'B Mask'!C61&amp;'V Mask'!C61&amp;'VKr-AT Mask'!C61&amp;'Kr Mask'!C61&amp;'L Mask'!C61&amp;'AVH Mask'!C61</f>
        <v>4</v>
      </c>
      <c r="D61" s="233">
        <f>IF(OR(Umse!$C$24=0,Umse!$B$11=0),"",IF(AND('B Mask'!D61="",'V Mask'!D61="",'VKr-AT Mask'!D61="",'Kr Mask'!D61="",'L Mask'!D61="",'AVH Mask'!D61=""),"",IF(OR('B Mask'!D61="-",'V Mask'!D61="-",'VKr-AT Mask'!D61="-",'Kr Mask'!D61="-",'L Mask'!D61="-",'AVH Mask'!D61="-"),"-",'B Mask'!D61+'V Mask'!D61+'VKr-AT Mask'!D61+'Kr Mask'!D61+'L Mask'!D61+'AVH Mask'!D61)))</f>
        <v>4.8499999999999996</v>
      </c>
      <c r="E61" s="233">
        <f>IF(OR(Umse!$C$24=0,Umse!$B$11=0),"",IF(AND('B Mask'!E61="",'V Mask'!E61="",'VKr-AT Mask'!E61="",'Kr Mask'!E61="",'L Mask'!E61="",'AVH Mask'!E61=""),"",IF(OR('B Mask'!E61="-",'V Mask'!E61="-",'VKr-AT Mask'!E61="-",'Kr Mask'!E61="-",'L Mask'!E61="-",'AVH Mask'!E61="-"),"-",IF(OR(Umse!$B$11="3.1.",Umse!$B$11="3.2.",Umse!$B$11="3.5.",Umse!$B$11="3.6.",Umse!$B$11="3.9.",Umse!$B$11="3.10."),'Kr Mask'!E61,IF(OR(Umse!$B$11="3.3.",Umse!$B$11="3.4.",Umse!$B$11="3.7.",Umse!$B$11="3.8.",Umse!$B$11="3.11.",Umse!$B$11="3.12."),'VKr-AT Mask'!E61,'B Mask'!E61+'V Mask'!E61+'VKr-AT Mask'!E61+'Kr Mask'!E61+'L Mask'!E61+'AVH Mask'!E61)))))</f>
        <v>3.23</v>
      </c>
      <c r="F61" s="233">
        <f>IF(OR(Umse!$C$24=0,Umse!$B$11=0),"",IF(AND('B Mask'!F61="",'V Mask'!F61="",'VKr-AT Mask'!F61="",'Kr Mask'!F61="",'L Mask'!F61="",'AVH Mask'!F61=""),"",IF(OR('B Mask'!F61="-",'V Mask'!F61="-",'VKr-AT Mask'!F61="-",'Kr Mask'!F61="-",'L Mask'!F61="-",'AVH Mask'!F61="-"),"-",'B Mask'!F61+'V Mask'!F61+'VKr-AT Mask'!F61+'Kr Mask'!F61+'L Mask'!F61+'AVH Mask'!F61)))</f>
        <v>4.04</v>
      </c>
      <c r="G61" s="233">
        <f>IF(OR(Umse!$C$24=0,Umse!$B$11=0),"",IF(AND('B Mask'!G61="",'V Mask'!G61="",'VKr-AT Mask'!G61="",'Kr Mask'!G61="",'L Mask'!G61="",'AVH Mask'!G61=""),"",IF(OR('B Mask'!G61="-",'V Mask'!G61="-",'VKr-AT Mask'!G61="-",'Kr Mask'!G61="-",'L Mask'!G61="-",'AVH Mask'!G61="-"),"-",'B Mask'!G61+'V Mask'!G61+'VKr-AT Mask'!G61+'Kr Mask'!G61+'L Mask'!G61+'AVH Mask'!G61)))</f>
        <v>5.66</v>
      </c>
      <c r="H61" s="233">
        <f>IF(OR(Umse!$C$24=0,Umse!$B$11=0),"",IF(AND('B Mask'!H61="",'V Mask'!H61="",'VKr-AT Mask'!H61="",'Kr Mask'!H61="",'L Mask'!H61="",'AVH Mask'!H61=""),"",IF(OR('B Mask'!H61="-",'V Mask'!H61="-",'VKr-AT Mask'!H61="-",'Kr Mask'!H61="-",'L Mask'!H61="-",'AVH Mask'!H61="-"),"-",'B Mask'!H61+'V Mask'!H61+'VKr-AT Mask'!H61+'Kr Mask'!H61+'L Mask'!H61+'AVH Mask'!H61)))</f>
        <v>21.82</v>
      </c>
      <c r="I61" s="233">
        <f>IF(OR(Umse!$C$24=0,Umse!$B$11=0),"",IF(AND('B Mask'!I61="",'V Mask'!I61="",'VKr-AT Mask'!I61="",'Kr Mask'!I61="",'L Mask'!I61="",'AVH Mask'!I61=""),"",IF(OR('B Mask'!I61="-",'V Mask'!I61="-",'VKr-AT Mask'!I61="-",'Kr Mask'!I61="-",'L Mask'!I61="-",'AVH Mask'!I61="-"),"-",'B Mask'!I61+'V Mask'!I61+'VKr-AT Mask'!I61+'Kr Mask'!I61+'L Mask'!I61+'AVH Mask'!I61)))</f>
        <v>5.66</v>
      </c>
      <c r="J61" s="254" t="str">
        <f>'B Mask'!J61&amp;'V Mask'!J61&amp;'VKr-AT Mask'!J61&amp;'VKr Mask'!J61&amp;'L Mask'!J61&amp;'AVH Mask'!J61</f>
        <v/>
      </c>
      <c r="K61" s="273" t="str">
        <f>IF(OR(Umse!$B$11="3.1.",Umse!$B$11="3.2.",Umse!$B$11="3.5.",Umse!$B$11="3.6.",Umse!$B$11="3.9.",Umse!$B$11="3.10.",Umse!$B$11="4.1.",Umse!$B$11="4.2.",Umse!$B$11="4.3.",Umse!$B$11="4.4.",Umse!$B$11="4.5.",Umse!$B$11="4.6.",Umse!$B$11="6.1.",Umse!$B$11="6.2.",Umse!$B$11="6.3.",Umse!$B$11="6.4.",Umse!$B$11="6.5.",Umse!$B$11="6.6."),'Kr Mask'!K61,'B Mask'!K61&amp;'V Mask'!K61&amp;'VKr-AT Mask'!K61&amp;'L Mask'!K61&amp;'AVH Mask'!K61)</f>
        <v>EG</v>
      </c>
      <c r="L61" s="274" t="str">
        <f>IF(OR(Umse!$B$11="3.1.",Umse!$B$11="3.2.",Umse!$B$11="3.5.",Umse!$B$11="3.6.",Umse!$B$11="3.9.",Umse!$B$11="3.10.",Umse!$B$11="4.1.",Umse!$B$11="4.2.",Umse!$B$11="4.3.",Umse!$B$11="4.4.",Umse!$B$11="4.5.",Umse!$B$11="4.6.",Umse!$B$11="6.1.",Umse!$B$11="6.2.",Umse!$B$11="6.3.",Umse!$B$11="6.4.",Umse!$B$11="6.5.",Umse!$B$11="6.6."),'Kr Mask'!L61,'B Mask'!L61&amp;'V Mask'!L61&amp;'VKr-AT Mask'!L61&amp;'L Mask'!L61&amp;'AVH Mask'!L61)</f>
        <v>4</v>
      </c>
      <c r="M61" s="233">
        <f>IF(OR(Umse!$C$24=0,Umse!$B$11=0),"",IF(OR(Umse!$B$11="3.1.",Umse!$B$11="3.2.",Umse!$B$11="3.5.",Umse!$B$11="3.6.",Umse!$B$11="3.9.",Umse!$B$11="3.10.",Umse!$B$11="3.9.",Umse!$B$11="3.10.",Kalk!$B$5=4,Kalk!$B$5=6),'Kr Mask'!M61,IF(Kalk!$B$5=8,'AVH Mask'!M61,IF(AND('B Mask'!M61=0,'V Mask'!M61=0,'VKr-AT Mask'!M61=0,'L Mask'!M61=0),"",IF(OR('B Mask'!M61="-",'V Mask'!M61="-",'VKr-AT Mask'!M61="-",'L Mask'!M61="-",'AVH Mask'!M61="-"),"-",'B Mask'!M61+'V Mask'!M61+'VKr-AT Mask'!M61+'L Mask'!M61+'AVH Mask'!M61)))))</f>
        <v>19.079999999999998</v>
      </c>
      <c r="N61" s="233">
        <f>IF(OR(Umse!$C$24=0,Umse!$B$11=0),"",IF(OR(Umse!$B$11="3.1.",Umse!$B$11="3.2.",Umse!$B$11="3.5.",Umse!$B$11="3.6.",Umse!$B$11="3.9.",Umse!$B$11="3.10.",Umse!$B$11="3.9.",Umse!$B$11="3.10.",Kalk!$B$5=4,Kalk!$B$5=6),'Kr Mask'!N61,IF(Kalk!$B$5=8,'AVH Mask'!N61,IF(AND('B Mask'!N61=0,'V Mask'!N61=0,'VKr-AT Mask'!N61=0,'L Mask'!N61=0),"",IF(OR('B Mask'!N61="-",'V Mask'!N61="-",'VKr-AT Mask'!N61="-",'L Mask'!N61="-",'AVH Mask'!N61="-"),"-",'B Mask'!N61+'V Mask'!N61+'VKr-AT Mask'!N61+'L Mask'!N61+'AVH Mask'!N61)))))</f>
        <v>20.13</v>
      </c>
      <c r="O61" s="233">
        <f>IF(OR(Umse!$C$24=0,Umse!$B$11=0),"",IF(OR(Umse!$B$11="3.1.",Umse!$B$11="3.2.",Umse!$B$11="3.5.",Umse!$B$11="3.6.",Umse!$B$11="3.9.",Umse!$B$11="3.10.",Umse!$B$11="3.9.",Umse!$B$11="3.10.",Kalk!$B$5=4,Kalk!$B$5=6),'Kr Mask'!O61,IF(Kalk!$B$5=8,'AVH Mask'!O61,IF(AND('B Mask'!O61=0,'V Mask'!O61=0,'VKr-AT Mask'!O61=0,'L Mask'!O61=0),"",IF(OR('B Mask'!O61="-",'V Mask'!O61="-",'VKr-AT Mask'!O61="-",'L Mask'!O61="-",'AVH Mask'!O61="-"),"-",'B Mask'!O61+'V Mask'!O61+'VKr-AT Mask'!O61+'L Mask'!O61+'AVH Mask'!O61)))))</f>
        <v>21.009999999999998</v>
      </c>
      <c r="P61" s="233">
        <f>IF(OR(Umse!$C$24=0,Umse!$B$11=0),"",IF(OR(Umse!$B$11="3.1.",Umse!$B$11="3.2.",Umse!$B$11="3.5.",Umse!$B$11="3.6.",Umse!$B$11="3.9.",Umse!$B$11="3.10.",Umse!$B$11="3.9.",Umse!$B$11="3.10.",Kalk!$B$5=4,Kalk!$B$5=6),'Kr Mask'!P61,IF(Kalk!$B$5=8,'AVH Mask'!P61,IF(AND('B Mask'!P61=0,'V Mask'!P61=0,'VKr-AT Mask'!P61=0,'L Mask'!P61=0),"",IF(OR('B Mask'!P61="-",'V Mask'!P61="-",'VKr-AT Mask'!P61="-",'L Mask'!P61="-",'AVH Mask'!P61="-"),"-",'B Mask'!P61+'V Mask'!P61+'VKr-AT Mask'!P61+'L Mask'!P61+'AVH Mask'!P61)))))</f>
        <v>21.560000000000002</v>
      </c>
      <c r="Q61" s="233">
        <f>IF(OR(Umse!$C$24=0,Umse!$B$11=0),"",IF(OR(Umse!$B$11="3.1.",Umse!$B$11="3.2.",Umse!$B$11="3.5.",Umse!$B$11="3.6.",Umse!$B$11="3.9.",Umse!$B$11="3.10.",Umse!$B$11="3.9.",Umse!$B$11="3.10.",Kalk!$B$5=4,Kalk!$B$5=6),'Kr Mask'!Q61,IF(Kalk!$B$5=8,'AVH Mask'!Q61,IF(AND('B Mask'!Q61=0,'V Mask'!Q61=0,'VKr-AT Mask'!Q61=0,'L Mask'!Q61=0),"",IF(OR('B Mask'!Q61="-",'V Mask'!Q61="-",'VKr-AT Mask'!Q61="-",'L Mask'!Q61="-",'AVH Mask'!Q61="-"),"-",'B Mask'!Q61+'V Mask'!Q61+'VKr-AT Mask'!Q61+'L Mask'!Q61+'AVH Mask'!Q61)))))</f>
        <v>21.560000000000002</v>
      </c>
      <c r="R61" s="233">
        <f>IF(OR(Umse!$C$24=0,Umse!$B$11=0),"",IF(OR(Umse!$B$11="3.1.",Umse!$B$11="3.2.",Umse!$B$11="3.5.",Umse!$B$11="3.6.",Umse!$B$11="3.9.",Umse!$B$11="3.10.",Umse!$B$11="3.9.",Umse!$B$11="3.10.",Kalk!$B$5=4,Kalk!$B$5=6),'Kr Mask'!R61,IF(Kalk!$B$5=8,'AVH Mask'!R61,IF(AND('B Mask'!R61=0,'V Mask'!R61=0,'VKr-AT Mask'!R61=0,'L Mask'!R61=0),"",IF(OR('B Mask'!R61="-",'V Mask'!R61="-",'VKr-AT Mask'!R61="-",'L Mask'!R61="-",'AVH Mask'!R61="-"),"-",'B Mask'!R61+'V Mask'!R61+'VKr-AT Mask'!R61+'L Mask'!R61+'AVH Mask'!R61)))))</f>
        <v>21.560000000000002</v>
      </c>
    </row>
    <row r="62" spans="2:18" ht="10.5" customHeight="1">
      <c r="B62" s="275" t="str">
        <f>'B Mask'!B62&amp;'V Mask'!B62&amp;'VKr-AT Mask'!B62&amp;'Kr Mask'!B62&amp;'L Mask'!B62&amp;'AVH Mask'!B62</f>
        <v>EG</v>
      </c>
      <c r="C62" s="276" t="str">
        <f>'B Mask'!C62&amp;'V Mask'!C62&amp;'VKr-AT Mask'!C62&amp;'Kr Mask'!C62&amp;'L Mask'!C62&amp;'AVH Mask'!C62</f>
        <v>3</v>
      </c>
      <c r="D62" s="234">
        <f>IF(OR(Umse!$C$24=0,Umse!$B$11=0),"",IF(AND('B Mask'!D62="",'V Mask'!D62="",'VKr-AT Mask'!D62="",'Kr Mask'!D62="",'L Mask'!D62="",'AVH Mask'!D62=""),"",IF(OR('B Mask'!D62="-",'V Mask'!D62="-",'VKr-AT Mask'!D62="-",'Kr Mask'!D62="-",'L Mask'!D62="-",'AVH Mask'!D62="-"),"-",'B Mask'!D62+'V Mask'!D62+'VKr-AT Mask'!D62+'Kr Mask'!D62+'L Mask'!D62+'AVH Mask'!D62)))</f>
        <v>4.62</v>
      </c>
      <c r="E62" s="234">
        <f>IF(OR(Umse!$C$24=0,Umse!$B$11=0),"",IF(AND('B Mask'!E62="",'V Mask'!E62="",'VKr-AT Mask'!E62="",'Kr Mask'!E62="",'L Mask'!E62="",'AVH Mask'!E62=""),"",IF(OR('B Mask'!E62="-",'V Mask'!E62="-",'VKr-AT Mask'!E62="-",'Kr Mask'!E62="-",'L Mask'!E62="-",'AVH Mask'!E62="-"),"-",IF(OR(Umse!$B$11="3.1.",Umse!$B$11="3.2.",Umse!$B$11="3.5.",Umse!$B$11="3.6.",Umse!$B$11="3.9.",Umse!$B$11="3.10."),'Kr Mask'!E62,IF(OR(Umse!$B$11="3.3.",Umse!$B$11="3.4.",Umse!$B$11="3.7.",Umse!$B$11="3.8.",Umse!$B$11="3.11.",Umse!$B$11="3.12."),'VKr-AT Mask'!E62,'B Mask'!E62+'V Mask'!E62+'VKr-AT Mask'!E62+'Kr Mask'!E62+'L Mask'!E62+'AVH Mask'!E62)))))</f>
        <v>3.08</v>
      </c>
      <c r="F62" s="234">
        <f>IF(OR(Umse!$C$24=0,Umse!$B$11=0),"",IF(AND('B Mask'!F62="",'V Mask'!F62="",'VKr-AT Mask'!F62="",'Kr Mask'!F62="",'L Mask'!F62="",'AVH Mask'!F62=""),"",IF(OR('B Mask'!F62="-",'V Mask'!F62="-",'VKr-AT Mask'!F62="-",'Kr Mask'!F62="-",'L Mask'!F62="-",'AVH Mask'!F62="-"),"-",'B Mask'!F62+'V Mask'!F62+'VKr-AT Mask'!F62+'Kr Mask'!F62+'L Mask'!F62+'AVH Mask'!F62)))</f>
        <v>3.85</v>
      </c>
      <c r="G62" s="234">
        <f>IF(OR(Umse!$C$24=0,Umse!$B$11=0),"",IF(AND('B Mask'!G62="",'V Mask'!G62="",'VKr-AT Mask'!G62="",'Kr Mask'!G62="",'L Mask'!G62="",'AVH Mask'!G62=""),"",IF(OR('B Mask'!G62="-",'V Mask'!G62="-",'VKr-AT Mask'!G62="-",'Kr Mask'!G62="-",'L Mask'!G62="-",'AVH Mask'!G62="-"),"-",'B Mask'!G62+'V Mask'!G62+'VKr-AT Mask'!G62+'Kr Mask'!G62+'L Mask'!G62+'AVH Mask'!G62)))</f>
        <v>5.39</v>
      </c>
      <c r="H62" s="234">
        <f>IF(OR(Umse!$C$24=0,Umse!$B$11=0),"",IF(AND('B Mask'!H62="",'V Mask'!H62="",'VKr-AT Mask'!H62="",'Kr Mask'!H62="",'L Mask'!H62="",'AVH Mask'!H62=""),"",IF(OR('B Mask'!H62="-",'V Mask'!H62="-",'VKr-AT Mask'!H62="-",'Kr Mask'!H62="-",'L Mask'!H62="-",'AVH Mask'!H62="-"),"-",'B Mask'!H62+'V Mask'!H62+'VKr-AT Mask'!H62+'Kr Mask'!H62+'L Mask'!H62+'AVH Mask'!H62)))</f>
        <v>20.8</v>
      </c>
      <c r="I62" s="234">
        <f>IF(OR(Umse!$C$24=0,Umse!$B$11=0),"",IF(AND('B Mask'!I62="",'V Mask'!I62="",'VKr-AT Mask'!I62="",'Kr Mask'!I62="",'L Mask'!I62="",'AVH Mask'!I62=""),"",IF(OR('B Mask'!I62="-",'V Mask'!I62="-",'VKr-AT Mask'!I62="-",'Kr Mask'!I62="-",'L Mask'!I62="-",'AVH Mask'!I62="-"),"-",'B Mask'!I62+'V Mask'!I62+'VKr-AT Mask'!I62+'Kr Mask'!I62+'L Mask'!I62+'AVH Mask'!I62)))</f>
        <v>5.39</v>
      </c>
      <c r="J62" s="254" t="str">
        <f>'B Mask'!J62&amp;'V Mask'!J62&amp;'VKr-AT Mask'!J62&amp;'VKr Mask'!J62&amp;'L Mask'!J62&amp;'AVH Mask'!J62</f>
        <v/>
      </c>
      <c r="K62" s="275" t="str">
        <f>IF(OR(Umse!$B$11="3.1.",Umse!$B$11="3.2.",Umse!$B$11="3.5.",Umse!$B$11="3.6.",Umse!$B$11="3.9.",Umse!$B$11="3.10.",Umse!$B$11="4.1.",Umse!$B$11="4.2.",Umse!$B$11="4.3.",Umse!$B$11="4.4.",Umse!$B$11="4.5.",Umse!$B$11="4.6.",Umse!$B$11="6.1.",Umse!$B$11="6.2.",Umse!$B$11="6.3.",Umse!$B$11="6.4.",Umse!$B$11="6.5.",Umse!$B$11="6.6."),'Kr Mask'!K62,'B Mask'!K62&amp;'V Mask'!K62&amp;'VKr-AT Mask'!K62&amp;'L Mask'!K62&amp;'AVH Mask'!K62)</f>
        <v>EG</v>
      </c>
      <c r="L62" s="276" t="str">
        <f>IF(OR(Umse!$B$11="3.1.",Umse!$B$11="3.2.",Umse!$B$11="3.5.",Umse!$B$11="3.6.",Umse!$B$11="3.9.",Umse!$B$11="3.10.",Umse!$B$11="4.1.",Umse!$B$11="4.2.",Umse!$B$11="4.3.",Umse!$B$11="4.4.",Umse!$B$11="4.5.",Umse!$B$11="4.6.",Umse!$B$11="6.1.",Umse!$B$11="6.2.",Umse!$B$11="6.3.",Umse!$B$11="6.4.",Umse!$B$11="6.5.",Umse!$B$11="6.6."),'Kr Mask'!L62,'B Mask'!L62&amp;'V Mask'!L62&amp;'VKr-AT Mask'!L62&amp;'L Mask'!L62&amp;'AVH Mask'!L62)</f>
        <v>3</v>
      </c>
      <c r="M62" s="234">
        <f>IF(OR(Umse!$C$24=0,Umse!$B$11=0),"",IF(OR(Umse!$B$11="3.1.",Umse!$B$11="3.2.",Umse!$B$11="3.5.",Umse!$B$11="3.6.",Umse!$B$11="3.9.",Umse!$B$11="3.10.",Umse!$B$11="3.9.",Umse!$B$11="3.10.",Kalk!$B$5=4,Kalk!$B$5=6),'Kr Mask'!M62,IF(Kalk!$B$5=8,'AVH Mask'!M62,IF(AND('B Mask'!M62=0,'V Mask'!M62=0,'VKr-AT Mask'!M62=0,'L Mask'!M62=0),"",IF(OR('B Mask'!M62="-",'V Mask'!M62="-",'VKr-AT Mask'!M62="-",'L Mask'!M62="-",'AVH Mask'!M62="-"),"-",'B Mask'!M62+'V Mask'!M62+'VKr-AT Mask'!M62+'L Mask'!M62+'AVH Mask'!M62)))))</f>
        <v>18.63</v>
      </c>
      <c r="N62" s="234">
        <f>IF(OR(Umse!$C$24=0,Umse!$B$11=0),"",IF(OR(Umse!$B$11="3.1.",Umse!$B$11="3.2.",Umse!$B$11="3.5.",Umse!$B$11="3.6.",Umse!$B$11="3.9.",Umse!$B$11="3.10.",Umse!$B$11="3.9.",Umse!$B$11="3.10.",Kalk!$B$5=4,Kalk!$B$5=6),'Kr Mask'!N62,IF(Kalk!$B$5=8,'AVH Mask'!N62,IF(AND('B Mask'!N62=0,'V Mask'!N62=0,'VKr-AT Mask'!N62=0,'L Mask'!N62=0),"",IF(OR('B Mask'!N62="-",'V Mask'!N62="-",'VKr-AT Mask'!N62="-",'L Mask'!N62="-",'AVH Mask'!N62="-"),"-",'B Mask'!N62+'V Mask'!N62+'VKr-AT Mask'!N62+'L Mask'!N62+'AVH Mask'!N62)))))</f>
        <v>19.760000000000002</v>
      </c>
      <c r="O62" s="234">
        <f>IF(OR(Umse!$C$24=0,Umse!$B$11=0),"",IF(OR(Umse!$B$11="3.1.",Umse!$B$11="3.2.",Umse!$B$11="3.5.",Umse!$B$11="3.6.",Umse!$B$11="3.9.",Umse!$B$11="3.10.",Umse!$B$11="3.9.",Umse!$B$11="3.10.",Kalk!$B$5=4,Kalk!$B$5=6),'Kr Mask'!O62,IF(Kalk!$B$5=8,'AVH Mask'!O62,IF(AND('B Mask'!O62=0,'V Mask'!O62=0,'VKr-AT Mask'!O62=0,'L Mask'!O62=0),"",IF(OR('B Mask'!O62="-",'V Mask'!O62="-",'VKr-AT Mask'!O62="-",'L Mask'!O62="-",'AVH Mask'!O62="-"),"-",'B Mask'!O62+'V Mask'!O62+'VKr-AT Mask'!O62+'L Mask'!O62+'AVH Mask'!O62)))))</f>
        <v>20.03</v>
      </c>
      <c r="P62" s="234">
        <f>IF(OR(Umse!$C$24=0,Umse!$B$11=0),"",IF(OR(Umse!$B$11="3.1.",Umse!$B$11="3.2.",Umse!$B$11="3.5.",Umse!$B$11="3.6.",Umse!$B$11="3.9.",Umse!$B$11="3.10.",Umse!$B$11="3.9.",Umse!$B$11="3.10.",Kalk!$B$5=4,Kalk!$B$5=6),'Kr Mask'!P62,IF(Kalk!$B$5=8,'AVH Mask'!P62,IF(AND('B Mask'!P62=0,'V Mask'!P62=0,'VKr-AT Mask'!P62=0,'L Mask'!P62=0),"",IF(OR('B Mask'!P62="-",'V Mask'!P62="-",'VKr-AT Mask'!P62="-",'L Mask'!P62="-",'AVH Mask'!P62="-"),"-",'B Mask'!P62+'V Mask'!P62+'VKr-AT Mask'!P62+'L Mask'!P62+'AVH Mask'!P62)))))</f>
        <v>20.66</v>
      </c>
      <c r="Q62" s="234">
        <f>IF(OR(Umse!$C$24=0,Umse!$B$11=0),"",IF(OR(Umse!$B$11="3.1.",Umse!$B$11="3.2.",Umse!$B$11="3.5.",Umse!$B$11="3.6.",Umse!$B$11="3.9.",Umse!$B$11="3.10.",Umse!$B$11="3.9.",Umse!$B$11="3.10.",Kalk!$B$5=4,Kalk!$B$5=6),'Kr Mask'!Q62,IF(Kalk!$B$5=8,'AVH Mask'!Q62,IF(AND('B Mask'!Q62=0,'V Mask'!Q62=0,'VKr-AT Mask'!Q62=0,'L Mask'!Q62=0),"",IF(OR('B Mask'!Q62="-",'V Mask'!Q62="-",'VKr-AT Mask'!Q62="-",'L Mask'!Q62="-",'AVH Mask'!Q62="-"),"-",'B Mask'!Q62+'V Mask'!Q62+'VKr-AT Mask'!Q62+'L Mask'!Q62+'AVH Mask'!Q62)))))</f>
        <v>20.66</v>
      </c>
      <c r="R62" s="234">
        <f>IF(OR(Umse!$C$24=0,Umse!$B$11=0),"",IF(OR(Umse!$B$11="3.1.",Umse!$B$11="3.2.",Umse!$B$11="3.5.",Umse!$B$11="3.6.",Umse!$B$11="3.9.",Umse!$B$11="3.10.",Umse!$B$11="3.9.",Umse!$B$11="3.10.",Kalk!$B$5=4,Kalk!$B$5=6),'Kr Mask'!R62,IF(Kalk!$B$5=8,'AVH Mask'!R62,IF(AND('B Mask'!R62=0,'V Mask'!R62=0,'VKr-AT Mask'!R62=0,'L Mask'!R62=0),"",IF(OR('B Mask'!R62="-",'V Mask'!R62="-",'VKr-AT Mask'!R62="-",'L Mask'!R62="-",'AVH Mask'!R62="-"),"-",'B Mask'!R62+'V Mask'!R62+'VKr-AT Mask'!R62+'L Mask'!R62+'AVH Mask'!R62)))))</f>
        <v>20.66</v>
      </c>
    </row>
    <row r="63" spans="2:18" ht="10.5" customHeight="1">
      <c r="B63" s="273" t="str">
        <f>'B Mask'!B63&amp;'V Mask'!B63&amp;'VKr-AT Mask'!B63&amp;'Kr Mask'!B63&amp;'L Mask'!B63&amp;'AVH Mask'!B63</f>
        <v>EG</v>
      </c>
      <c r="C63" s="274" t="str">
        <f>'B Mask'!C63&amp;'V Mask'!C63&amp;'VKr-AT Mask'!C63&amp;'Kr Mask'!C63&amp;'L Mask'!C63&amp;'AVH Mask'!C63</f>
        <v>2Ü</v>
      </c>
      <c r="D63" s="233">
        <f>IF(OR(Umse!$C$24=0,Umse!$B$11=0),"",IF(AND('B Mask'!D63="",'V Mask'!D63="",'VKr-AT Mask'!D63="",'Kr Mask'!D63="",'L Mask'!D63="",'AVH Mask'!D63=""),"",IF(OR('B Mask'!D63="-",'V Mask'!D63="-",'VKr-AT Mask'!D63="-",'Kr Mask'!D63="-",'L Mask'!D63="-",'AVH Mask'!D63="-"),"-",'B Mask'!D63+'V Mask'!D63+'VKr-AT Mask'!D63+'Kr Mask'!D63+'L Mask'!D63+'AVH Mask'!D63)))</f>
        <v>4.46</v>
      </c>
      <c r="E63" s="233">
        <f>IF(OR(Umse!$C$24=0,Umse!$B$11=0),"",IF(AND('B Mask'!E63="",'V Mask'!E63="",'VKr-AT Mask'!E63="",'Kr Mask'!E63="",'L Mask'!E63="",'AVH Mask'!E63=""),"",IF(OR('B Mask'!E63="-",'V Mask'!E63="-",'VKr-AT Mask'!E63="-",'Kr Mask'!E63="-",'L Mask'!E63="-",'AVH Mask'!E63="-"),"-",IF(OR(Umse!$B$11="3.1.",Umse!$B$11="3.2.",Umse!$B$11="3.5.",Umse!$B$11="3.6.",Umse!$B$11="3.9.",Umse!$B$11="3.10."),'Kr Mask'!E63,IF(OR(Umse!$B$11="3.3.",Umse!$B$11="3.4.",Umse!$B$11="3.7.",Umse!$B$11="3.8.",Umse!$B$11="3.11.",Umse!$B$11="3.12."),'VKr-AT Mask'!E63,'B Mask'!E63+'V Mask'!E63+'VKr-AT Mask'!E63+'Kr Mask'!E63+'L Mask'!E63+'AVH Mask'!E63)))))</f>
        <v>2.98</v>
      </c>
      <c r="F63" s="233">
        <f>IF(OR(Umse!$C$24=0,Umse!$B$11=0),"",IF(AND('B Mask'!F63="",'V Mask'!F63="",'VKr-AT Mask'!F63="",'Kr Mask'!F63="",'L Mask'!F63="",'AVH Mask'!F63=""),"",IF(OR('B Mask'!F63="-",'V Mask'!F63="-",'VKr-AT Mask'!F63="-",'Kr Mask'!F63="-",'L Mask'!F63="-",'AVH Mask'!F63="-"),"-",'B Mask'!F63+'V Mask'!F63+'VKr-AT Mask'!F63+'Kr Mask'!F63+'L Mask'!F63+'AVH Mask'!F63)))</f>
        <v>3.72</v>
      </c>
      <c r="G63" s="233">
        <f>IF(OR(Umse!$C$24=0,Umse!$B$11=0),"",IF(AND('B Mask'!G63="",'V Mask'!G63="",'VKr-AT Mask'!G63="",'Kr Mask'!G63="",'L Mask'!G63="",'AVH Mask'!G63=""),"",IF(OR('B Mask'!G63="-",'V Mask'!G63="-",'VKr-AT Mask'!G63="-",'Kr Mask'!G63="-",'L Mask'!G63="-",'AVH Mask'!G63="-"),"-",'B Mask'!G63+'V Mask'!G63+'VKr-AT Mask'!G63+'Kr Mask'!G63+'L Mask'!G63+'AVH Mask'!G63)))</f>
        <v>5.21</v>
      </c>
      <c r="H63" s="233">
        <f>IF(OR(Umse!$C$24=0,Umse!$B$11=0),"",IF(AND('B Mask'!H63="",'V Mask'!H63="",'VKr-AT Mask'!H63="",'Kr Mask'!H63="",'L Mask'!H63="",'AVH Mask'!H63=""),"",IF(OR('B Mask'!H63="-",'V Mask'!H63="-",'VKr-AT Mask'!H63="-",'Kr Mask'!H63="-",'L Mask'!H63="-",'AVH Mask'!H63="-"),"-",'B Mask'!H63+'V Mask'!H63+'VKr-AT Mask'!H63+'Kr Mask'!H63+'L Mask'!H63+'AVH Mask'!H63)))</f>
        <v>20.09</v>
      </c>
      <c r="I63" s="233">
        <f>IF(OR(Umse!$C$24=0,Umse!$B$11=0),"",IF(AND('B Mask'!I63="",'V Mask'!I63="",'VKr-AT Mask'!I63="",'Kr Mask'!I63="",'L Mask'!I63="",'AVH Mask'!I63=""),"",IF(OR('B Mask'!I63="-",'V Mask'!I63="-",'VKr-AT Mask'!I63="-",'Kr Mask'!I63="-",'L Mask'!I63="-",'AVH Mask'!I63="-"),"-",'B Mask'!I63+'V Mask'!I63+'VKr-AT Mask'!I63+'Kr Mask'!I63+'L Mask'!I63+'AVH Mask'!I63)))</f>
        <v>5.21</v>
      </c>
      <c r="J63" s="254" t="str">
        <f>'B Mask'!J63&amp;'V Mask'!J63&amp;'VKr-AT Mask'!J63&amp;'VKr Mask'!J63&amp;'L Mask'!J63&amp;'AVH Mask'!J63</f>
        <v/>
      </c>
      <c r="K63" s="273" t="str">
        <f>IF(OR(Umse!$B$11="3.1.",Umse!$B$11="3.2.",Umse!$B$11="3.5.",Umse!$B$11="3.6.",Umse!$B$11="3.9.",Umse!$B$11="3.10.",Umse!$B$11="4.1.",Umse!$B$11="4.2.",Umse!$B$11="4.3.",Umse!$B$11="4.4.",Umse!$B$11="4.5.",Umse!$B$11="4.6.",Umse!$B$11="6.1.",Umse!$B$11="6.2.",Umse!$B$11="6.3.",Umse!$B$11="6.4.",Umse!$B$11="6.5.",Umse!$B$11="6.6."),'Kr Mask'!K63,'B Mask'!K63&amp;'V Mask'!K63&amp;'VKr-AT Mask'!K63&amp;'L Mask'!K63&amp;'AVH Mask'!K63)</f>
        <v>EG</v>
      </c>
      <c r="L63" s="274" t="str">
        <f>IF(OR(Umse!$B$11="3.1.",Umse!$B$11="3.2.",Umse!$B$11="3.5.",Umse!$B$11="3.6.",Umse!$B$11="3.9.",Umse!$B$11="3.10.",Umse!$B$11="4.1.",Umse!$B$11="4.2.",Umse!$B$11="4.3.",Umse!$B$11="4.4.",Umse!$B$11="4.5.",Umse!$B$11="4.6.",Umse!$B$11="6.1.",Umse!$B$11="6.2.",Umse!$B$11="6.3.",Umse!$B$11="6.4.",Umse!$B$11="6.5.",Umse!$B$11="6.6."),'Kr Mask'!L63,'B Mask'!L63&amp;'V Mask'!L63&amp;'VKr-AT Mask'!L63&amp;'L Mask'!L63&amp;'AVH Mask'!L63)</f>
        <v>2Ü</v>
      </c>
      <c r="M63" s="233">
        <f>IF(OR(Umse!$C$24=0,Umse!$B$11=0),"",IF(OR(Umse!$B$11="3.1.",Umse!$B$11="3.2.",Umse!$B$11="3.5.",Umse!$B$11="3.6.",Umse!$B$11="3.9.",Umse!$B$11="3.10.",Umse!$B$11="3.9.",Umse!$B$11="3.10.",Kalk!$B$5=4,Kalk!$B$5=6),'Kr Mask'!M63,IF(Kalk!$B$5=8,'AVH Mask'!M63,IF(AND('B Mask'!M63=0,'V Mask'!M63=0,'VKr-AT Mask'!M63=0,'L Mask'!M63=0),"",IF(OR('B Mask'!M63="-",'V Mask'!M63="-",'VKr-AT Mask'!M63="-",'L Mask'!M63="-",'AVH Mask'!M63="-"),"-",'B Mask'!M63+'V Mask'!M63+'VKr-AT Mask'!M63+'L Mask'!M63+'AVH Mask'!M63)))))</f>
        <v>17.559999999999999</v>
      </c>
      <c r="N63" s="233">
        <f>IF(OR(Umse!$C$24=0,Umse!$B$11=0),"",IF(OR(Umse!$B$11="3.1.",Umse!$B$11="3.2.",Umse!$B$11="3.5.",Umse!$B$11="3.6.",Umse!$B$11="3.9.",Umse!$B$11="3.10.",Umse!$B$11="3.9.",Umse!$B$11="3.10.",Kalk!$B$5=4,Kalk!$B$5=6),'Kr Mask'!N63,IF(Kalk!$B$5=8,'AVH Mask'!N63,IF(AND('B Mask'!N63=0,'V Mask'!N63=0,'VKr-AT Mask'!N63=0,'L Mask'!N63=0),"",IF(OR('B Mask'!N63="-",'V Mask'!N63="-",'VKr-AT Mask'!N63="-",'L Mask'!N63="-",'AVH Mask'!N63="-"),"-",'B Mask'!N63+'V Mask'!N63+'VKr-AT Mask'!N63+'L Mask'!N63+'AVH Mask'!N63)))))</f>
        <v>18.87</v>
      </c>
      <c r="O63" s="233">
        <f>IF(OR(Umse!$C$24=0,Umse!$B$11=0),"",IF(OR(Umse!$B$11="3.1.",Umse!$B$11="3.2.",Umse!$B$11="3.5.",Umse!$B$11="3.6.",Umse!$B$11="3.9.",Umse!$B$11="3.10.",Umse!$B$11="3.9.",Umse!$B$11="3.10.",Kalk!$B$5=4,Kalk!$B$5=6),'Kr Mask'!O63,IF(Kalk!$B$5=8,'AVH Mask'!O63,IF(AND('B Mask'!O63=0,'V Mask'!O63=0,'VKr-AT Mask'!O63=0,'L Mask'!O63=0),"",IF(OR('B Mask'!O63="-",'V Mask'!O63="-",'VKr-AT Mask'!O63="-",'L Mask'!O63="-",'AVH Mask'!O63="-"),"-",'B Mask'!O63+'V Mask'!O63+'VKr-AT Mask'!O63+'L Mask'!O63+'AVH Mask'!O63)))))</f>
        <v>19.34</v>
      </c>
      <c r="P63" s="233">
        <f>IF(OR(Umse!$C$24=0,Umse!$B$11=0),"",IF(OR(Umse!$B$11="3.1.",Umse!$B$11="3.2.",Umse!$B$11="3.5.",Umse!$B$11="3.6.",Umse!$B$11="3.9.",Umse!$B$11="3.10.",Umse!$B$11="3.9.",Umse!$B$11="3.10.",Kalk!$B$5=4,Kalk!$B$5=6),'Kr Mask'!P63,IF(Kalk!$B$5=8,'AVH Mask'!P63,IF(AND('B Mask'!P63=0,'V Mask'!P63=0,'VKr-AT Mask'!P63=0,'L Mask'!P63=0),"",IF(OR('B Mask'!P63="-",'V Mask'!P63="-",'VKr-AT Mask'!P63="-",'L Mask'!P63="-",'AVH Mask'!P63="-"),"-",'B Mask'!P63+'V Mask'!P63+'VKr-AT Mask'!P63+'L Mask'!P63+'AVH Mask'!P63)))))</f>
        <v>19.97</v>
      </c>
      <c r="Q63" s="233">
        <f>IF(OR(Umse!$C$24=0,Umse!$B$11=0),"",IF(OR(Umse!$B$11="3.1.",Umse!$B$11="3.2.",Umse!$B$11="3.5.",Umse!$B$11="3.6.",Umse!$B$11="3.9.",Umse!$B$11="3.10.",Umse!$B$11="3.9.",Umse!$B$11="3.10.",Kalk!$B$5=4,Kalk!$B$5=6),'Kr Mask'!Q63,IF(Kalk!$B$5=8,'AVH Mask'!Q63,IF(AND('B Mask'!Q63=0,'V Mask'!Q63=0,'VKr-AT Mask'!Q63=0,'L Mask'!Q63=0),"",IF(OR('B Mask'!Q63="-",'V Mask'!Q63="-",'VKr-AT Mask'!Q63="-",'L Mask'!Q63="-",'AVH Mask'!Q63="-"),"-",'B Mask'!Q63+'V Mask'!Q63+'VKr-AT Mask'!Q63+'L Mask'!Q63+'AVH Mask'!Q63)))))</f>
        <v>19.97</v>
      </c>
      <c r="R63" s="233">
        <f>IF(OR(Umse!$C$24=0,Umse!$B$11=0),"",IF(OR(Umse!$B$11="3.1.",Umse!$B$11="3.2.",Umse!$B$11="3.5.",Umse!$B$11="3.6.",Umse!$B$11="3.9.",Umse!$B$11="3.10.",Umse!$B$11="3.9.",Umse!$B$11="3.10.",Kalk!$B$5=4,Kalk!$B$5=6),'Kr Mask'!R63,IF(Kalk!$B$5=8,'AVH Mask'!R63,IF(AND('B Mask'!R63=0,'V Mask'!R63=0,'VKr-AT Mask'!R63=0,'L Mask'!R63=0),"",IF(OR('B Mask'!R63="-",'V Mask'!R63="-",'VKr-AT Mask'!R63="-",'L Mask'!R63="-",'AVH Mask'!R63="-"),"-",'B Mask'!R63+'V Mask'!R63+'VKr-AT Mask'!R63+'L Mask'!R63+'AVH Mask'!R63)))))</f>
        <v>19.97</v>
      </c>
    </row>
    <row r="64" spans="2:18" ht="10.5" customHeight="1">
      <c r="B64" s="275" t="str">
        <f>'B Mask'!B64&amp;'V Mask'!B64&amp;'VKr-AT Mask'!B64&amp;'Kr Mask'!B64&amp;'L Mask'!B64&amp;'AVH Mask'!B64</f>
        <v>EG</v>
      </c>
      <c r="C64" s="276" t="str">
        <f>'B Mask'!C64&amp;'V Mask'!C64&amp;'VKr-AT Mask'!C64&amp;'Kr Mask'!C64&amp;'L Mask'!C64&amp;'AVH Mask'!C64</f>
        <v>2</v>
      </c>
      <c r="D64" s="234">
        <f>IF(OR(Umse!$C$24=0,Umse!$B$11=0),"",IF(AND('B Mask'!D64="",'V Mask'!D64="",'VKr-AT Mask'!D64="",'Kr Mask'!D64="",'L Mask'!D64="",'AVH Mask'!D64=""),"",IF(OR('B Mask'!D64="-",'V Mask'!D64="-",'VKr-AT Mask'!D64="-",'Kr Mask'!D64="-",'L Mask'!D64="-",'AVH Mask'!D64="-"),"-",'B Mask'!D64+'V Mask'!D64+'VKr-AT Mask'!D64+'Kr Mask'!D64+'L Mask'!D64+'AVH Mask'!D64)))</f>
        <v>4.32</v>
      </c>
      <c r="E64" s="234">
        <f>IF(OR(Umse!$C$24=0,Umse!$B$11=0),"",IF(AND('B Mask'!E64="",'V Mask'!E64="",'VKr-AT Mask'!E64="",'Kr Mask'!E64="",'L Mask'!E64="",'AVH Mask'!E64=""),"",IF(OR('B Mask'!E64="-",'V Mask'!E64="-",'VKr-AT Mask'!E64="-",'Kr Mask'!E64="-",'L Mask'!E64="-",'AVH Mask'!E64="-"),"-",IF(OR(Umse!$B$11="3.1.",Umse!$B$11="3.2.",Umse!$B$11="3.5.",Umse!$B$11="3.6.",Umse!$B$11="3.9.",Umse!$B$11="3.10."),'Kr Mask'!E64,IF(OR(Umse!$B$11="3.3.",Umse!$B$11="3.4.",Umse!$B$11="3.7.",Umse!$B$11="3.8.",Umse!$B$11="3.11.",Umse!$B$11="3.12."),'VKr-AT Mask'!E64,'B Mask'!E64+'V Mask'!E64+'VKr-AT Mask'!E64+'Kr Mask'!E64+'L Mask'!E64+'AVH Mask'!E64)))))</f>
        <v>2.88</v>
      </c>
      <c r="F64" s="234">
        <f>IF(OR(Umse!$C$24=0,Umse!$B$11=0),"",IF(AND('B Mask'!F64="",'V Mask'!F64="",'VKr-AT Mask'!F64="",'Kr Mask'!F64="",'L Mask'!F64="",'AVH Mask'!F64=""),"",IF(OR('B Mask'!F64="-",'V Mask'!F64="-",'VKr-AT Mask'!F64="-",'Kr Mask'!F64="-",'L Mask'!F64="-",'AVH Mask'!F64="-"),"-",'B Mask'!F64+'V Mask'!F64+'VKr-AT Mask'!F64+'Kr Mask'!F64+'L Mask'!F64+'AVH Mask'!F64)))</f>
        <v>3.6</v>
      </c>
      <c r="G64" s="234">
        <f>IF(OR(Umse!$C$24=0,Umse!$B$11=0),"",IF(AND('B Mask'!G64="",'V Mask'!G64="",'VKr-AT Mask'!G64="",'Kr Mask'!G64="",'L Mask'!G64="",'AVH Mask'!G64=""),"",IF(OR('B Mask'!G64="-",'V Mask'!G64="-",'VKr-AT Mask'!G64="-",'Kr Mask'!G64="-",'L Mask'!G64="-",'AVH Mask'!G64="-"),"-",'B Mask'!G64+'V Mask'!G64+'VKr-AT Mask'!G64+'Kr Mask'!G64+'L Mask'!G64+'AVH Mask'!G64)))</f>
        <v>5.04</v>
      </c>
      <c r="H64" s="234">
        <f>IF(OR(Umse!$C$24=0,Umse!$B$11=0),"",IF(AND('B Mask'!H64="",'V Mask'!H64="",'VKr-AT Mask'!H64="",'Kr Mask'!H64="",'L Mask'!H64="",'AVH Mask'!H64=""),"",IF(OR('B Mask'!H64="-",'V Mask'!H64="-",'VKr-AT Mask'!H64="-",'Kr Mask'!H64="-",'L Mask'!H64="-",'AVH Mask'!H64="-"),"-",'B Mask'!H64+'V Mask'!H64+'VKr-AT Mask'!H64+'Kr Mask'!H64+'L Mask'!H64+'AVH Mask'!H64)))</f>
        <v>19.45</v>
      </c>
      <c r="I64" s="234">
        <f>IF(OR(Umse!$C$24=0,Umse!$B$11=0),"",IF(AND('B Mask'!I64="",'V Mask'!I64="",'VKr-AT Mask'!I64="",'Kr Mask'!I64="",'L Mask'!I64="",'AVH Mask'!I64=""),"",IF(OR('B Mask'!I64="-",'V Mask'!I64="-",'VKr-AT Mask'!I64="-",'Kr Mask'!I64="-",'L Mask'!I64="-",'AVH Mask'!I64="-"),"-",'B Mask'!I64+'V Mask'!I64+'VKr-AT Mask'!I64+'Kr Mask'!I64+'L Mask'!I64+'AVH Mask'!I64)))</f>
        <v>5.04</v>
      </c>
      <c r="J64" s="254" t="str">
        <f>'B Mask'!J64&amp;'V Mask'!J64&amp;'VKr-AT Mask'!J64&amp;'VKr Mask'!J64&amp;'L Mask'!J64&amp;'AVH Mask'!J64</f>
        <v/>
      </c>
      <c r="K64" s="275" t="str">
        <f>IF(OR(Umse!$B$11="3.1.",Umse!$B$11="3.2.",Umse!$B$11="3.5.",Umse!$B$11="3.6.",Umse!$B$11="3.9.",Umse!$B$11="3.10.",Umse!$B$11="4.1.",Umse!$B$11="4.2.",Umse!$B$11="4.3.",Umse!$B$11="4.4.",Umse!$B$11="4.5.",Umse!$B$11="4.6.",Umse!$B$11="6.1.",Umse!$B$11="6.2.",Umse!$B$11="6.3.",Umse!$B$11="6.4.",Umse!$B$11="6.5.",Umse!$B$11="6.6."),'Kr Mask'!K64,'B Mask'!K64&amp;'V Mask'!K64&amp;'VKr-AT Mask'!K64&amp;'L Mask'!K64&amp;'AVH Mask'!K64)</f>
        <v>EG</v>
      </c>
      <c r="L64" s="276" t="str">
        <f>IF(OR(Umse!$B$11="3.1.",Umse!$B$11="3.2.",Umse!$B$11="3.5.",Umse!$B$11="3.6.",Umse!$B$11="3.9.",Umse!$B$11="3.10.",Umse!$B$11="4.1.",Umse!$B$11="4.2.",Umse!$B$11="4.3.",Umse!$B$11="4.4.",Umse!$B$11="4.5.",Umse!$B$11="4.6.",Umse!$B$11="6.1.",Umse!$B$11="6.2.",Umse!$B$11="6.3.",Umse!$B$11="6.4.",Umse!$B$11="6.5.",Umse!$B$11="6.6."),'Kr Mask'!L64,'B Mask'!L64&amp;'V Mask'!L64&amp;'VKr-AT Mask'!L64&amp;'L Mask'!L64&amp;'AVH Mask'!L64)</f>
        <v>2</v>
      </c>
      <c r="M64" s="234">
        <f>IF(OR(Umse!$C$24=0,Umse!$B$11=0),"",IF(OR(Umse!$B$11="3.1.",Umse!$B$11="3.2.",Umse!$B$11="3.5.",Umse!$B$11="3.6.",Umse!$B$11="3.9.",Umse!$B$11="3.10.",Umse!$B$11="3.9.",Umse!$B$11="3.10.",Kalk!$B$5=4,Kalk!$B$5=6),'Kr Mask'!M64,IF(Kalk!$B$5=8,'AVH Mask'!M64,IF(AND('B Mask'!M64=0,'V Mask'!M64=0,'VKr-AT Mask'!M64=0,'L Mask'!M64=0),"",IF(OR('B Mask'!M64="-",'V Mask'!M64="-",'VKr-AT Mask'!M64="-",'L Mask'!M64="-",'AVH Mask'!M64="-"),"-",'B Mask'!M64+'V Mask'!M64+'VKr-AT Mask'!M64+'L Mask'!M64+'AVH Mask'!M64)))))</f>
        <v>17.310000000000002</v>
      </c>
      <c r="N64" s="234">
        <f>IF(OR(Umse!$C$24=0,Umse!$B$11=0),"",IF(OR(Umse!$B$11="3.1.",Umse!$B$11="3.2.",Umse!$B$11="3.5.",Umse!$B$11="3.6.",Umse!$B$11="3.9.",Umse!$B$11="3.10.",Umse!$B$11="3.9.",Umse!$B$11="3.10.",Kalk!$B$5=4,Kalk!$B$5=6),'Kr Mask'!N64,IF(Kalk!$B$5=8,'AVH Mask'!N64,IF(AND('B Mask'!N64=0,'V Mask'!N64=0,'VKr-AT Mask'!N64=0,'L Mask'!N64=0),"",IF(OR('B Mask'!N64="-",'V Mask'!N64="-",'VKr-AT Mask'!N64="-",'L Mask'!N64="-",'AVH Mask'!N64="-"),"-",'B Mask'!N64+'V Mask'!N64+'VKr-AT Mask'!N64+'L Mask'!N64+'AVH Mask'!N64)))))</f>
        <v>18.450000000000003</v>
      </c>
      <c r="O64" s="234">
        <f>IF(OR(Umse!$C$24=0,Umse!$B$11=0),"",IF(OR(Umse!$B$11="3.1.",Umse!$B$11="3.2.",Umse!$B$11="3.5.",Umse!$B$11="3.6.",Umse!$B$11="3.9.",Umse!$B$11="3.10.",Umse!$B$11="3.9.",Umse!$B$11="3.10.",Kalk!$B$5=4,Kalk!$B$5=6),'Kr Mask'!O64,IF(Kalk!$B$5=8,'AVH Mask'!O64,IF(AND('B Mask'!O64=0,'V Mask'!O64=0,'VKr-AT Mask'!O64=0,'L Mask'!O64=0),"",IF(OR('B Mask'!O64="-",'V Mask'!O64="-",'VKr-AT Mask'!O64="-",'L Mask'!O64="-",'AVH Mask'!O64="-"),"-",'B Mask'!O64+'V Mask'!O64+'VKr-AT Mask'!O64+'L Mask'!O64+'AVH Mask'!O64)))))</f>
        <v>18.73</v>
      </c>
      <c r="P64" s="234">
        <f>IF(OR(Umse!$C$24=0,Umse!$B$11=0),"",IF(OR(Umse!$B$11="3.1.",Umse!$B$11="3.2.",Umse!$B$11="3.5.",Umse!$B$11="3.6.",Umse!$B$11="3.9.",Umse!$B$11="3.10.",Umse!$B$11="3.9.",Umse!$B$11="3.10.",Kalk!$B$5=4,Kalk!$B$5=6),'Kr Mask'!P64,IF(Kalk!$B$5=8,'AVH Mask'!P64,IF(AND('B Mask'!P64=0,'V Mask'!P64=0,'VKr-AT Mask'!P64=0,'L Mask'!P64=0),"",IF(OR('B Mask'!P64="-",'V Mask'!P64="-",'VKr-AT Mask'!P64="-",'L Mask'!P64="-",'AVH Mask'!P64="-"),"-",'B Mask'!P64+'V Mask'!P64+'VKr-AT Mask'!P64+'L Mask'!P64+'AVH Mask'!P64)))))</f>
        <v>19.12</v>
      </c>
      <c r="Q64" s="234">
        <f>IF(OR(Umse!$C$24=0,Umse!$B$11=0),"",IF(OR(Umse!$B$11="3.1.",Umse!$B$11="3.2.",Umse!$B$11="3.5.",Umse!$B$11="3.6.",Umse!$B$11="3.9.",Umse!$B$11="3.10.",Umse!$B$11="3.9.",Umse!$B$11="3.10.",Kalk!$B$5=4,Kalk!$B$5=6),'Kr Mask'!Q64,IF(Kalk!$B$5=8,'AVH Mask'!Q64,IF(AND('B Mask'!Q64=0,'V Mask'!Q64=0,'VKr-AT Mask'!Q64=0,'L Mask'!Q64=0),"",IF(OR('B Mask'!Q64="-",'V Mask'!Q64="-",'VKr-AT Mask'!Q64="-",'L Mask'!Q64="-",'AVH Mask'!Q64="-"),"-",'B Mask'!Q64+'V Mask'!Q64+'VKr-AT Mask'!Q64+'L Mask'!Q64+'AVH Mask'!Q64)))))</f>
        <v>19.12</v>
      </c>
      <c r="R64" s="234">
        <f>IF(OR(Umse!$C$24=0,Umse!$B$11=0),"",IF(OR(Umse!$B$11="3.1.",Umse!$B$11="3.2.",Umse!$B$11="3.5.",Umse!$B$11="3.6.",Umse!$B$11="3.9.",Umse!$B$11="3.10.",Umse!$B$11="3.9.",Umse!$B$11="3.10.",Kalk!$B$5=4,Kalk!$B$5=6),'Kr Mask'!R64,IF(Kalk!$B$5=8,'AVH Mask'!R64,IF(AND('B Mask'!R64=0,'V Mask'!R64=0,'VKr-AT Mask'!R64=0,'L Mask'!R64=0),"",IF(OR('B Mask'!R64="-",'V Mask'!R64="-",'VKr-AT Mask'!R64="-",'L Mask'!R64="-",'AVH Mask'!R64="-"),"-",'B Mask'!R64+'V Mask'!R64+'VKr-AT Mask'!R64+'L Mask'!R64+'AVH Mask'!R64)))))</f>
        <v>19.12</v>
      </c>
    </row>
    <row r="65" spans="2:18" ht="10.5" customHeight="1">
      <c r="B65" s="273" t="str">
        <f>'B Mask'!B65&amp;'V Mask'!B65&amp;'VKr-AT Mask'!B65&amp;'Kr Mask'!B65&amp;'L Mask'!B65&amp;'AVH Mask'!B65</f>
        <v>EG</v>
      </c>
      <c r="C65" s="274" t="str">
        <f>'B Mask'!C65&amp;'V Mask'!C65&amp;'VKr-AT Mask'!C65&amp;'Kr Mask'!C65&amp;'L Mask'!C65&amp;'AVH Mask'!C65</f>
        <v>1</v>
      </c>
      <c r="D65" s="233">
        <f>IF(OR(Umse!$C$24=0,Umse!$B$11=0),"",IF(AND('B Mask'!D65="",'V Mask'!D65="",'VKr-AT Mask'!D65="",'Kr Mask'!D65="",'L Mask'!D65="",'AVH Mask'!D65=""),"",IF(OR('B Mask'!D65="-",'V Mask'!D65="-",'VKr-AT Mask'!D65="-",'Kr Mask'!D65="-",'L Mask'!D65="-",'AVH Mask'!D65="-"),"-",'B Mask'!D65+'V Mask'!D65+'VKr-AT Mask'!D65+'Kr Mask'!D65+'L Mask'!D65+'AVH Mask'!D65)))</f>
        <v>3.56</v>
      </c>
      <c r="E65" s="233">
        <f>IF(OR(Umse!$C$24=0,Umse!$B$11=0),"",IF(AND('B Mask'!E65="",'V Mask'!E65="",'VKr-AT Mask'!E65="",'Kr Mask'!E65="",'L Mask'!E65="",'AVH Mask'!E65=""),"",IF(OR('B Mask'!E65="-",'V Mask'!E65="-",'VKr-AT Mask'!E65="-",'Kr Mask'!E65="-",'L Mask'!E65="-",'AVH Mask'!E65="-"),"-",IF(OR(Umse!$B$11="3.1.",Umse!$B$11="3.2.",Umse!$B$11="3.5.",Umse!$B$11="3.6.",Umse!$B$11="3.9.",Umse!$B$11="3.10."),'Kr Mask'!E65,IF(OR(Umse!$B$11="3.3.",Umse!$B$11="3.4.",Umse!$B$11="3.7.",Umse!$B$11="3.8.",Umse!$B$11="3.11.",Umse!$B$11="3.12."),'VKr-AT Mask'!E65,'B Mask'!E65+'V Mask'!E65+'VKr-AT Mask'!E65+'Kr Mask'!E65+'L Mask'!E65+'AVH Mask'!E65)))))</f>
        <v>2.37</v>
      </c>
      <c r="F65" s="233">
        <f>IF(OR(Umse!$C$24=0,Umse!$B$11=0),"",IF(AND('B Mask'!F65="",'V Mask'!F65="",'VKr-AT Mask'!F65="",'Kr Mask'!F65="",'L Mask'!F65="",'AVH Mask'!F65=""),"",IF(OR('B Mask'!F65="-",'V Mask'!F65="-",'VKr-AT Mask'!F65="-",'Kr Mask'!F65="-",'L Mask'!F65="-",'AVH Mask'!F65="-"),"-",'B Mask'!F65+'V Mask'!F65+'VKr-AT Mask'!F65+'Kr Mask'!F65+'L Mask'!F65+'AVH Mask'!F65)))</f>
        <v>2.97</v>
      </c>
      <c r="G65" s="233">
        <f>IF(OR(Umse!$C$24=0,Umse!$B$11=0),"",IF(AND('B Mask'!G65="",'V Mask'!G65="",'VKr-AT Mask'!G65="",'Kr Mask'!G65="",'L Mask'!G65="",'AVH Mask'!G65=""),"",IF(OR('B Mask'!G65="-",'V Mask'!G65="-",'VKr-AT Mask'!G65="-",'Kr Mask'!G65="-",'L Mask'!G65="-",'AVH Mask'!G65="-"),"-",'B Mask'!G65+'V Mask'!G65+'VKr-AT Mask'!G65+'Kr Mask'!G65+'L Mask'!G65+'AVH Mask'!G65)))</f>
        <v>4.1500000000000004</v>
      </c>
      <c r="H65" s="233">
        <f>IF(OR(Umse!$C$24=0,Umse!$B$11=0),"",IF(AND('B Mask'!H65="",'V Mask'!H65="",'VKr-AT Mask'!H65="",'Kr Mask'!H65="",'L Mask'!H65="",'AVH Mask'!H65=""),"",IF(OR('B Mask'!H65="-",'V Mask'!H65="-",'VKr-AT Mask'!H65="-",'Kr Mask'!H65="-",'L Mask'!H65="-",'AVH Mask'!H65="-"),"-",'B Mask'!H65+'V Mask'!H65+'VKr-AT Mask'!H65+'Kr Mask'!H65+'L Mask'!H65+'AVH Mask'!H65)))</f>
        <v>16.02</v>
      </c>
      <c r="I65" s="233">
        <f>IF(OR(Umse!$C$24=0,Umse!$B$11=0),"",IF(AND('B Mask'!I65="",'V Mask'!I65="",'VKr-AT Mask'!I65="",'Kr Mask'!I65="",'L Mask'!I65="",'AVH Mask'!I65=""),"",IF(OR('B Mask'!I65="-",'V Mask'!I65="-",'VKr-AT Mask'!I65="-",'Kr Mask'!I65="-",'L Mask'!I65="-",'AVH Mask'!I65="-"),"-",'B Mask'!I65+'V Mask'!I65+'VKr-AT Mask'!I65+'Kr Mask'!I65+'L Mask'!I65+'AVH Mask'!I65)))</f>
        <v>4.1500000000000004</v>
      </c>
      <c r="J65" s="254" t="str">
        <f>'B Mask'!J65&amp;'V Mask'!J65&amp;'VKr-AT Mask'!J65&amp;'VKr Mask'!J65&amp;'L Mask'!J65&amp;'AVH Mask'!J65</f>
        <v/>
      </c>
      <c r="K65" s="273" t="str">
        <f>IF(OR(Umse!$B$11="3.1.",Umse!$B$11="3.2.",Umse!$B$11="3.5.",Umse!$B$11="3.6.",Umse!$B$11="3.9.",Umse!$B$11="3.10.",Umse!$B$11="4.1.",Umse!$B$11="4.2.",Umse!$B$11="4.3.",Umse!$B$11="4.4.",Umse!$B$11="4.5.",Umse!$B$11="4.6.",Umse!$B$11="6.1.",Umse!$B$11="6.2.",Umse!$B$11="6.3.",Umse!$B$11="6.4.",Umse!$B$11="6.5.",Umse!$B$11="6.6."),'Kr Mask'!K65,'B Mask'!K65&amp;'V Mask'!K65&amp;'VKr-AT Mask'!K65&amp;'L Mask'!K65&amp;'AVH Mask'!K65)</f>
        <v>EG</v>
      </c>
      <c r="L65" s="274" t="str">
        <f>IF(OR(Umse!$B$11="3.1.",Umse!$B$11="3.2.",Umse!$B$11="3.5.",Umse!$B$11="3.6.",Umse!$B$11="3.9.",Umse!$B$11="3.10.",Umse!$B$11="4.1.",Umse!$B$11="4.2.",Umse!$B$11="4.3.",Umse!$B$11="4.4.",Umse!$B$11="4.5.",Umse!$B$11="4.6.",Umse!$B$11="6.1.",Umse!$B$11="6.2.",Umse!$B$11="6.3.",Umse!$B$11="6.4.",Umse!$B$11="6.5.",Umse!$B$11="6.6."),'Kr Mask'!L65,'B Mask'!L65&amp;'V Mask'!L65&amp;'VKr-AT Mask'!L65&amp;'L Mask'!L65&amp;'AVH Mask'!L65)</f>
        <v>1</v>
      </c>
      <c r="M65" s="233" t="str">
        <f>IF(OR(Umse!$C$24=0,Umse!$B$11=0),"",IF(OR(Umse!$B$11="3.1.",Umse!$B$11="3.2.",Umse!$B$11="3.5.",Umse!$B$11="3.6.",Umse!$B$11="3.9.",Umse!$B$11="3.10.",Umse!$B$11="3.9.",Umse!$B$11="3.10.",Kalk!$B$5=4,Kalk!$B$5=6),'Kr Mask'!M65,IF(Kalk!$B$5=8,'AVH Mask'!M65,IF(AND('B Mask'!M65=0,'V Mask'!M65=0,'VKr-AT Mask'!M65=0,'L Mask'!M65=0),"",IF(OR('B Mask'!M65="-",'V Mask'!M65="-",'VKr-AT Mask'!M65="-",'L Mask'!M65="-",'AVH Mask'!M65="-"),"-",'B Mask'!M65+'V Mask'!M65+'VKr-AT Mask'!M65+'L Mask'!M65+'AVH Mask'!M65)))))</f>
        <v>-</v>
      </c>
      <c r="N65" s="233">
        <f>IF(OR(Umse!$C$24=0,Umse!$B$11=0),"",IF(OR(Umse!$B$11="3.1.",Umse!$B$11="3.2.",Umse!$B$11="3.5.",Umse!$B$11="3.6.",Umse!$B$11="3.9.",Umse!$B$11="3.10.",Umse!$B$11="3.9.",Umse!$B$11="3.10.",Kalk!$B$5=4,Kalk!$B$5=6),'Kr Mask'!N65,IF(Kalk!$B$5=8,'AVH Mask'!N65,IF(AND('B Mask'!N65=0,'V Mask'!N65=0,'VKr-AT Mask'!N65=0,'L Mask'!N65=0),"",IF(OR('B Mask'!N65="-",'V Mask'!N65="-",'VKr-AT Mask'!N65="-",'L Mask'!N65="-",'AVH Mask'!N65="-"),"-",'B Mask'!N65+'V Mask'!N65+'VKr-AT Mask'!N65+'L Mask'!N65+'AVH Mask'!N65)))))</f>
        <v>15.24</v>
      </c>
      <c r="O65" s="233">
        <f>IF(OR(Umse!$C$24=0,Umse!$B$11=0),"",IF(OR(Umse!$B$11="3.1.",Umse!$B$11="3.2.",Umse!$B$11="3.5.",Umse!$B$11="3.6.",Umse!$B$11="3.9.",Umse!$B$11="3.10.",Umse!$B$11="3.9.",Umse!$B$11="3.10.",Kalk!$B$5=4,Kalk!$B$5=6),'Kr Mask'!O65,IF(Kalk!$B$5=8,'AVH Mask'!O65,IF(AND('B Mask'!O65=0,'V Mask'!O65=0,'VKr-AT Mask'!O65=0,'L Mask'!O65=0),"",IF(OR('B Mask'!O65="-",'V Mask'!O65="-",'VKr-AT Mask'!O65="-",'L Mask'!O65="-",'AVH Mask'!O65="-"),"-",'B Mask'!O65+'V Mask'!O65+'VKr-AT Mask'!O65+'L Mask'!O65+'AVH Mask'!O65)))))</f>
        <v>15.43</v>
      </c>
      <c r="P65" s="233">
        <f>IF(OR(Umse!$C$24=0,Umse!$B$11=0),"",IF(OR(Umse!$B$11="3.1.",Umse!$B$11="3.2.",Umse!$B$11="3.5.",Umse!$B$11="3.6.",Umse!$B$11="3.9.",Umse!$B$11="3.10.",Umse!$B$11="3.9.",Umse!$B$11="3.10.",Kalk!$B$5=4,Kalk!$B$5=6),'Kr Mask'!P65,IF(Kalk!$B$5=8,'AVH Mask'!P65,IF(AND('B Mask'!P65=0,'V Mask'!P65=0,'VKr-AT Mask'!P65=0,'L Mask'!P65=0),"",IF(OR('B Mask'!P65="-",'V Mask'!P65="-",'VKr-AT Mask'!P65="-",'L Mask'!P65="-",'AVH Mask'!P65="-"),"-",'B Mask'!P65+'V Mask'!P65+'VKr-AT Mask'!P65+'L Mask'!P65+'AVH Mask'!P65)))))</f>
        <v>15.67</v>
      </c>
      <c r="Q65" s="233">
        <f>IF(OR(Umse!$C$24=0,Umse!$B$11=0),"",IF(OR(Umse!$B$11="3.1.",Umse!$B$11="3.2.",Umse!$B$11="3.5.",Umse!$B$11="3.6.",Umse!$B$11="3.9.",Umse!$B$11="3.10.",Umse!$B$11="3.9.",Umse!$B$11="3.10.",Kalk!$B$5=4,Kalk!$B$5=6),'Kr Mask'!Q65,IF(Kalk!$B$5=8,'AVH Mask'!Q65,IF(AND('B Mask'!Q65=0,'V Mask'!Q65=0,'VKr-AT Mask'!Q65=0,'L Mask'!Q65=0),"",IF(OR('B Mask'!Q65="-",'V Mask'!Q65="-",'VKr-AT Mask'!Q65="-",'L Mask'!Q65="-",'AVH Mask'!Q65="-"),"-",'B Mask'!Q65+'V Mask'!Q65+'VKr-AT Mask'!Q65+'L Mask'!Q65+'AVH Mask'!Q65)))))</f>
        <v>15.67</v>
      </c>
      <c r="R65" s="233">
        <f>IF(OR(Umse!$C$24=0,Umse!$B$11=0),"",IF(OR(Umse!$B$11="3.1.",Umse!$B$11="3.2.",Umse!$B$11="3.5.",Umse!$B$11="3.6.",Umse!$B$11="3.9.",Umse!$B$11="3.10.",Umse!$B$11="3.9.",Umse!$B$11="3.10.",Kalk!$B$5=4,Kalk!$B$5=6),'Kr Mask'!R65,IF(Kalk!$B$5=8,'AVH Mask'!R65,IF(AND('B Mask'!R65=0,'V Mask'!R65=0,'VKr-AT Mask'!R65=0,'L Mask'!R65=0),"",IF(OR('B Mask'!R65="-",'V Mask'!R65="-",'VKr-AT Mask'!R65="-",'L Mask'!R65="-",'AVH Mask'!R65="-"),"-",'B Mask'!R65+'V Mask'!R65+'VKr-AT Mask'!R65+'L Mask'!R65+'AVH Mask'!R65)))))</f>
        <v>15.67</v>
      </c>
    </row>
    <row r="66" spans="2:18" ht="10.5" customHeight="1">
      <c r="B66" s="275" t="str">
        <f>'B Mask'!B66&amp;'V Mask'!B66&amp;'VKr-AT Mask'!B66&amp;'Kr Mask'!B66&amp;'L Mask'!B66&amp;'AVH Mask'!B66</f>
        <v/>
      </c>
      <c r="C66" s="276" t="str">
        <f>'B Mask'!C66&amp;'V Mask'!C66&amp;'VKr-AT Mask'!C66&amp;'Kr Mask'!C66&amp;'L Mask'!C66&amp;'AVH Mask'!C66</f>
        <v/>
      </c>
      <c r="D66" s="234">
        <f>IF(OR(Umse!$C$24=0,Umse!$B$11=0),"",IF(AND('B Mask'!D66="",'V Mask'!D66="",'VKr-AT Mask'!D66="",'Kr Mask'!D66="",'L Mask'!D66="",'AVH Mask'!D66=""),"",IF(OR('B Mask'!D66="-",'V Mask'!D66="-",'VKr-AT Mask'!D66="-",'Kr Mask'!D66="-",'L Mask'!D66="-",'AVH Mask'!D66="-"),"-",'B Mask'!D66+'V Mask'!D66+'VKr-AT Mask'!D66+'Kr Mask'!D66+'L Mask'!D66+'AVH Mask'!D66)))</f>
        <v>0</v>
      </c>
      <c r="E66" s="234">
        <f>IF(OR(Umse!$C$24=0,Umse!$B$11=0),"",IF(AND('B Mask'!E66="",'V Mask'!E66="",'VKr-AT Mask'!E66="",'Kr Mask'!E66="",'L Mask'!E66="",'AVH Mask'!E66=""),"",IF(OR('B Mask'!E66="-",'V Mask'!E66="-",'VKr-AT Mask'!E66="-",'Kr Mask'!E66="-",'L Mask'!E66="-",'AVH Mask'!E66="-"),"-",IF(OR(Umse!$B$11="3.1.",Umse!$B$11="3.2.",Umse!$B$11="3.5.",Umse!$B$11="3.6.",Umse!$B$11="3.9.",Umse!$B$11="3.10."),'Kr Mask'!E66,IF(OR(Umse!$B$11="3.3.",Umse!$B$11="3.4.",Umse!$B$11="3.7.",Umse!$B$11="3.8.",Umse!$B$11="3.11.",Umse!$B$11="3.12."),'VKr-AT Mask'!E66,'B Mask'!E66+'V Mask'!E66+'VKr-AT Mask'!E66+'Kr Mask'!E66+'L Mask'!E66+'AVH Mask'!E66)))))</f>
        <v>0</v>
      </c>
      <c r="F66" s="234">
        <f>IF(OR(Umse!$C$24=0,Umse!$B$11=0),"",IF(AND('B Mask'!F66="",'V Mask'!F66="",'VKr-AT Mask'!F66="",'Kr Mask'!F66="",'L Mask'!F66="",'AVH Mask'!F66=""),"",IF(OR('B Mask'!F66="-",'V Mask'!F66="-",'VKr-AT Mask'!F66="-",'Kr Mask'!F66="-",'L Mask'!F66="-",'AVH Mask'!F66="-"),"-",'B Mask'!F66+'V Mask'!F66+'VKr-AT Mask'!F66+'Kr Mask'!F66+'L Mask'!F66+'AVH Mask'!F66)))</f>
        <v>0</v>
      </c>
      <c r="G66" s="234">
        <f>IF(OR(Umse!$C$24=0,Umse!$B$11=0),"",IF(AND('B Mask'!G66="",'V Mask'!G66="",'VKr-AT Mask'!G66="",'Kr Mask'!G66="",'L Mask'!G66="",'AVH Mask'!G66=""),"",IF(OR('B Mask'!G66="-",'V Mask'!G66="-",'VKr-AT Mask'!G66="-",'Kr Mask'!G66="-",'L Mask'!G66="-",'AVH Mask'!G66="-"),"-",'B Mask'!G66+'V Mask'!G66+'VKr-AT Mask'!G66+'Kr Mask'!G66+'L Mask'!G66+'AVH Mask'!G66)))</f>
        <v>0</v>
      </c>
      <c r="H66" s="234">
        <f>IF(OR(Umse!$C$24=0,Umse!$B$11=0),"",IF(AND('B Mask'!H66="",'V Mask'!H66="",'VKr-AT Mask'!H66="",'Kr Mask'!H66="",'L Mask'!H66="",'AVH Mask'!H66=""),"",IF(OR('B Mask'!H66="-",'V Mask'!H66="-",'VKr-AT Mask'!H66="-",'Kr Mask'!H66="-",'L Mask'!H66="-",'AVH Mask'!H66="-"),"-",'B Mask'!H66+'V Mask'!H66+'VKr-AT Mask'!H66+'Kr Mask'!H66+'L Mask'!H66+'AVH Mask'!H66)))</f>
        <v>0</v>
      </c>
      <c r="I66" s="234">
        <f>IF(OR(Umse!$C$24=0,Umse!$B$11=0),"",IF(AND('B Mask'!I66="",'V Mask'!I66="",'VKr-AT Mask'!I66="",'Kr Mask'!I66="",'L Mask'!I66="",'AVH Mask'!I66=""),"",IF(OR('B Mask'!I66="-",'V Mask'!I66="-",'VKr-AT Mask'!I66="-",'Kr Mask'!I66="-",'L Mask'!I66="-",'AVH Mask'!I66="-"),"-",'B Mask'!I66+'V Mask'!I66+'VKr-AT Mask'!I66+'Kr Mask'!I66+'L Mask'!I66+'AVH Mask'!I66)))</f>
        <v>0</v>
      </c>
      <c r="J66" s="254" t="str">
        <f>'B Mask'!J66&amp;'V Mask'!J66&amp;'VKr-AT Mask'!J66&amp;'VKr Mask'!J66&amp;'L Mask'!J66&amp;'AVH Mask'!J66</f>
        <v/>
      </c>
      <c r="K66" s="275" t="str">
        <f>IF(OR(Umse!$B$11="3.1.",Umse!$B$11="3.2.",Umse!$B$11="3.5.",Umse!$B$11="3.6.",Umse!$B$11="3.9.",Umse!$B$11="3.10.",Umse!$B$11="4.1.",Umse!$B$11="4.2.",Umse!$B$11="4.3.",Umse!$B$11="4.4.",Umse!$B$11="4.5.",Umse!$B$11="4.6.",Umse!$B$11="6.1.",Umse!$B$11="6.2.",Umse!$B$11="6.3.",Umse!$B$11="6.4.",Umse!$B$11="6.5.",Umse!$B$11="6.6."),'Kr Mask'!K66,'B Mask'!K66&amp;'V Mask'!K66&amp;'VKr-AT Mask'!K66&amp;'L Mask'!K66&amp;'AVH Mask'!K66)</f>
        <v/>
      </c>
      <c r="L66" s="276" t="str">
        <f>IF(OR(Umse!$B$11="3.1.",Umse!$B$11="3.2.",Umse!$B$11="3.5.",Umse!$B$11="3.6.",Umse!$B$11="3.9.",Umse!$B$11="3.10.",Umse!$B$11="4.1.",Umse!$B$11="4.2.",Umse!$B$11="4.3.",Umse!$B$11="4.4.",Umse!$B$11="4.5.",Umse!$B$11="4.6.",Umse!$B$11="6.1.",Umse!$B$11="6.2.",Umse!$B$11="6.3.",Umse!$B$11="6.4.",Umse!$B$11="6.5.",Umse!$B$11="6.6."),'Kr Mask'!L66,'B Mask'!L66&amp;'V Mask'!L66&amp;'VKr-AT Mask'!L66&amp;'L Mask'!L66&amp;'AVH Mask'!L66)</f>
        <v/>
      </c>
      <c r="M66" s="234" t="str">
        <f>IF(OR(Umse!$C$24=0,Umse!$B$11=0),"",IF(OR(Umse!$B$11="3.1.",Umse!$B$11="3.2.",Umse!$B$11="3.5.",Umse!$B$11="3.6.",Umse!$B$11="3.9.",Umse!$B$11="3.10.",Umse!$B$11="3.9.",Umse!$B$11="3.10.",Kalk!$B$5=4,Kalk!$B$5=6),'Kr Mask'!M66,IF(Kalk!$B$5=8,'AVH Mask'!M66,IF(AND('B Mask'!M66=0,'V Mask'!M66=0,'VKr-AT Mask'!M66=0,'L Mask'!M66=0),"",IF(OR('B Mask'!M66="-",'V Mask'!M66="-",'VKr-AT Mask'!M66="-",'L Mask'!M66="-",'AVH Mask'!M66="-"),"-",'B Mask'!M66+'V Mask'!M66+'VKr-AT Mask'!M66+'L Mask'!M66+'AVH Mask'!M66)))))</f>
        <v/>
      </c>
      <c r="N66" s="234" t="str">
        <f>IF(OR(Umse!$C$24=0,Umse!$B$11=0),"",IF(OR(Umse!$B$11="3.1.",Umse!$B$11="3.2.",Umse!$B$11="3.5.",Umse!$B$11="3.6.",Umse!$B$11="3.9.",Umse!$B$11="3.10.",Umse!$B$11="3.9.",Umse!$B$11="3.10.",Kalk!$B$5=4,Kalk!$B$5=6),'Kr Mask'!N66,IF(Kalk!$B$5=8,'AVH Mask'!N66,IF(AND('B Mask'!N66=0,'V Mask'!N66=0,'VKr-AT Mask'!N66=0,'L Mask'!N66=0),"",IF(OR('B Mask'!N66="-",'V Mask'!N66="-",'VKr-AT Mask'!N66="-",'L Mask'!N66="-",'AVH Mask'!N66="-"),"-",'B Mask'!N66+'V Mask'!N66+'VKr-AT Mask'!N66+'L Mask'!N66+'AVH Mask'!N66)))))</f>
        <v/>
      </c>
      <c r="O66" s="234" t="str">
        <f>IF(OR(Umse!$C$24=0,Umse!$B$11=0),"",IF(OR(Umse!$B$11="3.1.",Umse!$B$11="3.2.",Umse!$B$11="3.5.",Umse!$B$11="3.6.",Umse!$B$11="3.9.",Umse!$B$11="3.10.",Umse!$B$11="3.9.",Umse!$B$11="3.10.",Kalk!$B$5=4,Kalk!$B$5=6),'Kr Mask'!O66,IF(Kalk!$B$5=8,'AVH Mask'!O66,IF(AND('B Mask'!O66=0,'V Mask'!O66=0,'VKr-AT Mask'!O66=0,'L Mask'!O66=0),"",IF(OR('B Mask'!O66="-",'V Mask'!O66="-",'VKr-AT Mask'!O66="-",'L Mask'!O66="-",'AVH Mask'!O66="-"),"-",'B Mask'!O66+'V Mask'!O66+'VKr-AT Mask'!O66+'L Mask'!O66+'AVH Mask'!O66)))))</f>
        <v/>
      </c>
      <c r="P66" s="234" t="str">
        <f>IF(OR(Umse!$C$24=0,Umse!$B$11=0),"",IF(OR(Umse!$B$11="3.1.",Umse!$B$11="3.2.",Umse!$B$11="3.5.",Umse!$B$11="3.6.",Umse!$B$11="3.9.",Umse!$B$11="3.10.",Umse!$B$11="3.9.",Umse!$B$11="3.10.",Kalk!$B$5=4,Kalk!$B$5=6),'Kr Mask'!P66,IF(Kalk!$B$5=8,'AVH Mask'!P66,IF(AND('B Mask'!P66=0,'V Mask'!P66=0,'VKr-AT Mask'!P66=0,'L Mask'!P66=0),"",IF(OR('B Mask'!P66="-",'V Mask'!P66="-",'VKr-AT Mask'!P66="-",'L Mask'!P66="-",'AVH Mask'!P66="-"),"-",'B Mask'!P66+'V Mask'!P66+'VKr-AT Mask'!P66+'L Mask'!P66+'AVH Mask'!P66)))))</f>
        <v/>
      </c>
      <c r="Q66" s="234" t="str">
        <f>IF(OR(Umse!$C$24=0,Umse!$B$11=0),"",IF(OR(Umse!$B$11="3.1.",Umse!$B$11="3.2.",Umse!$B$11="3.5.",Umse!$B$11="3.6.",Umse!$B$11="3.9.",Umse!$B$11="3.10.",Umse!$B$11="3.9.",Umse!$B$11="3.10.",Kalk!$B$5=4,Kalk!$B$5=6),'Kr Mask'!Q66,IF(Kalk!$B$5=8,'AVH Mask'!Q66,IF(AND('B Mask'!Q66=0,'V Mask'!Q66=0,'VKr-AT Mask'!Q66=0,'L Mask'!Q66=0),"",IF(OR('B Mask'!Q66="-",'V Mask'!Q66="-",'VKr-AT Mask'!Q66="-",'L Mask'!Q66="-",'AVH Mask'!Q66="-"),"-",'B Mask'!Q66+'V Mask'!Q66+'VKr-AT Mask'!Q66+'L Mask'!Q66+'AVH Mask'!Q66)))))</f>
        <v/>
      </c>
      <c r="R66" s="234" t="str">
        <f>IF(OR(Umse!$C$24=0,Umse!$B$11=0),"",IF(OR(Umse!$B$11="3.1.",Umse!$B$11="3.2.",Umse!$B$11="3.5.",Umse!$B$11="3.6.",Umse!$B$11="3.9.",Umse!$B$11="3.10.",Umse!$B$11="3.9.",Umse!$B$11="3.10.",Kalk!$B$5=4,Kalk!$B$5=6),'Kr Mask'!R66,IF(Kalk!$B$5=8,'AVH Mask'!R66,IF(AND('B Mask'!R66=0,'V Mask'!R66=0,'VKr-AT Mask'!R66=0,'L Mask'!R66=0),"",IF(OR('B Mask'!R66="-",'V Mask'!R66="-",'VKr-AT Mask'!R66="-",'L Mask'!R66="-",'AVH Mask'!R66="-"),"-",'B Mask'!R66+'V Mask'!R66+'VKr-AT Mask'!R66+'L Mask'!R66+'AVH Mask'!R66)))))</f>
        <v/>
      </c>
    </row>
    <row r="67" spans="2:18" ht="10.5" customHeight="1">
      <c r="B67" s="273" t="str">
        <f>'B Mask'!B67&amp;'V Mask'!B67&amp;'VKr-AT Mask'!B67&amp;'Kr Mask'!B67&amp;'L Mask'!B67&amp;'AVH Mask'!B67</f>
        <v/>
      </c>
      <c r="C67" s="274" t="str">
        <f>'B Mask'!C67&amp;'V Mask'!C67&amp;'VKr-AT Mask'!C67&amp;'Kr Mask'!C67&amp;'L Mask'!C67&amp;'AVH Mask'!C67</f>
        <v/>
      </c>
      <c r="D67" s="233">
        <f>IF(OR(Umse!$C$24=0,Umse!$B$11=0),"",IF(AND('B Mask'!D67="",'V Mask'!D67="",'VKr-AT Mask'!D67="",'Kr Mask'!D67="",'L Mask'!D67="",'AVH Mask'!D67=""),"",IF(OR('B Mask'!D67="-",'V Mask'!D67="-",'VKr-AT Mask'!D67="-",'Kr Mask'!D67="-",'L Mask'!D67="-",'AVH Mask'!D67="-"),"-",'B Mask'!D67+'V Mask'!D67+'VKr-AT Mask'!D67+'Kr Mask'!D67+'L Mask'!D67+'AVH Mask'!D67)))</f>
        <v>0</v>
      </c>
      <c r="E67" s="233">
        <f>IF(OR(Umse!$C$24=0,Umse!$B$11=0),"",IF(AND('B Mask'!E67="",'V Mask'!E67="",'VKr-AT Mask'!E67="",'Kr Mask'!E67="",'L Mask'!E67="",'AVH Mask'!E67=""),"",IF(OR('B Mask'!E67="-",'V Mask'!E67="-",'VKr-AT Mask'!E67="-",'Kr Mask'!E67="-",'L Mask'!E67="-",'AVH Mask'!E67="-"),"-",IF(OR(Umse!$B$11="3.1.",Umse!$B$11="3.2.",Umse!$B$11="3.5.",Umse!$B$11="3.6.",Umse!$B$11="3.9.",Umse!$B$11="3.10."),'Kr Mask'!E67,IF(OR(Umse!$B$11="3.3.",Umse!$B$11="3.4.",Umse!$B$11="3.7.",Umse!$B$11="3.8.",Umse!$B$11="3.11.",Umse!$B$11="3.12."),'VKr-AT Mask'!E67,'B Mask'!E67+'V Mask'!E67+'VKr-AT Mask'!E67+'Kr Mask'!E67+'L Mask'!E67+'AVH Mask'!E67)))))</f>
        <v>0</v>
      </c>
      <c r="F67" s="233">
        <f>IF(OR(Umse!$C$24=0,Umse!$B$11=0),"",IF(AND('B Mask'!F67="",'V Mask'!F67="",'VKr-AT Mask'!F67="",'Kr Mask'!F67="",'L Mask'!F67="",'AVH Mask'!F67=""),"",IF(OR('B Mask'!F67="-",'V Mask'!F67="-",'VKr-AT Mask'!F67="-",'Kr Mask'!F67="-",'L Mask'!F67="-",'AVH Mask'!F67="-"),"-",'B Mask'!F67+'V Mask'!F67+'VKr-AT Mask'!F67+'Kr Mask'!F67+'L Mask'!F67+'AVH Mask'!F67)))</f>
        <v>0</v>
      </c>
      <c r="G67" s="233">
        <f>IF(OR(Umse!$C$24=0,Umse!$B$11=0),"",IF(AND('B Mask'!G67="",'V Mask'!G67="",'VKr-AT Mask'!G67="",'Kr Mask'!G67="",'L Mask'!G67="",'AVH Mask'!G67=""),"",IF(OR('B Mask'!G67="-",'V Mask'!G67="-",'VKr-AT Mask'!G67="-",'Kr Mask'!G67="-",'L Mask'!G67="-",'AVH Mask'!G67="-"),"-",'B Mask'!G67+'V Mask'!G67+'VKr-AT Mask'!G67+'Kr Mask'!G67+'L Mask'!G67+'AVH Mask'!G67)))</f>
        <v>0</v>
      </c>
      <c r="H67" s="233">
        <f>IF(OR(Umse!$C$24=0,Umse!$B$11=0),"",IF(AND('B Mask'!H67="",'V Mask'!H67="",'VKr-AT Mask'!H67="",'Kr Mask'!H67="",'L Mask'!H67="",'AVH Mask'!H67=""),"",IF(OR('B Mask'!H67="-",'V Mask'!H67="-",'VKr-AT Mask'!H67="-",'Kr Mask'!H67="-",'L Mask'!H67="-",'AVH Mask'!H67="-"),"-",'B Mask'!H67+'V Mask'!H67+'VKr-AT Mask'!H67+'Kr Mask'!H67+'L Mask'!H67+'AVH Mask'!H67)))</f>
        <v>0</v>
      </c>
      <c r="I67" s="233">
        <f>IF(OR(Umse!$C$24=0,Umse!$B$11=0),"",IF(AND('B Mask'!I67="",'V Mask'!I67="",'VKr-AT Mask'!I67="",'Kr Mask'!I67="",'L Mask'!I67="",'AVH Mask'!I67=""),"",IF(OR('B Mask'!I67="-",'V Mask'!I67="-",'VKr-AT Mask'!I67="-",'Kr Mask'!I67="-",'L Mask'!I67="-",'AVH Mask'!I67="-"),"-",'B Mask'!I67+'V Mask'!I67+'VKr-AT Mask'!I67+'Kr Mask'!I67+'L Mask'!I67+'AVH Mask'!I67)))</f>
        <v>0</v>
      </c>
      <c r="J67" s="250"/>
      <c r="K67" s="273" t="str">
        <f>IF(OR(Umse!$B$11="3.1.",Umse!$B$11="3.2.",Umse!$B$11="3.5.",Umse!$B$11="3.6.",Umse!$B$11="3.9.",Umse!$B$11="3.10.",Umse!$B$11="4.1.",Umse!$B$11="4.2.",Umse!$B$11="4.3.",Umse!$B$11="4.4.",Umse!$B$11="4.5.",Umse!$B$11="4.6.",Umse!$B$11="6.1.",Umse!$B$11="6.2.",Umse!$B$11="6.3.",Umse!$B$11="6.4.",Umse!$B$11="6.5.",Umse!$B$11="6.6."),'Kr Mask'!K67,'B Mask'!K67&amp;'V Mask'!K67&amp;'VKr-AT Mask'!K67&amp;'L Mask'!K67&amp;'AVH Mask'!K67)</f>
        <v/>
      </c>
      <c r="L67" s="274" t="str">
        <f>IF(OR(Umse!$B$11="3.1.",Umse!$B$11="3.2.",Umse!$B$11="3.5.",Umse!$B$11="3.6.",Umse!$B$11="3.9.",Umse!$B$11="3.10.",Umse!$B$11="4.1.",Umse!$B$11="4.2.",Umse!$B$11="4.3.",Umse!$B$11="4.4.",Umse!$B$11="4.5.",Umse!$B$11="4.6.",Umse!$B$11="6.1.",Umse!$B$11="6.2.",Umse!$B$11="6.3.",Umse!$B$11="6.4.",Umse!$B$11="6.5.",Umse!$B$11="6.6."),'Kr Mask'!L67,'B Mask'!L67&amp;'V Mask'!L67&amp;'VKr-AT Mask'!L67&amp;'L Mask'!L67&amp;'AVH Mask'!L67)</f>
        <v/>
      </c>
      <c r="M67" s="233" t="str">
        <f>IF(OR(Umse!$C$24=0,Umse!$B$11=0),"",IF(OR(Umse!$B$11="3.1.",Umse!$B$11="3.2.",Umse!$B$11="3.5.",Umse!$B$11="3.6.",Umse!$B$11="3.9.",Umse!$B$11="3.10.",Umse!$B$11="3.9.",Umse!$B$11="3.10.",Kalk!$B$5=4,Kalk!$B$5=6),'Kr Mask'!M67,IF(Kalk!$B$5=8,'AVH Mask'!M67,IF(AND('B Mask'!M67=0,'V Mask'!M67=0,'VKr-AT Mask'!M67=0,'L Mask'!M67=0),"",IF(OR('B Mask'!M67="-",'V Mask'!M67="-",'VKr-AT Mask'!M67="-",'L Mask'!M67="-",'AVH Mask'!M67="-"),"-",'B Mask'!M67+'V Mask'!M67+'VKr-AT Mask'!M67+'L Mask'!M67+'AVH Mask'!M67)))))</f>
        <v/>
      </c>
      <c r="N67" s="233" t="str">
        <f>IF(OR(Umse!$C$24=0,Umse!$B$11=0),"",IF(OR(Umse!$B$11="3.1.",Umse!$B$11="3.2.",Umse!$B$11="3.5.",Umse!$B$11="3.6.",Umse!$B$11="3.9.",Umse!$B$11="3.10.",Umse!$B$11="3.9.",Umse!$B$11="3.10.",Kalk!$B$5=4,Kalk!$B$5=6),'Kr Mask'!N67,IF(Kalk!$B$5=8,'AVH Mask'!N67,IF(AND('B Mask'!N67=0,'V Mask'!N67=0,'VKr-AT Mask'!N67=0,'L Mask'!N67=0),"",IF(OR('B Mask'!N67="-",'V Mask'!N67="-",'VKr-AT Mask'!N67="-",'L Mask'!N67="-",'AVH Mask'!N67="-"),"-",'B Mask'!N67+'V Mask'!N67+'VKr-AT Mask'!N67+'L Mask'!N67+'AVH Mask'!N67)))))</f>
        <v/>
      </c>
      <c r="O67" s="233" t="str">
        <f>IF(OR(Umse!$C$24=0,Umse!$B$11=0),"",IF(OR(Umse!$B$11="3.1.",Umse!$B$11="3.2.",Umse!$B$11="3.5.",Umse!$B$11="3.6.",Umse!$B$11="3.9.",Umse!$B$11="3.10.",Umse!$B$11="3.9.",Umse!$B$11="3.10.",Kalk!$B$5=4,Kalk!$B$5=6),'Kr Mask'!O67,IF(Kalk!$B$5=8,'AVH Mask'!O67,IF(AND('B Mask'!O67=0,'V Mask'!O67=0,'VKr-AT Mask'!O67=0,'L Mask'!O67=0),"",IF(OR('B Mask'!O67="-",'V Mask'!O67="-",'VKr-AT Mask'!O67="-",'L Mask'!O67="-",'AVH Mask'!O67="-"),"-",'B Mask'!O67+'V Mask'!O67+'VKr-AT Mask'!O67+'L Mask'!O67+'AVH Mask'!O67)))))</f>
        <v/>
      </c>
      <c r="P67" s="233" t="str">
        <f>IF(OR(Umse!$C$24=0,Umse!$B$11=0),"",IF(OR(Umse!$B$11="3.1.",Umse!$B$11="3.2.",Umse!$B$11="3.5.",Umse!$B$11="3.6.",Umse!$B$11="3.9.",Umse!$B$11="3.10.",Umse!$B$11="3.9.",Umse!$B$11="3.10.",Kalk!$B$5=4,Kalk!$B$5=6),'Kr Mask'!P67,IF(Kalk!$B$5=8,'AVH Mask'!P67,IF(AND('B Mask'!P67=0,'V Mask'!P67=0,'VKr-AT Mask'!P67=0,'L Mask'!P67=0),"",IF(OR('B Mask'!P67="-",'V Mask'!P67="-",'VKr-AT Mask'!P67="-",'L Mask'!P67="-",'AVH Mask'!P67="-"),"-",'B Mask'!P67+'V Mask'!P67+'VKr-AT Mask'!P67+'L Mask'!P67+'AVH Mask'!P67)))))</f>
        <v/>
      </c>
      <c r="Q67" s="233" t="str">
        <f>IF(OR(Umse!$C$24=0,Umse!$B$11=0),"",IF(OR(Umse!$B$11="3.1.",Umse!$B$11="3.2.",Umse!$B$11="3.5.",Umse!$B$11="3.6.",Umse!$B$11="3.9.",Umse!$B$11="3.10.",Umse!$B$11="3.9.",Umse!$B$11="3.10.",Kalk!$B$5=4,Kalk!$B$5=6),'Kr Mask'!Q67,IF(Kalk!$B$5=8,'AVH Mask'!Q67,IF(AND('B Mask'!Q67=0,'V Mask'!Q67=0,'VKr-AT Mask'!Q67=0,'L Mask'!Q67=0),"",IF(OR('B Mask'!Q67="-",'V Mask'!Q67="-",'VKr-AT Mask'!Q67="-",'L Mask'!Q67="-",'AVH Mask'!Q67="-"),"-",'B Mask'!Q67+'V Mask'!Q67+'VKr-AT Mask'!Q67+'L Mask'!Q67+'AVH Mask'!Q67)))))</f>
        <v/>
      </c>
      <c r="R67" s="233" t="str">
        <f>IF(OR(Umse!$C$24=0,Umse!$B$11=0),"",IF(OR(Umse!$B$11="3.1.",Umse!$B$11="3.2.",Umse!$B$11="3.5.",Umse!$B$11="3.6.",Umse!$B$11="3.9.",Umse!$B$11="3.10.",Umse!$B$11="3.9.",Umse!$B$11="3.10.",Kalk!$B$5=4,Kalk!$B$5=6),'Kr Mask'!R67,IF(Kalk!$B$5=8,'AVH Mask'!R67,IF(AND('B Mask'!R67=0,'V Mask'!R67=0,'VKr-AT Mask'!R67=0,'L Mask'!R67=0),"",IF(OR('B Mask'!R67="-",'V Mask'!R67="-",'VKr-AT Mask'!R67="-",'L Mask'!R67="-",'AVH Mask'!R67="-"),"-",'B Mask'!R67+'V Mask'!R67+'VKr-AT Mask'!R67+'L Mask'!R67+'AVH Mask'!R67)))))</f>
        <v/>
      </c>
    </row>
    <row r="68" spans="2:18" ht="10.5" customHeight="1">
      <c r="J68" s="250"/>
    </row>
    <row r="69" spans="2:18" ht="10.5" customHeight="1">
      <c r="J69" s="250"/>
    </row>
    <row r="70" spans="2:18" ht="10.5" customHeight="1">
      <c r="J70" s="250"/>
    </row>
    <row r="71" spans="2:18" ht="10.5" customHeight="1">
      <c r="J71" s="250"/>
    </row>
    <row r="72" spans="2:18" ht="10.5" customHeight="1">
      <c r="J72" s="250"/>
    </row>
    <row r="73" spans="2:18" ht="10.5" customHeight="1">
      <c r="J73" s="250"/>
    </row>
    <row r="74" spans="2:18" ht="10.5" customHeight="1">
      <c r="J74" s="250"/>
    </row>
    <row r="75" spans="2:18" ht="10.5" customHeight="1">
      <c r="J75" s="250"/>
    </row>
    <row r="76" spans="2:18" ht="10.5" customHeight="1">
      <c r="J76" s="250"/>
    </row>
    <row r="77" spans="2:18" ht="10.5" customHeight="1">
      <c r="J77" s="250"/>
    </row>
    <row r="78" spans="2:18" ht="10.5" customHeight="1">
      <c r="J78" s="250"/>
    </row>
    <row r="79" spans="2:18" ht="10.5" customHeight="1">
      <c r="J79" s="250"/>
    </row>
    <row r="80" spans="2:18" ht="10.5" customHeight="1"/>
    <row r="81" spans="1:18" ht="10.5" customHeight="1"/>
    <row r="82" spans="1:18" ht="10.5" customHeight="1"/>
    <row r="83" spans="1:18" ht="10.5" customHeight="1"/>
    <row r="84" spans="1:18" ht="10.5" customHeight="1"/>
    <row r="85" spans="1:18" ht="10.5" customHeight="1"/>
    <row r="86" spans="1:18" ht="10.5" customHeight="1"/>
    <row r="87" spans="1:18" ht="10.5" customHeight="1"/>
    <row r="88" spans="1:18" ht="10.5" customHeight="1"/>
    <row r="89" spans="1:18" ht="10.5" customHeight="1">
      <c r="A89" s="258"/>
      <c r="B89" s="259"/>
      <c r="C89" s="259"/>
      <c r="D89" s="259"/>
      <c r="E89" s="260"/>
      <c r="F89" s="259"/>
      <c r="G89" s="259"/>
      <c r="H89" s="259"/>
      <c r="I89" s="261"/>
      <c r="J89" s="259"/>
      <c r="K89" s="261"/>
      <c r="L89" s="261"/>
      <c r="M89" s="259"/>
      <c r="N89" s="259"/>
      <c r="O89" s="259"/>
      <c r="P89" s="259"/>
      <c r="Q89" s="259"/>
      <c r="R89" s="259"/>
    </row>
    <row r="90" spans="1:18" ht="10.5" customHeight="1">
      <c r="A90" s="258"/>
      <c r="B90" s="259"/>
      <c r="C90" s="259"/>
      <c r="D90" s="259"/>
      <c r="E90" s="260"/>
      <c r="F90" s="259"/>
      <c r="G90" s="259"/>
      <c r="H90" s="259"/>
      <c r="I90" s="261"/>
      <c r="J90" s="259"/>
      <c r="K90" s="261"/>
      <c r="L90" s="261"/>
      <c r="M90" s="259"/>
      <c r="N90" s="259"/>
      <c r="O90" s="259"/>
      <c r="P90" s="259"/>
      <c r="Q90" s="259"/>
      <c r="R90" s="259"/>
    </row>
    <row r="91" spans="1:18" ht="10.5" customHeight="1">
      <c r="A91" s="258"/>
      <c r="B91" s="259"/>
      <c r="C91" s="259"/>
      <c r="D91" s="259"/>
      <c r="E91" s="260"/>
      <c r="F91" s="259"/>
      <c r="G91" s="259"/>
      <c r="H91" s="259"/>
      <c r="I91" s="259"/>
      <c r="J91" s="259"/>
      <c r="K91" s="261"/>
      <c r="L91" s="261"/>
      <c r="M91" s="259"/>
      <c r="N91" s="259"/>
      <c r="O91" s="259"/>
      <c r="P91" s="259"/>
      <c r="Q91" s="259"/>
      <c r="R91" s="259"/>
    </row>
    <row r="92" spans="1:18" ht="10.5" customHeight="1">
      <c r="A92" s="262"/>
      <c r="B92" s="251"/>
      <c r="C92" s="251"/>
      <c r="D92" s="263"/>
      <c r="E92" s="264"/>
      <c r="F92" s="251"/>
      <c r="G92" s="251"/>
      <c r="H92" s="251"/>
      <c r="I92" s="251"/>
      <c r="J92" s="251"/>
      <c r="K92" s="265"/>
      <c r="L92" s="265"/>
      <c r="M92" s="251"/>
      <c r="N92" s="251"/>
      <c r="O92" s="251"/>
      <c r="P92" s="251"/>
      <c r="Q92" s="251"/>
      <c r="R92" s="251"/>
    </row>
    <row r="93" spans="1:18" ht="10.5" customHeight="1">
      <c r="A93" s="262"/>
      <c r="B93" s="251"/>
      <c r="C93" s="251"/>
      <c r="D93" s="263"/>
      <c r="E93" s="264"/>
      <c r="F93" s="251"/>
      <c r="G93" s="251"/>
      <c r="H93" s="251"/>
      <c r="I93" s="251"/>
      <c r="J93" s="251"/>
      <c r="K93" s="265"/>
      <c r="L93" s="265"/>
      <c r="M93" s="251"/>
      <c r="N93" s="251"/>
      <c r="O93" s="251"/>
      <c r="P93" s="251"/>
      <c r="Q93" s="251"/>
      <c r="R93" s="251"/>
    </row>
    <row r="94" spans="1:18" ht="10.5" customHeight="1"/>
    <row r="95" spans="1:18" ht="10.5" customHeight="1"/>
    <row r="96" spans="1:18"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sheetData>
  <sheetProtection password="E852" sheet="1" objects="1" selectLockedCells="1" selectUnlockedCells="1"/>
  <mergeCells count="23">
    <mergeCell ref="Q10:R10"/>
    <mergeCell ref="F36:F45"/>
    <mergeCell ref="K45:M45"/>
    <mergeCell ref="E36:E45"/>
    <mergeCell ref="I36:I45"/>
    <mergeCell ref="H36:H45"/>
    <mergeCell ref="K36:R44"/>
    <mergeCell ref="B2:D2"/>
    <mergeCell ref="E2:R2"/>
    <mergeCell ref="F5:G5"/>
    <mergeCell ref="E10:G10"/>
    <mergeCell ref="Q45:R45"/>
    <mergeCell ref="B10:D10"/>
    <mergeCell ref="E35:G35"/>
    <mergeCell ref="N10:P10"/>
    <mergeCell ref="N45:P45"/>
    <mergeCell ref="K10:M10"/>
    <mergeCell ref="B35:D35"/>
    <mergeCell ref="D36:D45"/>
    <mergeCell ref="H35:I35"/>
    <mergeCell ref="H10:I10"/>
    <mergeCell ref="G36:G45"/>
    <mergeCell ref="B36:C45"/>
  </mergeCells>
  <phoneticPr fontId="0" type="noConversion"/>
  <conditionalFormatting sqref="E4">
    <cfRule type="containsText" priority="9" stopIfTrue="1" operator="containsText" text="Redaktionsvorbehalt (Stand 5.04.2011)">
      <formula>NOT(ISERROR(SEARCH("Redaktionsvorbehalt (Stand 5.04.2011)",E4)))</formula>
    </cfRule>
  </conditionalFormatting>
  <conditionalFormatting sqref="J15 J21 J50">
    <cfRule type="containsText" dxfId="26" priority="8" stopIfTrue="1" operator="containsText" text="&gt;">
      <formula>NOT(ISERROR(SEARCH("&gt;",J15)))</formula>
    </cfRule>
  </conditionalFormatting>
  <conditionalFormatting sqref="J11 J46">
    <cfRule type="containsText" dxfId="25" priority="7" stopIfTrue="1" operator="containsText" text="Hinweis">
      <formula>NOT(ISERROR(SEARCH("Hinweis",J11)))</formula>
    </cfRule>
  </conditionalFormatting>
  <conditionalFormatting sqref="J25">
    <cfRule type="containsText" dxfId="24" priority="5" stopIfTrue="1" operator="containsText" text="Angleichungsschritt">
      <formula>NOT(ISERROR(SEARCH("Angleichungsschritt",J25)))</formula>
    </cfRule>
  </conditionalFormatting>
  <conditionalFormatting sqref="K45:R67 B10:R32 B35:I67">
    <cfRule type="cellIs" dxfId="23" priority="1" stopIfTrue="1" operator="equal">
      <formula>""</formula>
    </cfRule>
    <cfRule type="cellIs" dxfId="22" priority="2" stopIfTrue="1" operator="equal">
      <formula>0</formula>
    </cfRule>
  </conditionalFormatting>
  <printOptions horizontalCentered="1" verticalCentered="1"/>
  <pageMargins left="0.39370078740157483" right="0.39370078740157483" top="0.11811023622047245" bottom="0.11811023622047245" header="0.51181102362204722" footer="0.31496062992125984"/>
  <pageSetup paperSize="9" orientation="landscape" r:id="rId1"/>
  <headerFooter scaleWithDoc="0">
    <oddFooter xml:space="preserve">&amp;C&amp;"Arial Narrow,Standard"&amp;6
dbb Entgelte
Version 16.3.
Stand 24.03.2021
&amp;D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1</xdr:col>
                    <xdr:colOff>19050</xdr:colOff>
                    <xdr:row>5</xdr:row>
                    <xdr:rowOff>0</xdr:rowOff>
                  </from>
                  <to>
                    <xdr:col>4</xdr:col>
                    <xdr:colOff>0</xdr:colOff>
                    <xdr:row>7</xdr:row>
                    <xdr:rowOff>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3</xdr:col>
                    <xdr:colOff>704850</xdr:colOff>
                    <xdr:row>5</xdr:row>
                    <xdr:rowOff>0</xdr:rowOff>
                  </from>
                  <to>
                    <xdr:col>7</xdr:col>
                    <xdr:colOff>123825</xdr:colOff>
                    <xdr:row>7</xdr:row>
                    <xdr:rowOff>0</xdr:rowOff>
                  </to>
                </anchor>
              </controlPr>
            </control>
          </mc:Choice>
        </mc:AlternateContent>
        <mc:AlternateContent xmlns:mc="http://schemas.openxmlformats.org/markup-compatibility/2006">
          <mc:Choice Requires="x14">
            <control shapeId="9219" r:id="rId6" name="Drop Down 3">
              <controlPr defaultSize="0" autoLine="0" autoPict="0">
                <anchor moveWithCells="1">
                  <from>
                    <xdr:col>7</xdr:col>
                    <xdr:colOff>114300</xdr:colOff>
                    <xdr:row>5</xdr:row>
                    <xdr:rowOff>0</xdr:rowOff>
                  </from>
                  <to>
                    <xdr:col>9</xdr:col>
                    <xdr:colOff>9525</xdr:colOff>
                    <xdr:row>7</xdr:row>
                    <xdr:rowOff>0</xdr:rowOff>
                  </to>
                </anchor>
              </controlPr>
            </control>
          </mc:Choice>
        </mc:AlternateContent>
      </controls>
    </mc:Choice>
  </mc:AlternateContent>
  <webPublishItems count="1">
    <webPublishItem id="4621" divId="Stundenentgelte TVöD I TV-L 16_01_2007_4621" sourceType="sheet" destinationFile="C:\Dokumente und Einstellungen\WinterAn\Desktop\Seite.htm"/>
  </webPublishItem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CC3399"/>
    <pageSetUpPr autoPageBreaks="0"/>
  </sheetPr>
  <dimension ref="B1:L42"/>
  <sheetViews>
    <sheetView showGridLines="0" showRowColHeaders="0" zoomScaleNormal="100" zoomScaleSheetLayoutView="100" workbookViewId="0">
      <selection activeCell="B1" sqref="B1:L1"/>
    </sheetView>
  </sheetViews>
  <sheetFormatPr baseColWidth="10" defaultRowHeight="15" customHeight="1"/>
  <cols>
    <col min="1" max="1" width="2.85546875" style="108" customWidth="1"/>
    <col min="2" max="2" width="12.85546875" style="108" customWidth="1"/>
    <col min="3" max="3" width="1.42578125" style="108" customWidth="1"/>
    <col min="4" max="4" width="12.85546875" style="108" customWidth="1"/>
    <col min="5" max="5" width="1.42578125" style="108" customWidth="1"/>
    <col min="6" max="6" width="12.85546875" style="108" customWidth="1"/>
    <col min="7" max="7" width="1.42578125" style="108" customWidth="1"/>
    <col min="8" max="8" width="12.85546875" style="108" customWidth="1"/>
    <col min="9" max="9" width="1.42578125" style="108" customWidth="1"/>
    <col min="10" max="10" width="12.85546875" style="108" customWidth="1"/>
    <col min="11" max="11" width="1.42578125" style="108" customWidth="1"/>
    <col min="12" max="12" width="12.85546875" style="108" customWidth="1"/>
    <col min="13" max="16384" width="11.42578125" style="108"/>
  </cols>
  <sheetData>
    <row r="1" spans="2:12" ht="15" customHeight="1">
      <c r="B1" s="648" t="s">
        <v>664</v>
      </c>
      <c r="C1" s="648"/>
      <c r="D1" s="648"/>
      <c r="E1" s="648"/>
      <c r="F1" s="648"/>
      <c r="G1" s="648"/>
      <c r="H1" s="648"/>
      <c r="I1" s="648"/>
      <c r="J1" s="648"/>
      <c r="K1" s="648"/>
      <c r="L1" s="649"/>
    </row>
    <row r="3" spans="2:12" ht="15" customHeight="1">
      <c r="B3" s="650" t="s">
        <v>617</v>
      </c>
      <c r="C3" s="650"/>
      <c r="D3" s="651"/>
      <c r="E3" s="651"/>
      <c r="F3" s="651"/>
      <c r="G3" s="651"/>
      <c r="H3" s="651"/>
      <c r="I3" s="651"/>
      <c r="J3" s="651"/>
      <c r="K3" s="651"/>
      <c r="L3" s="651"/>
    </row>
    <row r="4" spans="2:12" ht="15" customHeight="1">
      <c r="B4" s="650" t="s">
        <v>464</v>
      </c>
      <c r="C4" s="650"/>
      <c r="D4" s="651"/>
      <c r="E4" s="651"/>
      <c r="F4" s="651"/>
      <c r="G4" s="651"/>
      <c r="H4" s="651"/>
      <c r="I4" s="651"/>
      <c r="J4" s="651"/>
      <c r="K4" s="651"/>
      <c r="L4" s="651"/>
    </row>
    <row r="5" spans="2:12" ht="15" customHeight="1">
      <c r="B5" s="241" t="s">
        <v>244</v>
      </c>
      <c r="C5" s="241"/>
      <c r="D5" s="240"/>
      <c r="E5" s="240"/>
      <c r="F5" s="246">
        <v>43891</v>
      </c>
      <c r="G5" s="243" t="s">
        <v>243</v>
      </c>
      <c r="H5" s="246">
        <v>44287</v>
      </c>
      <c r="I5" s="243" t="s">
        <v>243</v>
      </c>
      <c r="J5" s="246">
        <v>44652</v>
      </c>
      <c r="K5" s="243"/>
      <c r="L5" s="242"/>
    </row>
    <row r="6" spans="2:12" ht="15" customHeight="1">
      <c r="B6" s="241" t="s">
        <v>245</v>
      </c>
      <c r="C6" s="241"/>
      <c r="D6" s="241"/>
      <c r="E6" s="241"/>
      <c r="F6" s="246">
        <v>43891</v>
      </c>
      <c r="G6" s="243" t="s">
        <v>243</v>
      </c>
      <c r="H6" s="246">
        <v>44287</v>
      </c>
      <c r="I6" s="243" t="s">
        <v>243</v>
      </c>
      <c r="J6" s="246">
        <v>44652</v>
      </c>
      <c r="K6" s="241"/>
      <c r="L6" s="242"/>
    </row>
    <row r="7" spans="2:12" ht="15" customHeight="1">
      <c r="B7" s="241" t="s">
        <v>440</v>
      </c>
      <c r="C7" s="241"/>
      <c r="D7" s="241"/>
      <c r="E7" s="241"/>
      <c r="F7" s="246">
        <v>43891</v>
      </c>
      <c r="G7" s="243" t="s">
        <v>243</v>
      </c>
      <c r="H7" s="246">
        <v>44287</v>
      </c>
      <c r="I7" s="243" t="s">
        <v>243</v>
      </c>
      <c r="J7" s="246">
        <v>44652</v>
      </c>
      <c r="K7" s="241"/>
      <c r="L7" s="241"/>
    </row>
    <row r="8" spans="2:12" ht="15" customHeight="1">
      <c r="B8" s="241" t="s">
        <v>246</v>
      </c>
      <c r="C8" s="241"/>
      <c r="D8" s="241"/>
      <c r="E8" s="241"/>
      <c r="F8" s="246">
        <v>43466</v>
      </c>
      <c r="G8" s="243" t="s">
        <v>243</v>
      </c>
      <c r="H8" s="246">
        <v>43831</v>
      </c>
      <c r="I8" s="243" t="s">
        <v>243</v>
      </c>
      <c r="J8" s="246">
        <v>44197</v>
      </c>
      <c r="K8" s="241"/>
      <c r="L8" s="241"/>
    </row>
    <row r="9" spans="2:12" ht="15" customHeight="1">
      <c r="B9" s="241" t="s">
        <v>569</v>
      </c>
      <c r="C9" s="241"/>
      <c r="D9" s="241"/>
      <c r="E9" s="241"/>
      <c r="F9" s="246">
        <v>43466</v>
      </c>
      <c r="G9" s="243" t="s">
        <v>243</v>
      </c>
      <c r="H9" s="246">
        <v>43831</v>
      </c>
      <c r="I9" s="243" t="s">
        <v>243</v>
      </c>
      <c r="J9" s="246">
        <v>44197</v>
      </c>
      <c r="K9" s="243"/>
      <c r="L9" s="246"/>
    </row>
    <row r="10" spans="2:12" ht="15" customHeight="1">
      <c r="B10" s="241" t="s">
        <v>247</v>
      </c>
      <c r="C10" s="241"/>
      <c r="D10" s="241"/>
      <c r="E10" s="241"/>
      <c r="F10" s="246">
        <v>43525</v>
      </c>
      <c r="G10" s="243" t="s">
        <v>243</v>
      </c>
      <c r="H10" s="246">
        <v>43862</v>
      </c>
      <c r="I10" s="243" t="s">
        <v>243</v>
      </c>
      <c r="J10" s="246">
        <v>44197</v>
      </c>
      <c r="K10" s="243"/>
      <c r="L10" s="242"/>
    </row>
    <row r="11" spans="2:12" ht="15" customHeight="1">
      <c r="B11" s="241"/>
      <c r="C11" s="241"/>
      <c r="D11" s="241"/>
      <c r="E11" s="241"/>
      <c r="F11" s="242"/>
      <c r="G11" s="243"/>
      <c r="H11" s="242"/>
      <c r="I11" s="243"/>
      <c r="J11" s="242"/>
      <c r="K11" s="243"/>
      <c r="L11" s="242"/>
    </row>
    <row r="12" spans="2:12" ht="15" customHeight="1">
      <c r="B12" s="660" t="s">
        <v>242</v>
      </c>
      <c r="C12" s="245"/>
      <c r="D12" s="652" t="s">
        <v>665</v>
      </c>
      <c r="E12" s="652"/>
      <c r="F12" s="652"/>
      <c r="G12" s="652"/>
      <c r="H12" s="652"/>
      <c r="I12" s="652"/>
      <c r="J12" s="652"/>
      <c r="K12" s="652"/>
      <c r="L12" s="653"/>
    </row>
    <row r="13" spans="2:12" ht="15" customHeight="1">
      <c r="B13" s="660"/>
      <c r="C13" s="245"/>
      <c r="D13" s="652"/>
      <c r="E13" s="652"/>
      <c r="F13" s="652"/>
      <c r="G13" s="652"/>
      <c r="H13" s="652"/>
      <c r="I13" s="652"/>
      <c r="J13" s="652"/>
      <c r="K13" s="652"/>
      <c r="L13" s="653"/>
    </row>
    <row r="14" spans="2:12" ht="15" customHeight="1">
      <c r="B14" s="660"/>
      <c r="C14" s="245"/>
      <c r="D14" s="652"/>
      <c r="E14" s="652"/>
      <c r="F14" s="652"/>
      <c r="G14" s="652"/>
      <c r="H14" s="652"/>
      <c r="I14" s="652"/>
      <c r="J14" s="652"/>
      <c r="K14" s="652"/>
      <c r="L14" s="653"/>
    </row>
    <row r="15" spans="2:12" ht="15" customHeight="1">
      <c r="B15" s="660" t="s">
        <v>436</v>
      </c>
      <c r="C15" s="245"/>
      <c r="D15" s="657" t="s">
        <v>666</v>
      </c>
      <c r="E15" s="657"/>
      <c r="F15" s="657"/>
      <c r="G15" s="657"/>
      <c r="H15" s="657"/>
      <c r="I15" s="657"/>
      <c r="J15" s="657"/>
      <c r="K15" s="657"/>
      <c r="L15" s="658"/>
    </row>
    <row r="16" spans="2:12" ht="15" customHeight="1">
      <c r="B16" s="660"/>
      <c r="C16" s="245"/>
      <c r="D16" s="659"/>
      <c r="E16" s="659"/>
      <c r="F16" s="659"/>
      <c r="G16" s="659"/>
      <c r="H16" s="659"/>
      <c r="I16" s="659"/>
      <c r="J16" s="659"/>
      <c r="K16" s="659"/>
      <c r="L16" s="659"/>
    </row>
    <row r="17" spans="2:12" ht="15" customHeight="1">
      <c r="B17" s="660"/>
      <c r="C17" s="245"/>
      <c r="D17" s="659"/>
      <c r="E17" s="659"/>
      <c r="F17" s="659"/>
      <c r="G17" s="659"/>
      <c r="H17" s="659"/>
      <c r="I17" s="659"/>
      <c r="J17" s="659"/>
      <c r="K17" s="659"/>
      <c r="L17" s="659"/>
    </row>
    <row r="18" spans="2:12" ht="15" customHeight="1">
      <c r="B18" s="660" t="s">
        <v>19</v>
      </c>
      <c r="C18" s="245"/>
      <c r="D18" s="652" t="s">
        <v>570</v>
      </c>
      <c r="E18" s="652"/>
      <c r="F18" s="652"/>
      <c r="G18" s="652"/>
      <c r="H18" s="652"/>
      <c r="I18" s="652"/>
      <c r="J18" s="652"/>
      <c r="K18" s="652"/>
      <c r="L18" s="653"/>
    </row>
    <row r="19" spans="2:12" ht="15" customHeight="1">
      <c r="B19" s="660"/>
      <c r="C19" s="245"/>
      <c r="D19" s="654"/>
      <c r="E19" s="654"/>
      <c r="F19" s="654"/>
      <c r="G19" s="654"/>
      <c r="H19" s="654"/>
      <c r="I19" s="654"/>
      <c r="J19" s="654"/>
      <c r="K19" s="654"/>
      <c r="L19" s="654"/>
    </row>
    <row r="20" spans="2:12" ht="15" customHeight="1">
      <c r="B20" s="660"/>
      <c r="C20" s="245"/>
      <c r="D20" s="654"/>
      <c r="E20" s="654"/>
      <c r="F20" s="654"/>
      <c r="G20" s="654"/>
      <c r="H20" s="654"/>
      <c r="I20" s="654"/>
      <c r="J20" s="654"/>
      <c r="K20" s="654"/>
      <c r="L20" s="654"/>
    </row>
    <row r="21" spans="2:12" ht="15" customHeight="1">
      <c r="B21" s="660" t="s">
        <v>541</v>
      </c>
      <c r="C21" s="245"/>
      <c r="D21" s="652" t="s">
        <v>572</v>
      </c>
      <c r="E21" s="652"/>
      <c r="F21" s="652"/>
      <c r="G21" s="652"/>
      <c r="H21" s="652"/>
      <c r="I21" s="652"/>
      <c r="J21" s="652"/>
      <c r="K21" s="652"/>
      <c r="L21" s="653"/>
    </row>
    <row r="22" spans="2:12" ht="15" customHeight="1">
      <c r="B22" s="660"/>
      <c r="C22" s="245"/>
      <c r="D22" s="654"/>
      <c r="E22" s="654"/>
      <c r="F22" s="654"/>
      <c r="G22" s="654"/>
      <c r="H22" s="654"/>
      <c r="I22" s="654"/>
      <c r="J22" s="654"/>
      <c r="K22" s="654"/>
      <c r="L22" s="654"/>
    </row>
    <row r="23" spans="2:12" ht="15" customHeight="1">
      <c r="B23" s="660"/>
      <c r="C23" s="245"/>
      <c r="D23" s="654"/>
      <c r="E23" s="654"/>
      <c r="F23" s="654"/>
      <c r="G23" s="654"/>
      <c r="H23" s="654"/>
      <c r="I23" s="654"/>
      <c r="J23" s="654"/>
      <c r="K23" s="654"/>
      <c r="L23" s="654"/>
    </row>
    <row r="24" spans="2:12" ht="15" customHeight="1">
      <c r="B24" s="660" t="s">
        <v>232</v>
      </c>
      <c r="C24" s="245"/>
      <c r="D24" s="657" t="s">
        <v>573</v>
      </c>
      <c r="E24" s="657"/>
      <c r="F24" s="657"/>
      <c r="G24" s="657"/>
      <c r="H24" s="657"/>
      <c r="I24" s="657"/>
      <c r="J24" s="657"/>
      <c r="K24" s="657"/>
      <c r="L24" s="658"/>
    </row>
    <row r="25" spans="2:12" ht="15" customHeight="1">
      <c r="B25" s="660"/>
      <c r="C25" s="245"/>
      <c r="D25" s="659"/>
      <c r="E25" s="659"/>
      <c r="F25" s="659"/>
      <c r="G25" s="659"/>
      <c r="H25" s="659"/>
      <c r="I25" s="659"/>
      <c r="J25" s="659"/>
      <c r="K25" s="659"/>
      <c r="L25" s="659"/>
    </row>
    <row r="26" spans="2:12" ht="15" customHeight="1">
      <c r="B26" s="660"/>
      <c r="C26" s="245"/>
      <c r="D26" s="659"/>
      <c r="E26" s="659"/>
      <c r="F26" s="659"/>
      <c r="G26" s="659"/>
      <c r="H26" s="659"/>
      <c r="I26" s="659"/>
      <c r="J26" s="659"/>
      <c r="K26" s="659"/>
      <c r="L26" s="659"/>
    </row>
    <row r="27" spans="2:12" ht="15" customHeight="1">
      <c r="B27" s="655" t="s">
        <v>660</v>
      </c>
      <c r="C27" s="655"/>
      <c r="D27" s="656"/>
      <c r="E27" s="656"/>
      <c r="F27" s="656"/>
      <c r="G27" s="656"/>
      <c r="H27" s="656"/>
      <c r="I27" s="656"/>
      <c r="J27" s="656"/>
      <c r="K27" s="656"/>
      <c r="L27" s="656"/>
    </row>
    <row r="28" spans="2:12" ht="15" customHeight="1">
      <c r="B28" s="656"/>
      <c r="C28" s="656"/>
      <c r="D28" s="656"/>
      <c r="E28" s="656"/>
      <c r="F28" s="656"/>
      <c r="G28" s="656"/>
      <c r="H28" s="656"/>
      <c r="I28" s="656"/>
      <c r="J28" s="656"/>
      <c r="K28" s="656"/>
      <c r="L28" s="656"/>
    </row>
    <row r="29" spans="2:12" ht="15" customHeight="1">
      <c r="B29" s="656"/>
      <c r="C29" s="656"/>
      <c r="D29" s="656"/>
      <c r="E29" s="656"/>
      <c r="F29" s="656"/>
      <c r="G29" s="656"/>
      <c r="H29" s="656"/>
      <c r="I29" s="656"/>
      <c r="J29" s="656"/>
      <c r="K29" s="656"/>
      <c r="L29" s="656"/>
    </row>
    <row r="30" spans="2:12" ht="15" customHeight="1">
      <c r="B30" s="656"/>
      <c r="C30" s="656"/>
      <c r="D30" s="656"/>
      <c r="E30" s="656"/>
      <c r="F30" s="656"/>
      <c r="G30" s="656"/>
      <c r="H30" s="656"/>
      <c r="I30" s="656"/>
      <c r="J30" s="656"/>
      <c r="K30" s="656"/>
      <c r="L30" s="656"/>
    </row>
    <row r="31" spans="2:12" ht="15" customHeight="1">
      <c r="B31" s="656"/>
      <c r="C31" s="656"/>
      <c r="D31" s="656"/>
      <c r="E31" s="656"/>
      <c r="F31" s="656"/>
      <c r="G31" s="656"/>
      <c r="H31" s="656"/>
      <c r="I31" s="656"/>
      <c r="J31" s="656"/>
      <c r="K31" s="656"/>
      <c r="L31" s="656"/>
    </row>
    <row r="32" spans="2:12" ht="15" customHeight="1">
      <c r="B32" s="656"/>
      <c r="C32" s="656"/>
      <c r="D32" s="656"/>
      <c r="E32" s="656"/>
      <c r="F32" s="656"/>
      <c r="G32" s="656"/>
      <c r="H32" s="656"/>
      <c r="I32" s="656"/>
      <c r="J32" s="656"/>
      <c r="K32" s="656"/>
      <c r="L32" s="656"/>
    </row>
    <row r="33" spans="2:12" ht="15" customHeight="1">
      <c r="B33" s="656"/>
      <c r="C33" s="656"/>
      <c r="D33" s="656"/>
      <c r="E33" s="656"/>
      <c r="F33" s="656"/>
      <c r="G33" s="656"/>
      <c r="H33" s="656"/>
      <c r="I33" s="656"/>
      <c r="J33" s="656"/>
      <c r="K33" s="656"/>
      <c r="L33" s="656"/>
    </row>
    <row r="34" spans="2:12" ht="15" customHeight="1">
      <c r="B34" s="656"/>
      <c r="C34" s="656"/>
      <c r="D34" s="656"/>
      <c r="E34" s="656"/>
      <c r="F34" s="656"/>
      <c r="G34" s="656"/>
      <c r="H34" s="656"/>
      <c r="I34" s="656"/>
      <c r="J34" s="656"/>
      <c r="K34" s="656"/>
      <c r="L34" s="656"/>
    </row>
    <row r="35" spans="2:12" ht="15" customHeight="1">
      <c r="B35" s="656"/>
      <c r="C35" s="656"/>
      <c r="D35" s="656"/>
      <c r="E35" s="656"/>
      <c r="F35" s="656"/>
      <c r="G35" s="656"/>
      <c r="H35" s="656"/>
      <c r="I35" s="656"/>
      <c r="J35" s="656"/>
      <c r="K35" s="656"/>
      <c r="L35" s="656"/>
    </row>
    <row r="36" spans="2:12" ht="15" customHeight="1">
      <c r="B36" s="656"/>
      <c r="C36" s="656"/>
      <c r="D36" s="656"/>
      <c r="E36" s="656"/>
      <c r="F36" s="656"/>
      <c r="G36" s="656"/>
      <c r="H36" s="656"/>
      <c r="I36" s="656"/>
      <c r="J36" s="656"/>
      <c r="K36" s="656"/>
      <c r="L36" s="656"/>
    </row>
    <row r="37" spans="2:12" ht="15" customHeight="1">
      <c r="B37" s="656"/>
      <c r="C37" s="656"/>
      <c r="D37" s="656"/>
      <c r="E37" s="656"/>
      <c r="F37" s="656"/>
      <c r="G37" s="656"/>
      <c r="H37" s="656"/>
      <c r="I37" s="656"/>
      <c r="J37" s="656"/>
      <c r="K37" s="656"/>
      <c r="L37" s="656"/>
    </row>
    <row r="38" spans="2:12" ht="15" customHeight="1">
      <c r="B38" s="656"/>
      <c r="C38" s="656"/>
      <c r="D38" s="656"/>
      <c r="E38" s="656"/>
      <c r="F38" s="656"/>
      <c r="G38" s="656"/>
      <c r="H38" s="656"/>
      <c r="I38" s="656"/>
      <c r="J38" s="656"/>
      <c r="K38" s="656"/>
      <c r="L38" s="656"/>
    </row>
    <row r="39" spans="2:12" ht="15" customHeight="1">
      <c r="B39" s="656"/>
      <c r="C39" s="656"/>
      <c r="D39" s="656"/>
      <c r="E39" s="656"/>
      <c r="F39" s="656"/>
      <c r="G39" s="656"/>
      <c r="H39" s="656"/>
      <c r="I39" s="656"/>
      <c r="J39" s="656"/>
      <c r="K39" s="656"/>
      <c r="L39" s="656"/>
    </row>
    <row r="40" spans="2:12" ht="15" customHeight="1">
      <c r="B40" s="244"/>
      <c r="C40" s="244"/>
      <c r="D40" s="244"/>
      <c r="E40" s="244"/>
      <c r="F40" s="244"/>
      <c r="G40" s="244"/>
      <c r="H40" s="244"/>
      <c r="I40" s="244"/>
      <c r="J40" s="244"/>
      <c r="K40" s="244"/>
      <c r="L40" s="244"/>
    </row>
    <row r="42" spans="2:12" ht="15" customHeight="1">
      <c r="B42" s="106"/>
      <c r="C42" s="106"/>
    </row>
  </sheetData>
  <sheetProtection password="E532" sheet="1" objects="1" scenarios="1" selectLockedCells="1" selectUnlockedCells="1"/>
  <mergeCells count="14">
    <mergeCell ref="B27:L39"/>
    <mergeCell ref="D18:L20"/>
    <mergeCell ref="D24:L26"/>
    <mergeCell ref="B12:B14"/>
    <mergeCell ref="B18:B20"/>
    <mergeCell ref="B15:B17"/>
    <mergeCell ref="D15:L17"/>
    <mergeCell ref="B24:B26"/>
    <mergeCell ref="B21:B23"/>
    <mergeCell ref="B1:L1"/>
    <mergeCell ref="B3:L3"/>
    <mergeCell ref="B4:L4"/>
    <mergeCell ref="D21:L23"/>
    <mergeCell ref="D12:L14"/>
  </mergeCells>
  <pageMargins left="0.78740157499999996" right="0.78740157499999996" top="0.984251969" bottom="0.984251969"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CC3399"/>
    <pageSetUpPr autoPageBreaks="0"/>
  </sheetPr>
  <dimension ref="A1:L47"/>
  <sheetViews>
    <sheetView showGridLines="0" showRowColHeaders="0" zoomScaleNormal="100" zoomScaleSheetLayoutView="100" workbookViewId="0">
      <selection activeCell="I8" sqref="I8"/>
    </sheetView>
  </sheetViews>
  <sheetFormatPr baseColWidth="10" defaultRowHeight="15"/>
  <cols>
    <col min="1" max="2" width="1.42578125" style="203" customWidth="1"/>
    <col min="3" max="10" width="11.42578125" style="203" customWidth="1"/>
    <col min="11" max="11" width="1.42578125" style="203" customWidth="1"/>
    <col min="12" max="16384" width="11.42578125" style="203"/>
  </cols>
  <sheetData>
    <row r="1" spans="2:10">
      <c r="C1" s="203" t="s">
        <v>103</v>
      </c>
    </row>
    <row r="7" spans="2:10">
      <c r="B7" s="204"/>
    </row>
    <row r="8" spans="2:10">
      <c r="C8" s="203" t="s">
        <v>225</v>
      </c>
      <c r="H8" s="103" t="s">
        <v>228</v>
      </c>
      <c r="I8" s="104" t="s">
        <v>513</v>
      </c>
    </row>
    <row r="9" spans="2:10">
      <c r="C9" s="203" t="s">
        <v>226</v>
      </c>
      <c r="H9" s="103" t="s">
        <v>229</v>
      </c>
      <c r="I9" s="109"/>
      <c r="J9" s="205"/>
    </row>
    <row r="10" spans="2:10">
      <c r="C10" s="203" t="s">
        <v>335</v>
      </c>
    </row>
    <row r="12" spans="2:10">
      <c r="C12" s="203" t="s">
        <v>104</v>
      </c>
    </row>
    <row r="15" spans="2:10">
      <c r="I15" s="103"/>
    </row>
    <row r="17" spans="1:12">
      <c r="B17" s="238"/>
      <c r="K17" s="238"/>
    </row>
    <row r="18" spans="1:12">
      <c r="A18" s="212"/>
      <c r="K18" s="213"/>
      <c r="L18" s="105"/>
    </row>
    <row r="19" spans="1:12">
      <c r="B19" s="196"/>
      <c r="C19" s="196"/>
      <c r="D19" s="196"/>
      <c r="E19" s="196"/>
      <c r="F19" s="196"/>
      <c r="G19" s="196"/>
      <c r="H19" s="196"/>
      <c r="I19" s="196"/>
      <c r="J19" s="196"/>
      <c r="K19" s="206"/>
      <c r="L19" s="206"/>
    </row>
    <row r="20" spans="1:12">
      <c r="B20" s="196"/>
      <c r="C20" s="196"/>
      <c r="D20" s="214"/>
      <c r="E20" s="214"/>
      <c r="F20" s="214"/>
      <c r="G20" s="193"/>
      <c r="H20" s="194"/>
      <c r="I20" s="196"/>
      <c r="J20" s="196"/>
      <c r="K20" s="206"/>
      <c r="L20" s="206"/>
    </row>
    <row r="21" spans="1:12">
      <c r="B21" s="196"/>
      <c r="C21" s="196"/>
      <c r="D21" s="214"/>
      <c r="E21" s="214"/>
      <c r="F21" s="214"/>
      <c r="G21" s="196"/>
      <c r="H21" s="196"/>
      <c r="I21" s="196"/>
      <c r="J21" s="196"/>
      <c r="K21" s="206"/>
      <c r="L21" s="206"/>
    </row>
    <row r="22" spans="1:12">
      <c r="B22" s="196"/>
      <c r="C22" s="196"/>
      <c r="D22" s="196"/>
      <c r="E22" s="196"/>
      <c r="F22" s="196"/>
      <c r="G22" s="191"/>
      <c r="H22" s="195"/>
      <c r="I22" s="196"/>
      <c r="J22" s="196"/>
      <c r="K22" s="206"/>
      <c r="L22" s="206"/>
    </row>
    <row r="23" spans="1:12">
      <c r="B23" s="196"/>
      <c r="C23" s="196"/>
      <c r="D23" s="196"/>
      <c r="E23" s="196"/>
      <c r="F23" s="196"/>
      <c r="G23" s="191"/>
      <c r="H23" s="197"/>
      <c r="I23" s="198"/>
      <c r="J23" s="198"/>
      <c r="K23" s="206"/>
      <c r="L23" s="206"/>
    </row>
    <row r="24" spans="1:12">
      <c r="B24" s="196"/>
      <c r="C24" s="196"/>
      <c r="D24" s="196"/>
      <c r="E24" s="196"/>
      <c r="F24" s="196"/>
      <c r="G24" s="191"/>
      <c r="H24" s="197"/>
      <c r="I24" s="198"/>
      <c r="J24" s="198"/>
      <c r="K24" s="206"/>
      <c r="L24" s="206"/>
    </row>
    <row r="25" spans="1:12">
      <c r="B25" s="196"/>
      <c r="C25" s="196"/>
      <c r="D25" s="196"/>
      <c r="E25" s="196"/>
      <c r="F25" s="196"/>
      <c r="G25" s="191"/>
      <c r="H25" s="207"/>
      <c r="I25" s="198"/>
      <c r="J25" s="198"/>
      <c r="K25" s="206"/>
      <c r="L25" s="206"/>
    </row>
    <row r="26" spans="1:12">
      <c r="B26" s="196"/>
      <c r="C26" s="207"/>
      <c r="D26" s="196"/>
      <c r="E26" s="196"/>
      <c r="F26" s="196"/>
      <c r="G26" s="192"/>
      <c r="H26" s="198"/>
      <c r="I26" s="198"/>
      <c r="J26" s="198"/>
      <c r="K26" s="206"/>
      <c r="L26" s="206"/>
    </row>
    <row r="27" spans="1:12">
      <c r="B27" s="196"/>
      <c r="C27" s="207"/>
      <c r="D27" s="196"/>
      <c r="E27" s="196"/>
      <c r="F27" s="196"/>
      <c r="G27" s="191"/>
      <c r="H27" s="207"/>
      <c r="I27" s="198"/>
      <c r="J27" s="198"/>
      <c r="K27" s="206"/>
      <c r="L27" s="206"/>
    </row>
    <row r="28" spans="1:12">
      <c r="B28" s="196"/>
      <c r="C28" s="207"/>
      <c r="D28" s="196"/>
      <c r="E28" s="196"/>
      <c r="F28" s="196"/>
      <c r="G28" s="192"/>
      <c r="H28" s="198"/>
      <c r="I28" s="198"/>
      <c r="J28" s="198"/>
      <c r="K28" s="206"/>
      <c r="L28" s="206"/>
    </row>
    <row r="29" spans="1:12">
      <c r="B29" s="196"/>
      <c r="C29" s="207"/>
      <c r="D29" s="196"/>
      <c r="E29" s="196"/>
      <c r="F29" s="196"/>
      <c r="G29" s="191"/>
      <c r="H29" s="207"/>
      <c r="I29" s="198"/>
      <c r="J29" s="198"/>
      <c r="K29" s="206"/>
      <c r="L29" s="206"/>
    </row>
    <row r="30" spans="1:12">
      <c r="B30" s="196"/>
      <c r="C30" s="207"/>
      <c r="D30" s="196"/>
      <c r="E30" s="196"/>
      <c r="F30" s="196"/>
      <c r="G30" s="192"/>
      <c r="H30" s="198"/>
      <c r="I30" s="198"/>
      <c r="J30" s="198"/>
      <c r="K30" s="206"/>
      <c r="L30" s="206"/>
    </row>
    <row r="31" spans="1:12">
      <c r="B31" s="196"/>
      <c r="C31" s="207"/>
      <c r="D31" s="196"/>
      <c r="E31" s="196"/>
      <c r="F31" s="196"/>
      <c r="G31" s="196"/>
      <c r="H31" s="196"/>
      <c r="I31" s="196"/>
      <c r="J31" s="196"/>
      <c r="K31" s="206"/>
      <c r="L31" s="206"/>
    </row>
    <row r="32" spans="1:12">
      <c r="B32" s="196"/>
      <c r="C32" s="207"/>
      <c r="D32" s="196"/>
      <c r="E32" s="196"/>
      <c r="F32" s="196"/>
      <c r="G32" s="196"/>
      <c r="H32" s="196"/>
      <c r="I32" s="196"/>
      <c r="J32" s="196"/>
      <c r="K32" s="206"/>
      <c r="L32" s="206"/>
    </row>
    <row r="33" spans="1:12">
      <c r="B33" s="196"/>
      <c r="C33" s="207"/>
      <c r="D33" s="196"/>
      <c r="E33" s="196"/>
      <c r="F33" s="196"/>
      <c r="G33" s="196"/>
      <c r="H33" s="196"/>
      <c r="I33" s="196"/>
      <c r="J33" s="196"/>
      <c r="K33" s="206"/>
      <c r="L33" s="206"/>
    </row>
    <row r="34" spans="1:12">
      <c r="B34" s="196"/>
      <c r="C34" s="207"/>
      <c r="D34" s="196"/>
      <c r="E34" s="196"/>
      <c r="F34" s="196"/>
      <c r="G34" s="196"/>
      <c r="H34" s="207"/>
      <c r="I34" s="196"/>
      <c r="J34" s="196"/>
      <c r="K34" s="206"/>
      <c r="L34" s="206"/>
    </row>
    <row r="35" spans="1:12">
      <c r="B35" s="196"/>
      <c r="C35" s="207"/>
      <c r="D35" s="196"/>
      <c r="E35" s="196"/>
      <c r="F35" s="196"/>
      <c r="G35" s="196"/>
      <c r="H35" s="208"/>
      <c r="I35" s="208"/>
      <c r="J35" s="208"/>
      <c r="K35" s="206"/>
      <c r="L35" s="206"/>
    </row>
    <row r="36" spans="1:12">
      <c r="L36" s="206"/>
    </row>
    <row r="37" spans="1:12">
      <c r="B37" s="238"/>
      <c r="C37" s="196"/>
      <c r="D37" s="196"/>
      <c r="E37" s="196"/>
      <c r="F37" s="196"/>
      <c r="G37" s="196"/>
      <c r="H37" s="208"/>
      <c r="I37" s="208"/>
      <c r="J37" s="208"/>
      <c r="K37" s="238"/>
      <c r="L37" s="206"/>
    </row>
    <row r="38" spans="1:12">
      <c r="A38" s="239"/>
      <c r="H38" s="209"/>
      <c r="I38" s="209"/>
      <c r="J38" s="209"/>
      <c r="K38" s="121"/>
      <c r="L38" s="209"/>
    </row>
    <row r="39" spans="1:12" ht="15" customHeight="1">
      <c r="C39" s="106"/>
      <c r="D39" s="107"/>
      <c r="E39" s="107"/>
      <c r="G39" s="110"/>
      <c r="H39" s="210"/>
    </row>
    <row r="40" spans="1:12">
      <c r="H40" s="209"/>
    </row>
    <row r="41" spans="1:12">
      <c r="C41" s="211"/>
      <c r="H41" s="209"/>
    </row>
    <row r="42" spans="1:12">
      <c r="F42" s="110"/>
      <c r="H42" s="209"/>
      <c r="I42" s="209"/>
      <c r="J42" s="209"/>
      <c r="K42" s="209"/>
      <c r="L42" s="209"/>
    </row>
    <row r="47" spans="1:12">
      <c r="H47" s="206"/>
    </row>
  </sheetData>
  <sheetProtection password="CE0C" sheet="1" objects="1" selectLockedCells="1" selectUnlockedCells="1"/>
  <pageMargins left="0.78740157499999996" right="0.78740157499999996" top="0.984251969" bottom="0.984251969" header="0.4921259845" footer="0.4921259845"/>
  <pageSetup paperSize="9" scale="92"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9" tint="-0.249977111117893"/>
    <pageSetUpPr autoPageBreaks="0"/>
  </sheetPr>
  <dimension ref="A1:AC93"/>
  <sheetViews>
    <sheetView showZeros="0" showOutlineSymbols="0" zoomScaleNormal="50" zoomScaleSheetLayoutView="50" workbookViewId="0">
      <selection activeCell="J11" sqref="J11"/>
    </sheetView>
  </sheetViews>
  <sheetFormatPr baseColWidth="10" defaultColWidth="10.7109375" defaultRowHeight="11.25" customHeight="1"/>
  <cols>
    <col min="1" max="1" width="10.7109375" style="287" customWidth="1"/>
    <col min="2" max="3" width="6.42578125" style="287" customWidth="1"/>
    <col min="4" max="9" width="10.7109375" style="287" customWidth="1"/>
    <col min="10" max="10" width="17.85546875" style="287" customWidth="1"/>
    <col min="11" max="12" width="6.42578125" style="287" customWidth="1"/>
    <col min="13" max="16384" width="10.7109375" style="287"/>
  </cols>
  <sheetData>
    <row r="1" spans="1:26" ht="11.25" customHeight="1">
      <c r="A1" s="287" t="str">
        <f>Umse!B11</f>
        <v>1.2.</v>
      </c>
    </row>
    <row r="2" spans="1:26" ht="15" customHeight="1">
      <c r="B2" s="663"/>
      <c r="C2" s="664"/>
      <c r="D2" s="664"/>
      <c r="E2" s="664"/>
      <c r="F2" s="664"/>
      <c r="G2" s="664"/>
      <c r="H2" s="664"/>
      <c r="I2" s="664"/>
      <c r="J2" s="664"/>
      <c r="K2" s="664"/>
      <c r="L2" s="664"/>
      <c r="M2" s="664"/>
      <c r="N2" s="664"/>
      <c r="O2" s="665"/>
      <c r="P2" s="665"/>
      <c r="Q2" s="288"/>
      <c r="R2" s="289"/>
    </row>
    <row r="3" spans="1:26" ht="3.75" customHeight="1"/>
    <row r="4" spans="1:26" ht="13.5" customHeight="1">
      <c r="D4" s="290"/>
      <c r="E4" s="291" t="str">
        <f>IF(Umse!B11=0,"Bitte Tarifgebiet auswählen","")</f>
        <v/>
      </c>
      <c r="H4" s="291" t="str">
        <f>IF(Kalk!K3="Pflichtstunden","",IF(Umse!B11=0,"     Bitte Tarifgebiet auswählen",IF(Umse!C24=0,"     Bitte Vollzeit auswählen",IF(OR(Umse!B11="2.2.",Umse!B11="2.3.",Umse!B11="2.4.",Umse!B11="2.5."),"     Bitte Auswahl treffen",IF(AND(Kalk!B5=4,Umse!B50="Land (TdL)"),"     Bitte Auswahl treffen",IF(AND(Kalk!B5=5,Umse!B50="Land (TdL)"),"     Bitte Auswahl treffen",""))))))</f>
        <v/>
      </c>
      <c r="K4" s="666"/>
      <c r="L4" s="666"/>
      <c r="M4" s="666"/>
      <c r="N4" s="666"/>
      <c r="O4" s="666"/>
      <c r="P4" s="666"/>
    </row>
    <row r="5" spans="1:26" ht="13.5" customHeight="1">
      <c r="B5" s="292"/>
      <c r="C5" s="292"/>
      <c r="D5" s="293"/>
      <c r="E5" s="292"/>
      <c r="F5" s="667"/>
      <c r="G5" s="667"/>
      <c r="H5" s="293"/>
      <c r="I5" s="295"/>
      <c r="J5" s="296"/>
      <c r="K5" s="666"/>
      <c r="L5" s="666"/>
      <c r="M5" s="666"/>
      <c r="N5" s="666"/>
      <c r="O5" s="666"/>
      <c r="P5" s="666"/>
    </row>
    <row r="6" spans="1:26" ht="13.5" customHeight="1">
      <c r="I6" s="297"/>
      <c r="J6" s="298"/>
      <c r="K6" s="666"/>
      <c r="L6" s="666"/>
      <c r="M6" s="666"/>
      <c r="N6" s="666"/>
      <c r="O6" s="666"/>
      <c r="P6" s="666"/>
    </row>
    <row r="7" spans="1:26" s="299" customFormat="1" ht="3.75" customHeight="1">
      <c r="B7" s="300"/>
      <c r="C7" s="300"/>
      <c r="D7" s="301"/>
      <c r="E7" s="301"/>
      <c r="F7" s="301"/>
      <c r="G7" s="301"/>
      <c r="H7" s="301"/>
      <c r="I7" s="301"/>
      <c r="K7" s="302"/>
      <c r="L7" s="302"/>
      <c r="M7" s="303"/>
      <c r="N7" s="303"/>
      <c r="O7" s="303"/>
      <c r="P7" s="303"/>
      <c r="Q7" s="303"/>
      <c r="R7" s="303"/>
      <c r="U7" s="304"/>
      <c r="V7" s="304"/>
      <c r="W7" s="304"/>
      <c r="X7" s="304"/>
      <c r="Y7" s="304"/>
      <c r="Z7" s="304"/>
    </row>
    <row r="8" spans="1:26" s="299" customFormat="1" ht="3.75" customHeight="1">
      <c r="B8" s="301"/>
      <c r="C8" s="301"/>
      <c r="D8" s="301"/>
      <c r="E8" s="301"/>
      <c r="F8" s="301"/>
      <c r="G8" s="301"/>
      <c r="H8" s="301"/>
      <c r="I8" s="301"/>
      <c r="J8" s="305"/>
      <c r="K8" s="303"/>
      <c r="L8" s="303"/>
      <c r="M8" s="303"/>
      <c r="N8" s="303"/>
      <c r="O8" s="303"/>
      <c r="P8" s="303"/>
      <c r="Q8" s="303"/>
      <c r="R8" s="303"/>
      <c r="U8" s="304"/>
      <c r="V8" s="304"/>
      <c r="W8" s="304"/>
      <c r="X8" s="304"/>
      <c r="Y8" s="304"/>
      <c r="Z8" s="304"/>
    </row>
    <row r="9" spans="1:26" s="299" customFormat="1" ht="3.75" customHeight="1">
      <c r="B9" s="301"/>
      <c r="C9" s="301"/>
      <c r="D9" s="301"/>
      <c r="E9" s="301"/>
      <c r="F9" s="301"/>
      <c r="G9" s="301"/>
      <c r="H9" s="301"/>
      <c r="I9" s="301"/>
      <c r="J9" s="305"/>
      <c r="K9" s="303"/>
      <c r="L9" s="303"/>
      <c r="M9" s="303"/>
      <c r="N9" s="303"/>
      <c r="O9" s="303"/>
      <c r="P9" s="303"/>
      <c r="Q9" s="303"/>
      <c r="R9" s="303"/>
      <c r="U9" s="304"/>
      <c r="V9" s="304"/>
      <c r="W9" s="304"/>
      <c r="X9" s="304"/>
      <c r="Y9" s="304"/>
      <c r="Z9" s="304"/>
    </row>
    <row r="10" spans="1:26" ht="12.75" customHeight="1">
      <c r="B10" s="669" t="str">
        <f>K10</f>
        <v>TVöD ( Bund )</v>
      </c>
      <c r="C10" s="670"/>
      <c r="D10" s="670"/>
      <c r="E10" s="673" t="str">
        <f>IF(Kalk!B5=1,'B Ist'!D1,"")</f>
        <v>Stundenentgelt  ( Vollzeit )</v>
      </c>
      <c r="F10" s="673"/>
      <c r="G10" s="673"/>
      <c r="H10" s="661" t="str">
        <f>IF(OR(Umse!$B$11="1.2.",Umse!$B$11="1.3."),Umse!B62,Q10)</f>
        <v>Stand 1.04.2021</v>
      </c>
      <c r="I10" s="662"/>
      <c r="J10" s="294"/>
      <c r="K10" s="669" t="str">
        <f>IF(Kalk!B5=1,'B Ist'!A2,"")</f>
        <v>TVöD ( Bund )</v>
      </c>
      <c r="L10" s="670"/>
      <c r="M10" s="670"/>
      <c r="N10" s="673" t="str">
        <f>IF(Kalk!B5=1,'B Ist'!M1&amp;" "&amp;'B Ist'!Q1,"")</f>
        <v xml:space="preserve">Anlage A Bund  ( + 1,40 % mind 50 Euro ) </v>
      </c>
      <c r="O10" s="673"/>
      <c r="P10" s="673"/>
      <c r="Q10" s="661" t="str">
        <f>IF(Kalk!B5=1,Umse!B36,"")</f>
        <v>Stand 1.04.2021</v>
      </c>
      <c r="R10" s="662"/>
    </row>
    <row r="11" spans="1:26" ht="22.5" customHeight="1">
      <c r="B11" s="302" t="str">
        <f>K11</f>
        <v xml:space="preserve">    Entgeltgruppe</v>
      </c>
      <c r="C11" s="306"/>
      <c r="D11" s="306" t="str">
        <f t="shared" ref="D11:I11" si="0">M11</f>
        <v>Stufe 1</v>
      </c>
      <c r="E11" s="306" t="str">
        <f t="shared" si="0"/>
        <v>Stufe 2</v>
      </c>
      <c r="F11" s="306" t="str">
        <f t="shared" si="0"/>
        <v>Stufe 3</v>
      </c>
      <c r="G11" s="306" t="str">
        <f t="shared" si="0"/>
        <v>Stufe 4</v>
      </c>
      <c r="H11" s="306" t="str">
        <f t="shared" si="0"/>
        <v>Stufe 5</v>
      </c>
      <c r="I11" s="306" t="str">
        <f t="shared" si="0"/>
        <v>Stufe 6</v>
      </c>
      <c r="J11" s="307" t="str">
        <f>IF(Kalk!$B$4=1,'B Ist'!J2,"")</f>
        <v>Hinweis</v>
      </c>
      <c r="K11" s="302" t="str">
        <f>IF(OR(Umse!$C$24=0,Umse!$B$11=0),"",IF(Kalk!$B$5=1,'B Ist'!K2,""))</f>
        <v xml:space="preserve">    Entgeltgruppe</v>
      </c>
      <c r="L11" s="306"/>
      <c r="M11" s="306" t="str">
        <f>IF(OR(Umse!$C$24=0,Umse!$B$11=0),"",IF(Kalk!$B$5=1,'B Ist'!M2,""))</f>
        <v>Stufe 1</v>
      </c>
      <c r="N11" s="306" t="str">
        <f>IF(OR(Umse!$C$24=0,Umse!$B$11=0),"",IF(Kalk!$B$5=1,'B Ist'!N2,""))</f>
        <v>Stufe 2</v>
      </c>
      <c r="O11" s="306" t="str">
        <f>IF(OR(Umse!$C$24=0,Umse!$B$11=0),"",IF(Kalk!$B$5=1,'B Ist'!O2,""))</f>
        <v>Stufe 3</v>
      </c>
      <c r="P11" s="306" t="str">
        <f>IF(OR(Umse!$C$24=0,Umse!$B$11=0),"",IF(Kalk!$B$5=1,'B Ist'!P2,""))</f>
        <v>Stufe 4</v>
      </c>
      <c r="Q11" s="306" t="str">
        <f>IF(OR(Umse!$C$24=0,Umse!$B$11=0),"",IF(Kalk!$B$5=1,'B Ist'!Q2,""))</f>
        <v>Stufe 5</v>
      </c>
      <c r="R11" s="306" t="str">
        <f>IF(OR(Umse!$C$24=0,Umse!$B$11=0),"",IF(Kalk!$B$5=1,'B Ist'!R2,""))</f>
        <v>Stufe 6</v>
      </c>
    </row>
    <row r="12" spans="1:26" ht="11.25" customHeight="1">
      <c r="B12" s="306" t="str">
        <f t="shared" ref="B12:C29" si="1">K12</f>
        <v>EG</v>
      </c>
      <c r="C12" s="322" t="str">
        <f t="shared" si="1"/>
        <v>15Ü</v>
      </c>
      <c r="D12" s="308" t="str">
        <f>IF(Kalk!$B$4=1,'B Ist'!D3,0)</f>
        <v>35,47</v>
      </c>
      <c r="E12" s="308" t="str">
        <f>IF(Kalk!$B$4=1,'B Ist'!E3,0)</f>
        <v>39,36</v>
      </c>
      <c r="F12" s="308" t="str">
        <f>IF(Kalk!$B$4=1,'B Ist'!F3,0)</f>
        <v>43,05</v>
      </c>
      <c r="G12" s="308" t="str">
        <f>IF(Kalk!$B$4=1,'B Ist'!G3,0)</f>
        <v>45,51</v>
      </c>
      <c r="H12" s="308" t="str">
        <f>IF(Kalk!$B$4=1,'B Ist'!H3,0)</f>
        <v>46,09</v>
      </c>
      <c r="I12" s="308" t="str">
        <f>IF(Kalk!$B$4=1,'B Ist'!I3,0)</f>
        <v>-</v>
      </c>
      <c r="J12" s="307" t="str">
        <f>IF(Kalk!$B$4=1,'B Ist'!J3,"")</f>
        <v/>
      </c>
      <c r="K12" s="306" t="str">
        <f>IF(OR(Umse!$C$24=0,Umse!$B$11=0),"",IF(Kalk!$B$5=1,'B Ist'!K3,""))</f>
        <v>EG</v>
      </c>
      <c r="L12" s="322" t="str">
        <f>IF(OR(Umse!$C$24=0,Umse!$B$11=0),"",IF(Kalk!$B$5=1,'B Ist'!L3,""))</f>
        <v>15Ü</v>
      </c>
      <c r="M12" s="308">
        <f>IF(Kalk!$B$4=1,'B Ist'!M3,0)</f>
        <v>6014.42</v>
      </c>
      <c r="N12" s="308">
        <f>IF(Kalk!$B$4=1,'B Ist'!N3,0)</f>
        <v>6674.99</v>
      </c>
      <c r="O12" s="308">
        <f>IF(Kalk!$B$4=1,'B Ist'!O3,0)</f>
        <v>7300.76</v>
      </c>
      <c r="P12" s="308">
        <f>IF(Kalk!$B$4=1,'B Ist'!P3,0)</f>
        <v>7717.96</v>
      </c>
      <c r="Q12" s="308">
        <f>IF(Kalk!$B$4=1,'B Ist'!Q3,0)</f>
        <v>7815.3</v>
      </c>
      <c r="R12" s="308" t="str">
        <f>IF(Kalk!$B$4=1,'B Ist'!R3,0)</f>
        <v>-</v>
      </c>
    </row>
    <row r="13" spans="1:26" ht="11.25" customHeight="1">
      <c r="B13" s="306" t="str">
        <f t="shared" si="1"/>
        <v>EG</v>
      </c>
      <c r="C13" s="322">
        <f t="shared" si="1"/>
        <v>15</v>
      </c>
      <c r="D13" s="308" t="str">
        <f>IF(Kalk!$B$4=1,'B Ist'!D4,0)</f>
        <v>29,06</v>
      </c>
      <c r="E13" s="308" t="str">
        <f>IF(Kalk!$B$4=1,'B Ist'!E4,0)</f>
        <v>31,04</v>
      </c>
      <c r="F13" s="308" t="str">
        <f>IF(Kalk!$B$4=1,'B Ist'!F4,0)</f>
        <v>33,24</v>
      </c>
      <c r="G13" s="308" t="str">
        <f>IF(Kalk!$B$4=1,'B Ist'!G4,0)</f>
        <v>36,25</v>
      </c>
      <c r="H13" s="308" t="str">
        <f>IF(Kalk!$B$4=1,'B Ist'!H4,0)</f>
        <v>39,35</v>
      </c>
      <c r="I13" s="308" t="str">
        <f>IF(Kalk!$B$4=1,'B Ist'!I4,0)</f>
        <v>41,39</v>
      </c>
      <c r="J13" s="307" t="str">
        <f>IF(Kalk!$B$4=1,'B Ist'!J4,"")</f>
        <v/>
      </c>
      <c r="K13" s="306" t="str">
        <f>IF(OR(Umse!$C$24=0,Umse!$B$11=0),"",IF(Kalk!$B$5=1,'B Ist'!K4,""))</f>
        <v>EG</v>
      </c>
      <c r="L13" s="322">
        <f>IF(OR(Umse!$C$24=0,Umse!$B$11=0),"",IF(Kalk!$B$5=1,'B Ist'!L4,""))</f>
        <v>15</v>
      </c>
      <c r="M13" s="308">
        <f>IF(Kalk!$B$4=1,'B Ist'!M4,0)</f>
        <v>4928.3500000000004</v>
      </c>
      <c r="N13" s="308">
        <f>IF(Kalk!$B$4=1,'B Ist'!N4,0)</f>
        <v>5263.48</v>
      </c>
      <c r="O13" s="308">
        <f>IF(Kalk!$B$4=1,'B Ist'!O4,0)</f>
        <v>5637.3</v>
      </c>
      <c r="P13" s="308">
        <f>IF(Kalk!$B$4=1,'B Ist'!P4,0)</f>
        <v>6147.62</v>
      </c>
      <c r="Q13" s="308">
        <f>IF(Kalk!$B$4=1,'B Ist'!Q4,0)</f>
        <v>6672.58</v>
      </c>
      <c r="R13" s="308">
        <f>IF(Kalk!$B$4=1,'B Ist'!R4,0)</f>
        <v>7017.95</v>
      </c>
    </row>
    <row r="14" spans="1:26" ht="11.25" customHeight="1">
      <c r="B14" s="306" t="str">
        <f t="shared" si="1"/>
        <v>EG</v>
      </c>
      <c r="C14" s="322">
        <f t="shared" si="1"/>
        <v>14</v>
      </c>
      <c r="D14" s="308" t="str">
        <f>IF(Kalk!$B$4=1,'B Ist'!D5,0)</f>
        <v>26,32</v>
      </c>
      <c r="E14" s="308" t="str">
        <f>IF(Kalk!$B$4=1,'B Ist'!E5,0)</f>
        <v>28,11</v>
      </c>
      <c r="F14" s="308" t="str">
        <f>IF(Kalk!$B$4=1,'B Ist'!F5,0)</f>
        <v>30,44</v>
      </c>
      <c r="G14" s="308" t="str">
        <f>IF(Kalk!$B$4=1,'B Ist'!G5,0)</f>
        <v>33,04</v>
      </c>
      <c r="H14" s="308" t="str">
        <f>IF(Kalk!$B$4=1,'B Ist'!H5,0)</f>
        <v>35,93</v>
      </c>
      <c r="I14" s="308" t="str">
        <f>IF(Kalk!$B$4=1,'B Ist'!I5,0)</f>
        <v>38,00</v>
      </c>
      <c r="J14" s="307" t="str">
        <f>IF(Kalk!$B$4=1,'B Ist'!J5,"")</f>
        <v/>
      </c>
      <c r="K14" s="306" t="str">
        <f>IF(OR(Umse!$C$24=0,Umse!$B$11=0),"",IF(Kalk!$B$5=1,'B Ist'!K5,""))</f>
        <v>EG</v>
      </c>
      <c r="L14" s="322">
        <f>IF(OR(Umse!$C$24=0,Umse!$B$11=0),"",IF(Kalk!$B$5=1,'B Ist'!L5,""))</f>
        <v>14</v>
      </c>
      <c r="M14" s="308">
        <f>IF(Kalk!$B$4=1,'B Ist'!M5,0)</f>
        <v>4462.6499999999996</v>
      </c>
      <c r="N14" s="308">
        <f>IF(Kalk!$B$4=1,'B Ist'!N5,0)</f>
        <v>4766.1099999999997</v>
      </c>
      <c r="O14" s="308">
        <f>IF(Kalk!$B$4=1,'B Ist'!O5,0)</f>
        <v>5162.41</v>
      </c>
      <c r="P14" s="308">
        <f>IF(Kalk!$B$4=1,'B Ist'!P5,0)</f>
        <v>5602.17</v>
      </c>
      <c r="Q14" s="308">
        <f>IF(Kalk!$B$4=1,'B Ist'!Q5,0)</f>
        <v>6092.39</v>
      </c>
      <c r="R14" s="308">
        <f>IF(Kalk!$B$4=1,'B Ist'!R5,0)</f>
        <v>6444.31</v>
      </c>
    </row>
    <row r="15" spans="1:26" ht="11.25" customHeight="1">
      <c r="B15" s="306" t="str">
        <f t="shared" si="1"/>
        <v>EG</v>
      </c>
      <c r="C15" s="322">
        <f t="shared" si="1"/>
        <v>13</v>
      </c>
      <c r="D15" s="308" t="str">
        <f>IF(Kalk!$B$4=1,'B Ist'!D6,0)</f>
        <v>24,26</v>
      </c>
      <c r="E15" s="308" t="str">
        <f>IF(Kalk!$B$4=1,'B Ist'!E6,0)</f>
        <v>26,22</v>
      </c>
      <c r="F15" s="308" t="str">
        <f>IF(Kalk!$B$4=1,'B Ist'!F6,0)</f>
        <v>28,45</v>
      </c>
      <c r="G15" s="308" t="str">
        <f>IF(Kalk!$B$4=1,'B Ist'!G6,0)</f>
        <v>30,88</v>
      </c>
      <c r="H15" s="308" t="str">
        <f>IF(Kalk!$B$4=1,'B Ist'!H6,0)</f>
        <v>33,73</v>
      </c>
      <c r="I15" s="308" t="str">
        <f>IF(Kalk!$B$4=1,'B Ist'!I6,0)</f>
        <v>35,28</v>
      </c>
      <c r="J15" s="307" t="str">
        <f>IF(Kalk!$B$4=1,'B Ist'!J6,"")</f>
        <v/>
      </c>
      <c r="K15" s="306" t="str">
        <f>IF(OR(Umse!$C$24=0,Umse!$B$11=0),"",IF(Kalk!$B$5=1,'B Ist'!K6,""))</f>
        <v>EG</v>
      </c>
      <c r="L15" s="322">
        <f>IF(OR(Umse!$C$24=0,Umse!$B$11=0),"",IF(Kalk!$B$5=1,'B Ist'!L6,""))</f>
        <v>13</v>
      </c>
      <c r="M15" s="308">
        <f>IF(Kalk!$B$4=1,'B Ist'!M6,0)</f>
        <v>4113.41</v>
      </c>
      <c r="N15" s="308">
        <f>IF(Kalk!$B$4=1,'B Ist'!N6,0)</f>
        <v>4445.99</v>
      </c>
      <c r="O15" s="308">
        <f>IF(Kalk!$B$4=1,'B Ist'!O6,0)</f>
        <v>4824.6000000000004</v>
      </c>
      <c r="P15" s="308">
        <f>IF(Kalk!$B$4=1,'B Ist'!P6,0)</f>
        <v>5235.66</v>
      </c>
      <c r="Q15" s="308">
        <f>IF(Kalk!$B$4=1,'B Ist'!Q6,0)</f>
        <v>5719.35</v>
      </c>
      <c r="R15" s="308">
        <f>IF(Kalk!$B$4=1,'B Ist'!R6,0)</f>
        <v>5981.85</v>
      </c>
    </row>
    <row r="16" spans="1:26" ht="11.25" customHeight="1">
      <c r="B16" s="306" t="str">
        <f t="shared" si="1"/>
        <v>EG</v>
      </c>
      <c r="C16" s="322">
        <f t="shared" si="1"/>
        <v>12</v>
      </c>
      <c r="D16" s="308" t="str">
        <f>IF(Kalk!$B$4=1,'B Ist'!D7,0)</f>
        <v>21,74</v>
      </c>
      <c r="E16" s="308" t="str">
        <f>IF(Kalk!$B$4=1,'B Ist'!E7,0)</f>
        <v>24,00</v>
      </c>
      <c r="F16" s="308" t="str">
        <f>IF(Kalk!$B$4=1,'B Ist'!F7,0)</f>
        <v>26,63</v>
      </c>
      <c r="G16" s="308" t="str">
        <f>IF(Kalk!$B$4=1,'B Ist'!G7,0)</f>
        <v>29,56</v>
      </c>
      <c r="H16" s="308" t="str">
        <f>IF(Kalk!$B$4=1,'B Ist'!H7,0)</f>
        <v>33,00</v>
      </c>
      <c r="I16" s="308" t="str">
        <f>IF(Kalk!$B$4=1,'B Ist'!I7,0)</f>
        <v>34,62</v>
      </c>
      <c r="J16" s="307" t="str">
        <f>IF(Kalk!$B$4=1,'B Ist'!J7,"")</f>
        <v/>
      </c>
      <c r="K16" s="306" t="str">
        <f>IF(OR(Umse!$C$24=0,Umse!$B$11=0),"",IF(Kalk!$B$5=1,'B Ist'!K7,""))</f>
        <v>EG</v>
      </c>
      <c r="L16" s="322">
        <f>IF(OR(Umse!$C$24=0,Umse!$B$11=0),"",IF(Kalk!$B$5=1,'B Ist'!L7,""))</f>
        <v>12</v>
      </c>
      <c r="M16" s="308">
        <f>IF(Kalk!$B$4=1,'B Ist'!M7,0)</f>
        <v>3686.55</v>
      </c>
      <c r="N16" s="308">
        <f>IF(Kalk!$B$4=1,'B Ist'!N7,0)</f>
        <v>4069.25</v>
      </c>
      <c r="O16" s="308">
        <f>IF(Kalk!$B$4=1,'B Ist'!O7,0)</f>
        <v>4516.49</v>
      </c>
      <c r="P16" s="308">
        <f>IF(Kalk!$B$4=1,'B Ist'!P7,0)</f>
        <v>5012.74</v>
      </c>
      <c r="Q16" s="308">
        <f>IF(Kalk!$B$4=1,'B Ist'!Q7,0)</f>
        <v>5595.03</v>
      </c>
      <c r="R16" s="308">
        <f>IF(Kalk!$B$4=1,'B Ist'!R7,0)</f>
        <v>5871.32</v>
      </c>
    </row>
    <row r="17" spans="2:29" ht="11.25" customHeight="1">
      <c r="B17" s="306" t="str">
        <f t="shared" si="1"/>
        <v>EG</v>
      </c>
      <c r="C17" s="322">
        <f t="shared" si="1"/>
        <v>11</v>
      </c>
      <c r="D17" s="308" t="str">
        <f>IF(Kalk!$B$4=1,'B Ist'!D8,0)</f>
        <v>20,98</v>
      </c>
      <c r="E17" s="308" t="str">
        <f>IF(Kalk!$B$4=1,'B Ist'!E8,0)</f>
        <v>23,06</v>
      </c>
      <c r="F17" s="308" t="str">
        <f>IF(Kalk!$B$4=1,'B Ist'!F8,0)</f>
        <v>25,01</v>
      </c>
      <c r="G17" s="308" t="str">
        <f>IF(Kalk!$B$4=1,'B Ist'!G8,0)</f>
        <v>27,13</v>
      </c>
      <c r="H17" s="308" t="str">
        <f>IF(Kalk!$B$4=1,'B Ist'!H8,0)</f>
        <v>30,02</v>
      </c>
      <c r="I17" s="308" t="str">
        <f>IF(Kalk!$B$4=1,'B Ist'!I8,0)</f>
        <v>31,65</v>
      </c>
      <c r="J17" s="307" t="str">
        <f>IF(Kalk!$B$4=1,'B Ist'!J8,"")</f>
        <v/>
      </c>
      <c r="K17" s="306" t="str">
        <f>IF(OR(Umse!$C$24=0,Umse!$B$11=0),"",IF(Kalk!$B$5=1,'B Ist'!K8,""))</f>
        <v>EG</v>
      </c>
      <c r="L17" s="322">
        <f>IF(OR(Umse!$C$24=0,Umse!$B$11=0),"",IF(Kalk!$B$5=1,'B Ist'!L8,""))</f>
        <v>11</v>
      </c>
      <c r="M17" s="308">
        <f>IF(Kalk!$B$4=1,'B Ist'!M8,0)</f>
        <v>3558.11</v>
      </c>
      <c r="N17" s="308">
        <f>IF(Kalk!$B$4=1,'B Ist'!N8,0)</f>
        <v>3910.1</v>
      </c>
      <c r="O17" s="308">
        <f>IF(Kalk!$B$4=1,'B Ist'!O8,0)</f>
        <v>4240.84</v>
      </c>
      <c r="P17" s="308">
        <f>IF(Kalk!$B$4=1,'B Ist'!P8,0)</f>
        <v>4599.68</v>
      </c>
      <c r="Q17" s="308">
        <f>IF(Kalk!$B$4=1,'B Ist'!Q8,0)</f>
        <v>5090.78</v>
      </c>
      <c r="R17" s="308">
        <f>IF(Kalk!$B$4=1,'B Ist'!R8,0)</f>
        <v>5367.08</v>
      </c>
    </row>
    <row r="18" spans="2:29" ht="11.25" customHeight="1">
      <c r="B18" s="306" t="str">
        <f t="shared" si="1"/>
        <v>EG</v>
      </c>
      <c r="C18" s="322">
        <f t="shared" si="1"/>
        <v>10</v>
      </c>
      <c r="D18" s="308" t="str">
        <f>IF(Kalk!$B$4=1,'B Ist'!D9,0)</f>
        <v>20,23</v>
      </c>
      <c r="E18" s="308" t="str">
        <f>IF(Kalk!$B$4=1,'B Ist'!E9,0)</f>
        <v>21,86</v>
      </c>
      <c r="F18" s="308" t="str">
        <f>IF(Kalk!$B$4=1,'B Ist'!F9,0)</f>
        <v>23,71</v>
      </c>
      <c r="G18" s="308" t="str">
        <f>IF(Kalk!$B$4=1,'B Ist'!G9,0)</f>
        <v>25,71</v>
      </c>
      <c r="H18" s="308" t="str">
        <f>IF(Kalk!$B$4=1,'B Ist'!H9,0)</f>
        <v>27,94</v>
      </c>
      <c r="I18" s="308" t="str">
        <f>IF(Kalk!$B$4=1,'B Ist'!I9,0)</f>
        <v>28,68</v>
      </c>
      <c r="J18" s="307" t="str">
        <f>IF(Kalk!$B$4=1,'B Ist'!J9,"")</f>
        <v>* Ergebnis der Redaktion:</v>
      </c>
      <c r="K18" s="306" t="str">
        <f>IF(OR(Umse!$C$24=0,Umse!$B$11=0),"",IF(Kalk!$B$5=1,'B Ist'!K9,""))</f>
        <v>EG</v>
      </c>
      <c r="L18" s="322">
        <f>IF(OR(Umse!$C$24=0,Umse!$B$11=0),"",IF(Kalk!$B$5=1,'B Ist'!L9,""))</f>
        <v>10</v>
      </c>
      <c r="M18" s="308">
        <f>IF(Kalk!$B$4=1,'B Ist'!M9,0)</f>
        <v>3430.51</v>
      </c>
      <c r="N18" s="308">
        <f>IF(Kalk!$B$4=1,'B Ist'!N9,0)</f>
        <v>3706.3</v>
      </c>
      <c r="O18" s="308">
        <f>IF(Kalk!$B$4=1,'B Ist'!O9,0)</f>
        <v>4019.82</v>
      </c>
      <c r="P18" s="308">
        <f>IF(Kalk!$B$4=1,'B Ist'!P9,0)</f>
        <v>4359.8500000000004</v>
      </c>
      <c r="Q18" s="308">
        <f>IF(Kalk!$B$4=1,'B Ist'!Q9,0)</f>
        <v>4738.5</v>
      </c>
      <c r="R18" s="308">
        <f>IF(Kalk!$B$4=1,'B Ist'!R9,0)</f>
        <v>4862.83</v>
      </c>
    </row>
    <row r="19" spans="2:29" ht="11.25" customHeight="1">
      <c r="B19" s="306" t="str">
        <f t="shared" si="1"/>
        <v>EG</v>
      </c>
      <c r="C19" s="322" t="str">
        <f t="shared" si="1"/>
        <v>9c *</v>
      </c>
      <c r="D19" s="308" t="str">
        <f>IF(Kalk!$B$4=1,'B Ist'!D10,0)</f>
        <v>19,47</v>
      </c>
      <c r="E19" s="308" t="str">
        <f>IF(Kalk!$B$4=1,'B Ist'!E10,0)</f>
        <v>20,88</v>
      </c>
      <c r="F19" s="308" t="str">
        <f>IF(Kalk!$B$4=1,'B Ist'!F10,0)</f>
        <v>22,64</v>
      </c>
      <c r="G19" s="308" t="str">
        <f>IF(Kalk!$B$4=1,'B Ist'!G10,0)</f>
        <v>24,56</v>
      </c>
      <c r="H19" s="308" t="str">
        <f>IF(Kalk!$B$4=1,'B Ist'!H10,0)</f>
        <v>26,63</v>
      </c>
      <c r="I19" s="308" t="str">
        <f>IF(Kalk!$B$4=1,'B Ist'!I10,0)</f>
        <v>27,30</v>
      </c>
      <c r="J19" s="307" t="str">
        <f>IF(Kalk!$B$4=1,'B Ist'!J10,"")</f>
        <v>EG 9c und 9b in Stufe 1</v>
      </c>
      <c r="K19" s="306" t="str">
        <f>IF(OR(Umse!$C$24=0,Umse!$B$11=0),"",IF(Kalk!$B$5=1,'B Ist'!K10,""))</f>
        <v>EG</v>
      </c>
      <c r="L19" s="322" t="str">
        <f>IF(OR(Umse!$C$24=0,Umse!$B$11=0),"",IF(Kalk!$B$5=1,'B Ist'!L10,""))</f>
        <v>9c *</v>
      </c>
      <c r="M19" s="308">
        <f>IF(Kalk!$B$4=1,'B Ist'!M10,0)</f>
        <v>3301.9066666666668</v>
      </c>
      <c r="N19" s="308">
        <f>IF(Kalk!$B$4=1,'B Ist'!N10,0)</f>
        <v>3540.82</v>
      </c>
      <c r="O19" s="308">
        <f>IF(Kalk!$B$4=1,'B Ist'!O10,0)</f>
        <v>3839.03</v>
      </c>
      <c r="P19" s="308">
        <f>IF(Kalk!$B$4=1,'B Ist'!P10,0)</f>
        <v>4163.95</v>
      </c>
      <c r="Q19" s="308">
        <f>IF(Kalk!$B$4=1,'B Ist'!Q10,0)</f>
        <v>4516.2299999999996</v>
      </c>
      <c r="R19" s="308">
        <f>IF(Kalk!$B$4=1,'B Ist'!R10,0)</f>
        <v>4629.3100000000004</v>
      </c>
    </row>
    <row r="20" spans="2:29" ht="11.25" customHeight="1">
      <c r="B20" s="306" t="str">
        <f t="shared" si="1"/>
        <v>EG</v>
      </c>
      <c r="C20" s="322" t="str">
        <f t="shared" si="1"/>
        <v>9b *</v>
      </c>
      <c r="D20" s="308" t="str">
        <f>IF(Kalk!$B$4=1,'B Ist'!D11,0)</f>
        <v>18,71</v>
      </c>
      <c r="E20" s="308" t="str">
        <f>IF(Kalk!$B$4=1,'B Ist'!E11,0)</f>
        <v>19,36</v>
      </c>
      <c r="F20" s="308" t="str">
        <f>IF(Kalk!$B$4=1,'B Ist'!F11,0)</f>
        <v>20,97</v>
      </c>
      <c r="G20" s="308" t="str">
        <f>IF(Kalk!$B$4=1,'B Ist'!G11,0)</f>
        <v>22,74</v>
      </c>
      <c r="H20" s="308" t="str">
        <f>IF(Kalk!$B$4=1,'B Ist'!H11,0)</f>
        <v>24,69</v>
      </c>
      <c r="I20" s="308" t="str">
        <f>IF(Kalk!$B$4=1,'B Ist'!I11,0)</f>
        <v>26,31</v>
      </c>
      <c r="J20" s="307" t="str">
        <f>IF(Kalk!$B$4=1,'B Ist'!J11,"")</f>
        <v>differenziert angehoben</v>
      </c>
      <c r="K20" s="306" t="str">
        <f>IF(OR(Umse!$C$24=0,Umse!$B$11=0),"",IF(Kalk!$B$5=1,'B Ist'!K11,""))</f>
        <v>EG</v>
      </c>
      <c r="L20" s="322" t="str">
        <f>IF(OR(Umse!$C$24=0,Umse!$B$11=0),"",IF(Kalk!$B$5=1,'B Ist'!L11,""))</f>
        <v>9b *</v>
      </c>
      <c r="M20" s="308">
        <f>IF(Kalk!$B$4=1,'B Ist'!M11,0)</f>
        <v>3173.3033333333333</v>
      </c>
      <c r="N20" s="308">
        <f>IF(Kalk!$B$4=1,'B Ist'!N11,0)</f>
        <v>3282.46</v>
      </c>
      <c r="O20" s="308">
        <f>IF(Kalk!$B$4=1,'B Ist'!O11,0)</f>
        <v>3555.82</v>
      </c>
      <c r="P20" s="308">
        <f>IF(Kalk!$B$4=1,'B Ist'!P11,0)</f>
        <v>3855.78</v>
      </c>
      <c r="Q20" s="308">
        <f>IF(Kalk!$B$4=1,'B Ist'!Q11,0)</f>
        <v>4185.91</v>
      </c>
      <c r="R20" s="308">
        <f>IF(Kalk!$B$4=1,'B Ist'!R11,0)</f>
        <v>4462.1899999999996</v>
      </c>
    </row>
    <row r="21" spans="2:29" ht="11.25" customHeight="1">
      <c r="B21" s="306" t="str">
        <f t="shared" si="1"/>
        <v>EG</v>
      </c>
      <c r="C21" s="322" t="str">
        <f t="shared" si="1"/>
        <v>9a</v>
      </c>
      <c r="D21" s="308" t="str">
        <f>IF(Kalk!$B$4=1,'B Ist'!D12,0)</f>
        <v>17,96</v>
      </c>
      <c r="E21" s="308" t="str">
        <f>IF(Kalk!$B$4=1,'B Ist'!E12,0)</f>
        <v>19,16</v>
      </c>
      <c r="F21" s="308" t="str">
        <f>IF(Kalk!$B$4=1,'B Ist'!F12,0)</f>
        <v>19,49</v>
      </c>
      <c r="G21" s="308" t="str">
        <f>IF(Kalk!$B$4=1,'B Ist'!G12,0)</f>
        <v>20,60</v>
      </c>
      <c r="H21" s="308" t="str">
        <f>IF(Kalk!$B$4=1,'B Ist'!H12,0)</f>
        <v>22,65</v>
      </c>
      <c r="I21" s="308" t="str">
        <f>IF(Kalk!$B$4=1,'B Ist'!I12,0)</f>
        <v>23,46</v>
      </c>
      <c r="J21" s="307" t="str">
        <f>IF(Kalk!$B$4=1,'B Ist'!J12,"")</f>
        <v/>
      </c>
      <c r="K21" s="306" t="str">
        <f>IF(OR(Umse!$C$24=0,Umse!$B$11=0),"",IF(Kalk!$B$5=1,'B Ist'!K12,""))</f>
        <v>EG</v>
      </c>
      <c r="L21" s="322" t="str">
        <f>IF(OR(Umse!$C$24=0,Umse!$B$11=0),"",IF(Kalk!$B$5=1,'B Ist'!L12,""))</f>
        <v>9a</v>
      </c>
      <c r="M21" s="308">
        <f>IF(Kalk!$B$4=1,'B Ist'!M12,0)</f>
        <v>3044.7</v>
      </c>
      <c r="N21" s="308">
        <f>IF(Kalk!$B$4=1,'B Ist'!N12,0)</f>
        <v>3248.34</v>
      </c>
      <c r="O21" s="308">
        <f>IF(Kalk!$B$4=1,'B Ist'!O12,0)</f>
        <v>3304.35</v>
      </c>
      <c r="P21" s="308">
        <f>IF(Kalk!$B$4=1,'B Ist'!P12,0)</f>
        <v>3493.66</v>
      </c>
      <c r="Q21" s="308">
        <f>IF(Kalk!$B$4=1,'B Ist'!Q12,0)</f>
        <v>3840.53</v>
      </c>
      <c r="R21" s="308">
        <f>IF(Kalk!$B$4=1,'B Ist'!R12,0)</f>
        <v>3977.78</v>
      </c>
    </row>
    <row r="22" spans="2:29" ht="11.25" customHeight="1">
      <c r="B22" s="306" t="str">
        <f t="shared" si="1"/>
        <v>EG</v>
      </c>
      <c r="C22" s="322">
        <f t="shared" si="1"/>
        <v>8</v>
      </c>
      <c r="D22" s="308" t="str">
        <f>IF(Kalk!$B$4=1,'B Ist'!D13,0)</f>
        <v>16,86</v>
      </c>
      <c r="E22" s="308" t="str">
        <f>IF(Kalk!$B$4=1,'B Ist'!E13,0)</f>
        <v>17,99</v>
      </c>
      <c r="F22" s="308" t="str">
        <f>IF(Kalk!$B$4=1,'B Ist'!F13,0)</f>
        <v>18,77</v>
      </c>
      <c r="G22" s="308" t="str">
        <f>IF(Kalk!$B$4=1,'B Ist'!G13,0)</f>
        <v>19,55</v>
      </c>
      <c r="H22" s="308" t="str">
        <f>IF(Kalk!$B$4=1,'B Ist'!H13,0)</f>
        <v>20,38</v>
      </c>
      <c r="I22" s="308" t="str">
        <f>IF(Kalk!$B$4=1,'B Ist'!I13,0)</f>
        <v>20,78</v>
      </c>
      <c r="J22" s="307" t="str">
        <f>IF(Kalk!$B$4=1,'B Ist'!J13,"")</f>
        <v/>
      </c>
      <c r="K22" s="306" t="str">
        <f>IF(OR(Umse!$C$24=0,Umse!$B$11=0),"",IF(Kalk!$B$5=1,'B Ist'!K13,""))</f>
        <v>EG</v>
      </c>
      <c r="L22" s="322">
        <f>IF(OR(Umse!$C$24=0,Umse!$B$11=0),"",IF(Kalk!$B$5=1,'B Ist'!L13,""))</f>
        <v>8</v>
      </c>
      <c r="M22" s="308">
        <f>IF(Kalk!$B$4=1,'B Ist'!M13,0)</f>
        <v>2858.91</v>
      </c>
      <c r="N22" s="308">
        <f>IF(Kalk!$B$4=1,'B Ist'!N13,0)</f>
        <v>3049.92</v>
      </c>
      <c r="O22" s="308">
        <f>IF(Kalk!$B$4=1,'B Ist'!O13,0)</f>
        <v>3182.23</v>
      </c>
      <c r="P22" s="308">
        <f>IF(Kalk!$B$4=1,'B Ist'!P13,0)</f>
        <v>3314.31</v>
      </c>
      <c r="Q22" s="308">
        <f>IF(Kalk!$B$4=1,'B Ist'!Q13,0)</f>
        <v>3455.98</v>
      </c>
      <c r="R22" s="308">
        <f>IF(Kalk!$B$4=1,'B Ist'!R13,0)</f>
        <v>3524.11</v>
      </c>
    </row>
    <row r="23" spans="2:29" ht="11.25" customHeight="1">
      <c r="B23" s="306" t="str">
        <f t="shared" si="1"/>
        <v>EG</v>
      </c>
      <c r="C23" s="322">
        <f t="shared" si="1"/>
        <v>7</v>
      </c>
      <c r="D23" s="308" t="str">
        <f>IF(Kalk!$B$4=1,'B Ist'!D14,0)</f>
        <v>15,84</v>
      </c>
      <c r="E23" s="308" t="str">
        <f>IF(Kalk!$B$4=1,'B Ist'!E14,0)</f>
        <v>17,14</v>
      </c>
      <c r="F23" s="308" t="str">
        <f>IF(Kalk!$B$4=1,'B Ist'!F14,0)</f>
        <v>17,91</v>
      </c>
      <c r="G23" s="308" t="str">
        <f>IF(Kalk!$B$4=1,'B Ist'!G14,0)</f>
        <v>18,69</v>
      </c>
      <c r="H23" s="308" t="str">
        <f>IF(Kalk!$B$4=1,'B Ist'!H14,0)</f>
        <v>19,42</v>
      </c>
      <c r="I23" s="308" t="str">
        <f>IF(Kalk!$B$4=1,'B Ist'!I14,0)</f>
        <v>19,82</v>
      </c>
      <c r="J23" s="307" t="str">
        <f>IF(Kalk!$B$4=1,'B Ist'!J14,"")</f>
        <v/>
      </c>
      <c r="K23" s="306" t="str">
        <f>IF(OR(Umse!$C$24=0,Umse!$B$11=0),"",IF(Kalk!$B$5=1,'B Ist'!K14,""))</f>
        <v>EG</v>
      </c>
      <c r="L23" s="322">
        <f>IF(OR(Umse!$C$24=0,Umse!$B$11=0),"",IF(Kalk!$B$5=1,'B Ist'!L14,""))</f>
        <v>7</v>
      </c>
      <c r="M23" s="308">
        <f>IF(Kalk!$B$4=1,'B Ist'!M14,0)</f>
        <v>2685.53</v>
      </c>
      <c r="N23" s="308">
        <f>IF(Kalk!$B$4=1,'B Ist'!N14,0)</f>
        <v>2905.6</v>
      </c>
      <c r="O23" s="308">
        <f>IF(Kalk!$B$4=1,'B Ist'!O14,0)</f>
        <v>3036.7</v>
      </c>
      <c r="P23" s="308">
        <f>IF(Kalk!$B$4=1,'B Ist'!P14,0)</f>
        <v>3169</v>
      </c>
      <c r="Q23" s="308">
        <f>IF(Kalk!$B$4=1,'B Ist'!Q14,0)</f>
        <v>3293.78</v>
      </c>
      <c r="R23" s="308">
        <f>IF(Kalk!$B$4=1,'B Ist'!R14,0)</f>
        <v>3360.79</v>
      </c>
    </row>
    <row r="24" spans="2:29" ht="11.25" customHeight="1">
      <c r="B24" s="306" t="str">
        <f t="shared" si="1"/>
        <v>EG</v>
      </c>
      <c r="C24" s="322">
        <f t="shared" si="1"/>
        <v>6</v>
      </c>
      <c r="D24" s="308" t="str">
        <f>IF(Kalk!$B$4=1,'B Ist'!D15,0)</f>
        <v>15,55</v>
      </c>
      <c r="E24" s="308" t="str">
        <f>IF(Kalk!$B$4=1,'B Ist'!E15,0)</f>
        <v>16,61</v>
      </c>
      <c r="F24" s="308" t="str">
        <f>IF(Kalk!$B$4=1,'B Ist'!F15,0)</f>
        <v>17,36</v>
      </c>
      <c r="G24" s="308" t="str">
        <f>IF(Kalk!$B$4=1,'B Ist'!G15,0)</f>
        <v>18,10</v>
      </c>
      <c r="H24" s="308" t="str">
        <f>IF(Kalk!$B$4=1,'B Ist'!H15,0)</f>
        <v>18,83</v>
      </c>
      <c r="I24" s="308" t="str">
        <f>IF(Kalk!$B$4=1,'B Ist'!I15,0)</f>
        <v>19,20</v>
      </c>
      <c r="J24" s="307" t="str">
        <f>IF(Kalk!$B$4=1,'B Ist'!J15,"")</f>
        <v/>
      </c>
      <c r="K24" s="306" t="str">
        <f>IF(OR(Umse!$C$24=0,Umse!$B$11=0),"",IF(Kalk!$B$5=1,'B Ist'!K15,""))</f>
        <v>EG</v>
      </c>
      <c r="L24" s="322">
        <f>IF(OR(Umse!$C$24=0,Umse!$B$11=0),"",IF(Kalk!$B$5=1,'B Ist'!L15,""))</f>
        <v>6</v>
      </c>
      <c r="M24" s="308">
        <f>IF(Kalk!$B$4=1,'B Ist'!M15,0)</f>
        <v>2636</v>
      </c>
      <c r="N24" s="308">
        <f>IF(Kalk!$B$4=1,'B Ist'!N15,0)</f>
        <v>2817.11</v>
      </c>
      <c r="O24" s="308">
        <f>IF(Kalk!$B$4=1,'B Ist'!O15,0)</f>
        <v>2944.11</v>
      </c>
      <c r="P24" s="308">
        <f>IF(Kalk!$B$4=1,'B Ist'!P15,0)</f>
        <v>3069.78</v>
      </c>
      <c r="Q24" s="308">
        <f>IF(Kalk!$B$4=1,'B Ist'!Q15,0)</f>
        <v>3193.22</v>
      </c>
      <c r="R24" s="308">
        <f>IF(Kalk!$B$4=1,'B Ist'!R15,0)</f>
        <v>3256.1</v>
      </c>
    </row>
    <row r="25" spans="2:29" ht="11.25" customHeight="1">
      <c r="B25" s="306" t="str">
        <f t="shared" si="1"/>
        <v>EG</v>
      </c>
      <c r="C25" s="322">
        <f t="shared" si="1"/>
        <v>5</v>
      </c>
      <c r="D25" s="308" t="str">
        <f>IF(Kalk!$B$4=1,'B Ist'!D16,0)</f>
        <v>14,92</v>
      </c>
      <c r="E25" s="308" t="str">
        <f>IF(Kalk!$B$4=1,'B Ist'!E16,0)</f>
        <v>15,96</v>
      </c>
      <c r="F25" s="308" t="str">
        <f>IF(Kalk!$B$4=1,'B Ist'!F16,0)</f>
        <v>16,66</v>
      </c>
      <c r="G25" s="308" t="str">
        <f>IF(Kalk!$B$4=1,'B Ist'!G16,0)</f>
        <v>17,40</v>
      </c>
      <c r="H25" s="308" t="str">
        <f>IF(Kalk!$B$4=1,'B Ist'!H16,0)</f>
        <v>18,09</v>
      </c>
      <c r="I25" s="308" t="str">
        <f>IF(Kalk!$B$4=1,'B Ist'!I16,0)</f>
        <v>18,45</v>
      </c>
      <c r="J25" s="307" t="str">
        <f>IF(Kalk!$B$4=1,'B Ist'!J16,"")</f>
        <v/>
      </c>
      <c r="K25" s="306" t="str">
        <f>IF(OR(Umse!$C$24=0,Umse!$B$11=0),"",IF(Kalk!$B$5=1,'B Ist'!K16,""))</f>
        <v>EG</v>
      </c>
      <c r="L25" s="322">
        <f>IF(OR(Umse!$C$24=0,Umse!$B$11=0),"",IF(Kalk!$B$5=1,'B Ist'!L16,""))</f>
        <v>5</v>
      </c>
      <c r="M25" s="308">
        <f>IF(Kalk!$B$4=1,'B Ist'!M16,0)</f>
        <v>2530.7399999999998</v>
      </c>
      <c r="N25" s="308">
        <f>IF(Kalk!$B$4=1,'B Ist'!N16,0)</f>
        <v>2706.42</v>
      </c>
      <c r="O25" s="308">
        <f>IF(Kalk!$B$4=1,'B Ist'!O16,0)</f>
        <v>2825.08</v>
      </c>
      <c r="P25" s="308">
        <f>IF(Kalk!$B$4=1,'B Ist'!P16,0)</f>
        <v>2950.74</v>
      </c>
      <c r="Q25" s="308">
        <f>IF(Kalk!$B$4=1,'B Ist'!Q16,0)</f>
        <v>3067.5</v>
      </c>
      <c r="R25" s="308">
        <f>IF(Kalk!$B$4=1,'B Ist'!R16,0)</f>
        <v>3127.85</v>
      </c>
    </row>
    <row r="26" spans="2:29" ht="11.25" customHeight="1">
      <c r="B26" s="306" t="str">
        <f t="shared" si="1"/>
        <v>EG</v>
      </c>
      <c r="C26" s="322">
        <f t="shared" si="1"/>
        <v>4</v>
      </c>
      <c r="D26" s="308" t="str">
        <f>IF(Kalk!$B$4=1,'B Ist'!D17,0)</f>
        <v>14,23</v>
      </c>
      <c r="E26" s="308" t="str">
        <f>IF(Kalk!$B$4=1,'B Ist'!E17,0)</f>
        <v>15,28</v>
      </c>
      <c r="F26" s="308" t="str">
        <f>IF(Kalk!$B$4=1,'B Ist'!F17,0)</f>
        <v>16,16</v>
      </c>
      <c r="G26" s="308" t="str">
        <f>IF(Kalk!$B$4=1,'B Ist'!G17,0)</f>
        <v>16,71</v>
      </c>
      <c r="H26" s="308" t="str">
        <f>IF(Kalk!$B$4=1,'B Ist'!H17,0)</f>
        <v>17,25</v>
      </c>
      <c r="I26" s="308" t="str">
        <f>IF(Kalk!$B$4=1,'B Ist'!I17,0)</f>
        <v>17,57</v>
      </c>
      <c r="J26" s="307" t="str">
        <f>IF(Kalk!$B$4=1,'B Ist'!J17,"")</f>
        <v/>
      </c>
      <c r="K26" s="306" t="str">
        <f>IF(OR(Umse!$C$24=0,Umse!$B$11=0),"",IF(Kalk!$B$5=1,'B Ist'!K17,""))</f>
        <v>EG</v>
      </c>
      <c r="L26" s="322">
        <f>IF(OR(Umse!$C$24=0,Umse!$B$11=0),"",IF(Kalk!$B$5=1,'B Ist'!L17,""))</f>
        <v>4</v>
      </c>
      <c r="M26" s="308">
        <f>IF(Kalk!$B$4=1,'B Ist'!M17,0)</f>
        <v>2413.0700000000002</v>
      </c>
      <c r="N26" s="308">
        <f>IF(Kalk!$B$4=1,'B Ist'!N17,0)</f>
        <v>2590.85</v>
      </c>
      <c r="O26" s="308">
        <f>IF(Kalk!$B$4=1,'B Ist'!O17,0)</f>
        <v>2740.02</v>
      </c>
      <c r="P26" s="308">
        <f>IF(Kalk!$B$4=1,'B Ist'!P17,0)</f>
        <v>2832.88</v>
      </c>
      <c r="Q26" s="308">
        <f>IF(Kalk!$B$4=1,'B Ist'!Q17,0)</f>
        <v>2925.73</v>
      </c>
      <c r="R26" s="308">
        <f>IF(Kalk!$B$4=1,'B Ist'!R17,0)</f>
        <v>2980.1</v>
      </c>
      <c r="T26" s="299"/>
      <c r="U26" s="299"/>
      <c r="V26" s="299"/>
    </row>
    <row r="27" spans="2:29" ht="11.25" customHeight="1">
      <c r="B27" s="306" t="str">
        <f t="shared" si="1"/>
        <v>EG</v>
      </c>
      <c r="C27" s="322">
        <f t="shared" si="1"/>
        <v>3</v>
      </c>
      <c r="D27" s="308" t="str">
        <f>IF(Kalk!$B$4=1,'B Ist'!D18,0)</f>
        <v>14,01</v>
      </c>
      <c r="E27" s="308" t="str">
        <f>IF(Kalk!$B$4=1,'B Ist'!E18,0)</f>
        <v>15,14</v>
      </c>
      <c r="F27" s="308" t="str">
        <f>IF(Kalk!$B$4=1,'B Ist'!F18,0)</f>
        <v>15,41</v>
      </c>
      <c r="G27" s="308" t="str">
        <f>IF(Kalk!$B$4=1,'B Ist'!G18,0)</f>
        <v>16,04</v>
      </c>
      <c r="H27" s="308" t="str">
        <f>IF(Kalk!$B$4=1,'B Ist'!H18,0)</f>
        <v>16,51</v>
      </c>
      <c r="I27" s="308" t="str">
        <f>IF(Kalk!$B$4=1,'B Ist'!I18,0)</f>
        <v>16,94</v>
      </c>
      <c r="J27" s="307" t="str">
        <f>IF(Kalk!$B$4=1,'B Ist'!J18,"")</f>
        <v/>
      </c>
      <c r="K27" s="306" t="str">
        <f>IF(OR(Umse!$C$24=0,Umse!$B$11=0),"",IF(Kalk!$B$5=1,'B Ist'!K18,""))</f>
        <v>EG</v>
      </c>
      <c r="L27" s="322">
        <f>IF(OR(Umse!$C$24=0,Umse!$B$11=0),"",IF(Kalk!$B$5=1,'B Ist'!L18,""))</f>
        <v>3</v>
      </c>
      <c r="M27" s="308">
        <f>IF(Kalk!$B$4=1,'B Ist'!M18,0)</f>
        <v>2375.89</v>
      </c>
      <c r="N27" s="308">
        <f>IF(Kalk!$B$4=1,'B Ist'!N18,0)</f>
        <v>2567.08</v>
      </c>
      <c r="O27" s="308">
        <f>IF(Kalk!$B$4=1,'B Ist'!O18,0)</f>
        <v>2613.61</v>
      </c>
      <c r="P27" s="308">
        <f>IF(Kalk!$B$4=1,'B Ist'!P18,0)</f>
        <v>2719.96</v>
      </c>
      <c r="Q27" s="308">
        <f>IF(Kalk!$B$4=1,'B Ist'!Q18,0)</f>
        <v>2799.76</v>
      </c>
      <c r="R27" s="308">
        <f>IF(Kalk!$B$4=1,'B Ist'!R18,0)</f>
        <v>2872.87</v>
      </c>
      <c r="T27" s="299"/>
      <c r="U27" s="299"/>
      <c r="V27" s="299"/>
    </row>
    <row r="28" spans="2:29" ht="11.25" customHeight="1">
      <c r="B28" s="306" t="str">
        <f t="shared" si="1"/>
        <v>EG</v>
      </c>
      <c r="C28" s="322" t="str">
        <f t="shared" si="1"/>
        <v>2Ü</v>
      </c>
      <c r="D28" s="308" t="str">
        <f>IF(Kalk!$B$4=1,'B Ist'!D19,0)</f>
        <v>13,10</v>
      </c>
      <c r="E28" s="308" t="str">
        <f>IF(Kalk!$B$4=1,'B Ist'!E19,0)</f>
        <v>14,41</v>
      </c>
      <c r="F28" s="308" t="str">
        <f>IF(Kalk!$B$4=1,'B Ist'!F19,0)</f>
        <v>14,88</v>
      </c>
      <c r="G28" s="308" t="str">
        <f>IF(Kalk!$B$4=1,'B Ist'!G19,0)</f>
        <v>15,51</v>
      </c>
      <c r="H28" s="308" t="str">
        <f>IF(Kalk!$B$4=1,'B Ist'!H19,0)</f>
        <v>15,94</v>
      </c>
      <c r="I28" s="308" t="str">
        <f>IF(Kalk!$B$4=1,'B Ist'!I19,0)</f>
        <v>16,27</v>
      </c>
      <c r="J28" s="307" t="str">
        <f>IF(Kalk!$B$4=1,'B Ist'!J19,"")</f>
        <v/>
      </c>
      <c r="K28" s="306" t="str">
        <f>IF(OR(Umse!$C$24=0,Umse!$B$11=0),"",IF(Kalk!$B$5=1,'B Ist'!K19,""))</f>
        <v>EG</v>
      </c>
      <c r="L28" s="322" t="str">
        <f>IF(OR(Umse!$C$24=0,Umse!$B$11=0),"",IF(Kalk!$B$5=1,'B Ist'!L19,""))</f>
        <v>2Ü</v>
      </c>
      <c r="M28" s="308">
        <f>IF(Kalk!$B$4=1,'B Ist'!M19,0)</f>
        <v>2221.61</v>
      </c>
      <c r="N28" s="308">
        <f>IF(Kalk!$B$4=1,'B Ist'!N19,0)</f>
        <v>2443.9899999999998</v>
      </c>
      <c r="O28" s="308">
        <f>IF(Kalk!$B$4=1,'B Ist'!O19,0)</f>
        <v>2523.88</v>
      </c>
      <c r="P28" s="308">
        <f>IF(Kalk!$B$4=1,'B Ist'!P19,0)</f>
        <v>2630.4</v>
      </c>
      <c r="Q28" s="308">
        <f>IF(Kalk!$B$4=1,'B Ist'!Q19,0)</f>
        <v>2703.6</v>
      </c>
      <c r="R28" s="308">
        <f>IF(Kalk!$B$4=1,'B Ist'!R19,0)</f>
        <v>2758.23</v>
      </c>
      <c r="T28" s="299"/>
      <c r="U28" s="299"/>
      <c r="V28" s="299"/>
    </row>
    <row r="29" spans="2:29" ht="11.25" customHeight="1">
      <c r="B29" s="306" t="str">
        <f t="shared" si="1"/>
        <v>EG</v>
      </c>
      <c r="C29" s="322">
        <f t="shared" si="1"/>
        <v>2</v>
      </c>
      <c r="D29" s="308" t="str">
        <f>IF(Kalk!$B$4=1,'B Ist'!D20,0)</f>
        <v>12,99</v>
      </c>
      <c r="E29" s="308" t="str">
        <f>IF(Kalk!$B$4=1,'B Ist'!E20,0)</f>
        <v>14,13</v>
      </c>
      <c r="F29" s="308" t="str">
        <f>IF(Kalk!$B$4=1,'B Ist'!F20,0)</f>
        <v>14,41</v>
      </c>
      <c r="G29" s="308" t="str">
        <f>IF(Kalk!$B$4=1,'B Ist'!G20,0)</f>
        <v>14,80</v>
      </c>
      <c r="H29" s="308" t="str">
        <f>IF(Kalk!$B$4=1,'B Ist'!H20,0)</f>
        <v>15,67</v>
      </c>
      <c r="I29" s="308" t="str">
        <f>IF(Kalk!$B$4=1,'B Ist'!I20,0)</f>
        <v>16,58</v>
      </c>
      <c r="J29" s="307"/>
      <c r="K29" s="306" t="str">
        <f>IF(OR(Umse!$C$24=0,Umse!$B$11=0),"",IF(Kalk!$B$5=1,'B Ist'!K20,""))</f>
        <v>EG</v>
      </c>
      <c r="L29" s="322">
        <f>IF(OR(Umse!$C$24=0,Umse!$B$11=0),"",IF(Kalk!$B$5=1,'B Ist'!L20,""))</f>
        <v>2</v>
      </c>
      <c r="M29" s="308">
        <f>IF(Kalk!$B$4=1,'B Ist'!M20,0)</f>
        <v>2202.5100000000002</v>
      </c>
      <c r="N29" s="308">
        <f>IF(Kalk!$B$4=1,'B Ist'!N20,0)</f>
        <v>2396</v>
      </c>
      <c r="O29" s="308">
        <f>IF(Kalk!$B$4=1,'B Ist'!O20,0)</f>
        <v>2442.92</v>
      </c>
      <c r="P29" s="308">
        <f>IF(Kalk!$B$4=1,'B Ist'!P20,0)</f>
        <v>2509.87</v>
      </c>
      <c r="Q29" s="308">
        <f>IF(Kalk!$B$4=1,'B Ist'!Q20,0)</f>
        <v>2657.03</v>
      </c>
      <c r="R29" s="308">
        <f>IF(Kalk!$B$4=1,'B Ist'!R20,0)</f>
        <v>2810.98</v>
      </c>
      <c r="S29" s="299"/>
      <c r="T29" s="299"/>
      <c r="U29" s="299"/>
      <c r="V29" s="299"/>
      <c r="W29" s="309"/>
      <c r="X29" s="299"/>
      <c r="Y29" s="299"/>
      <c r="Z29" s="299"/>
      <c r="AA29" s="299"/>
      <c r="AB29" s="299"/>
      <c r="AC29" s="299"/>
    </row>
    <row r="30" spans="2:29" ht="11.25" customHeight="1">
      <c r="B30" s="306" t="str">
        <f>K30</f>
        <v>EG</v>
      </c>
      <c r="C30" s="322">
        <f>L30</f>
        <v>1</v>
      </c>
      <c r="D30" s="308" t="str">
        <f>IF(Kalk!$B$4=1,'B Ist'!D21,0)</f>
        <v>-</v>
      </c>
      <c r="E30" s="308" t="str">
        <f>IF(Kalk!$B$4=1,'B Ist'!E21,0)</f>
        <v>11,68</v>
      </c>
      <c r="F30" s="308" t="str">
        <f>IF(Kalk!$B$4=1,'B Ist'!F21,0)</f>
        <v>11,87</v>
      </c>
      <c r="G30" s="308" t="str">
        <f>IF(Kalk!$B$4=1,'B Ist'!G21,0)</f>
        <v>12,11</v>
      </c>
      <c r="H30" s="308" t="str">
        <f>IF(Kalk!$B$4=1,'B Ist'!H21,0)</f>
        <v>12,34</v>
      </c>
      <c r="I30" s="308" t="str">
        <f>IF(Kalk!$B$4=1,'B Ist'!I21,0)</f>
        <v>12,92</v>
      </c>
      <c r="J30" s="307"/>
      <c r="K30" s="306" t="str">
        <f>IF(OR(Umse!$C$24=0,Umse!$B$11=0),"",IF(Kalk!$B$5=1,'B Ist'!K21,""))</f>
        <v>EG</v>
      </c>
      <c r="L30" s="322">
        <f>IF(OR(Umse!$C$24=0,Umse!$B$11=0),"",IF(Kalk!$B$5=1,'B Ist'!L21,""))</f>
        <v>1</v>
      </c>
      <c r="M30" s="308" t="str">
        <f>IF(Kalk!$B$4=1,'B Ist'!M21,0)</f>
        <v>-</v>
      </c>
      <c r="N30" s="308">
        <f>IF(Kalk!$B$4=1,'B Ist'!N21,0)</f>
        <v>1979.88</v>
      </c>
      <c r="O30" s="308">
        <f>IF(Kalk!$B$4=1,'B Ist'!O21,0)</f>
        <v>2012.63</v>
      </c>
      <c r="P30" s="308">
        <f>IF(Kalk!$B$4=1,'B Ist'!P21,0)</f>
        <v>2053.59</v>
      </c>
      <c r="Q30" s="308">
        <f>IF(Kalk!$B$4=1,'B Ist'!Q21,0)</f>
        <v>2091.77</v>
      </c>
      <c r="R30" s="308">
        <f>IF(Kalk!$B$4=1,'B Ist'!R21,0)</f>
        <v>2190.0500000000002</v>
      </c>
      <c r="S30" s="299"/>
      <c r="T30" s="299"/>
      <c r="U30" s="299"/>
      <c r="V30" s="299"/>
      <c r="W30" s="309"/>
      <c r="X30" s="299"/>
      <c r="Y30" s="299"/>
      <c r="Z30" s="299"/>
      <c r="AA30" s="299"/>
      <c r="AB30" s="299"/>
      <c r="AC30" s="299"/>
    </row>
    <row r="31" spans="2:29" ht="11.25" customHeight="1">
      <c r="B31" s="306"/>
      <c r="C31" s="306"/>
      <c r="D31" s="308"/>
      <c r="E31" s="308"/>
      <c r="F31" s="308"/>
      <c r="G31" s="308"/>
      <c r="H31" s="308"/>
      <c r="I31" s="308"/>
      <c r="J31" s="307"/>
      <c r="K31" s="306"/>
      <c r="L31" s="306"/>
      <c r="M31" s="308"/>
      <c r="N31" s="308"/>
      <c r="O31" s="308"/>
      <c r="P31" s="308"/>
      <c r="Q31" s="308"/>
      <c r="R31" s="308"/>
      <c r="S31" s="299"/>
      <c r="T31" s="299"/>
      <c r="U31" s="299"/>
      <c r="V31" s="299"/>
      <c r="W31" s="309"/>
      <c r="X31" s="299"/>
      <c r="Y31" s="299"/>
      <c r="Z31" s="299"/>
      <c r="AA31" s="299"/>
      <c r="AB31" s="299"/>
      <c r="AC31" s="299"/>
    </row>
    <row r="32" spans="2:29" ht="11.25" customHeight="1">
      <c r="B32" s="306"/>
      <c r="C32" s="306"/>
      <c r="D32" s="308"/>
      <c r="E32" s="308"/>
      <c r="F32" s="308"/>
      <c r="G32" s="308"/>
      <c r="H32" s="308"/>
      <c r="I32" s="308"/>
      <c r="J32" s="307"/>
      <c r="K32" s="306"/>
      <c r="L32" s="306"/>
      <c r="M32" s="308"/>
      <c r="N32" s="308"/>
      <c r="O32" s="308"/>
      <c r="P32" s="308"/>
      <c r="Q32" s="308"/>
      <c r="R32" s="308"/>
      <c r="S32" s="299"/>
      <c r="T32" s="299"/>
      <c r="U32" s="299"/>
      <c r="V32" s="299"/>
      <c r="W32" s="309"/>
      <c r="X32" s="299"/>
      <c r="Y32" s="299"/>
      <c r="Z32" s="299"/>
      <c r="AA32" s="299"/>
      <c r="AB32" s="299"/>
      <c r="AC32" s="299"/>
    </row>
    <row r="33" spans="2:29" ht="11.25" customHeight="1">
      <c r="B33" s="306"/>
      <c r="C33" s="306"/>
      <c r="D33" s="308"/>
      <c r="E33" s="308"/>
      <c r="F33" s="308"/>
      <c r="G33" s="308"/>
      <c r="H33" s="308"/>
      <c r="I33" s="308"/>
      <c r="J33" s="307"/>
      <c r="K33" s="306"/>
      <c r="L33" s="306"/>
      <c r="M33" s="308"/>
      <c r="N33" s="308"/>
      <c r="O33" s="308"/>
      <c r="P33" s="308"/>
      <c r="Q33" s="308"/>
      <c r="R33" s="308"/>
      <c r="S33" s="299"/>
      <c r="T33" s="299"/>
      <c r="U33" s="299"/>
      <c r="V33" s="299"/>
      <c r="W33" s="309"/>
      <c r="X33" s="299"/>
      <c r="Y33" s="299"/>
      <c r="Z33" s="299"/>
      <c r="AA33" s="299"/>
      <c r="AB33" s="299"/>
      <c r="AC33" s="299"/>
    </row>
    <row r="34" spans="2:29" ht="3.75" customHeight="1">
      <c r="S34" s="299"/>
      <c r="T34" s="299"/>
      <c r="U34" s="299"/>
      <c r="V34" s="299"/>
      <c r="W34" s="309"/>
      <c r="X34" s="299"/>
      <c r="Y34" s="299"/>
      <c r="Z34" s="299"/>
      <c r="AA34" s="299"/>
      <c r="AB34" s="299"/>
      <c r="AC34" s="299"/>
    </row>
    <row r="35" spans="2:29" ht="12.75" customHeight="1">
      <c r="B35" s="669" t="str">
        <f>K10</f>
        <v>TVöD ( Bund )</v>
      </c>
      <c r="C35" s="670"/>
      <c r="D35" s="670"/>
      <c r="E35" s="673" t="str">
        <f>IF(Kalk!B5=1,'B Ist'!D22,"")</f>
        <v>Zeitzuschläge</v>
      </c>
      <c r="F35" s="673"/>
      <c r="G35" s="673"/>
      <c r="H35" s="661" t="str">
        <f>IF(OR(Umse!$B$11="1.2.",Umse!$B$11="1.3."),Umse!B62,H10)</f>
        <v>Stand 1.04.2021</v>
      </c>
      <c r="I35" s="662"/>
      <c r="J35" s="307"/>
      <c r="K35" s="310"/>
      <c r="L35" s="311"/>
      <c r="M35" s="312"/>
      <c r="N35" s="312"/>
      <c r="O35" s="312"/>
      <c r="P35" s="312"/>
      <c r="Q35" s="312"/>
      <c r="R35" s="313"/>
      <c r="S35" s="299"/>
      <c r="T35" s="299"/>
      <c r="U35" s="299"/>
      <c r="V35" s="299"/>
      <c r="W35" s="309"/>
      <c r="X35" s="299"/>
      <c r="Y35" s="299"/>
      <c r="Z35" s="299"/>
      <c r="AA35" s="299"/>
      <c r="AB35" s="299"/>
      <c r="AC35" s="299"/>
    </row>
    <row r="36" spans="2:29" ht="12.75" customHeight="1">
      <c r="B36" s="674" t="str">
        <f>IF(OR(Umse!$C$24=0,Umse!$B$11=0),"",IF(Kalk!$B$5=1,'B Ist'!B23,""))</f>
        <v>Zeitzuschläge in  %  vom
Stundenentgelt in Stufe 3</v>
      </c>
      <c r="C36" s="675"/>
      <c r="D36" s="671" t="str">
        <f>IF(OR(Umse!$C$24=0,Umse!$B$11=0),"",IF(Kalk!$B$5=1,'B Ist'!D23,""))</f>
        <v>Überstunde in EG 1 - 9b
Überstunde in EG 9c - 15</v>
      </c>
      <c r="E36" s="671" t="str">
        <f>IF(OR(Umse!$C$24=0,Umse!$B$11=0),"",IF(Kalk!$B$5=1,'B Ist'!E23,""))</f>
        <v>Nachtarbeit ( 21 - 06 Uhr )
Samstagsarbeit ( 13 - 21 Uhr )</v>
      </c>
      <c r="F36" s="671" t="str">
        <f>IF(OR(Umse!$C$24=0,Umse!$B$11=0),"",IF(Kalk!$B$5=1,'B Ist'!F23,""))</f>
        <v>Sonntagsarbeit</v>
      </c>
      <c r="G36" s="671" t="str">
        <f>IF(OR(Umse!$C$24=0,Umse!$B$11=0),"",IF(Kalk!$B$5=1,'B Ist'!G23,""))</f>
        <v>Feiertagsarbeit
mit Freizeitausgeich</v>
      </c>
      <c r="H36" s="671" t="str">
        <f>IF(OR(Umse!$C$24=0,Umse!$B$11=0),"",IF(Kalk!$B$5=1,'B Ist'!H23,""))</f>
        <v>Feiertagsarbeit
ohne Freizeitausgleich</v>
      </c>
      <c r="I36" s="671" t="str">
        <f>IF(OR(Umse!$C$24=0,Umse!$B$11=0),"",IF(Kalk!$B$5=1,'B Ist'!I23,""))</f>
        <v>Arbeit am 24. / 31.12.
( ab 06 Uhr )</v>
      </c>
      <c r="J36" s="307"/>
      <c r="K36" s="668"/>
      <c r="L36" s="668"/>
      <c r="M36" s="668"/>
      <c r="N36" s="668"/>
      <c r="O36" s="668"/>
      <c r="P36" s="668"/>
      <c r="Q36" s="668"/>
      <c r="R36" s="668"/>
      <c r="S36" s="299"/>
      <c r="T36" s="299"/>
      <c r="U36" s="299"/>
      <c r="V36" s="299"/>
      <c r="W36" s="309"/>
      <c r="X36" s="299"/>
      <c r="Y36" s="299"/>
      <c r="Z36" s="299"/>
      <c r="AA36" s="299"/>
      <c r="AB36" s="299"/>
      <c r="AC36" s="299"/>
    </row>
    <row r="37" spans="2:29" ht="12.75" customHeight="1">
      <c r="B37" s="672"/>
      <c r="C37" s="676"/>
      <c r="D37" s="672"/>
      <c r="E37" s="672"/>
      <c r="F37" s="672"/>
      <c r="G37" s="672"/>
      <c r="H37" s="672"/>
      <c r="I37" s="672"/>
      <c r="J37" s="307"/>
      <c r="K37" s="668"/>
      <c r="L37" s="668"/>
      <c r="M37" s="668"/>
      <c r="N37" s="668"/>
      <c r="O37" s="668"/>
      <c r="P37" s="668"/>
      <c r="Q37" s="668"/>
      <c r="R37" s="668"/>
      <c r="S37" s="299"/>
      <c r="T37" s="299"/>
      <c r="U37" s="299"/>
      <c r="V37" s="299"/>
      <c r="W37" s="309"/>
      <c r="X37" s="299"/>
      <c r="Y37" s="299"/>
      <c r="Z37" s="299"/>
      <c r="AA37" s="299"/>
      <c r="AB37" s="299"/>
      <c r="AC37" s="299"/>
    </row>
    <row r="38" spans="2:29" ht="12.75" customHeight="1">
      <c r="B38" s="672"/>
      <c r="C38" s="676"/>
      <c r="D38" s="672"/>
      <c r="E38" s="672"/>
      <c r="F38" s="672"/>
      <c r="G38" s="672"/>
      <c r="H38" s="672"/>
      <c r="I38" s="672"/>
      <c r="J38" s="307"/>
      <c r="K38" s="668"/>
      <c r="L38" s="668"/>
      <c r="M38" s="668"/>
      <c r="N38" s="668"/>
      <c r="O38" s="668"/>
      <c r="P38" s="668"/>
      <c r="Q38" s="668"/>
      <c r="R38" s="668"/>
      <c r="S38" s="299"/>
      <c r="T38" s="299"/>
      <c r="U38" s="299"/>
      <c r="V38" s="299"/>
      <c r="W38" s="309"/>
      <c r="X38" s="299"/>
      <c r="Y38" s="299"/>
      <c r="Z38" s="299"/>
      <c r="AA38" s="299"/>
      <c r="AB38" s="299"/>
      <c r="AC38" s="299"/>
    </row>
    <row r="39" spans="2:29" ht="12.75" customHeight="1">
      <c r="B39" s="672"/>
      <c r="C39" s="676"/>
      <c r="D39" s="672"/>
      <c r="E39" s="672"/>
      <c r="F39" s="672"/>
      <c r="G39" s="672"/>
      <c r="H39" s="672"/>
      <c r="I39" s="672"/>
      <c r="J39" s="307"/>
      <c r="K39" s="668"/>
      <c r="L39" s="668"/>
      <c r="M39" s="668"/>
      <c r="N39" s="668"/>
      <c r="O39" s="668"/>
      <c r="P39" s="668"/>
      <c r="Q39" s="668"/>
      <c r="R39" s="668"/>
      <c r="S39" s="299"/>
      <c r="T39" s="299"/>
      <c r="U39" s="299"/>
      <c r="V39" s="299"/>
      <c r="W39" s="299"/>
      <c r="X39" s="299"/>
      <c r="Y39" s="299"/>
      <c r="Z39" s="299"/>
      <c r="AA39" s="299"/>
      <c r="AB39" s="299"/>
      <c r="AC39" s="299"/>
    </row>
    <row r="40" spans="2:29" ht="12.75" customHeight="1">
      <c r="B40" s="672"/>
      <c r="C40" s="676"/>
      <c r="D40" s="672"/>
      <c r="E40" s="672"/>
      <c r="F40" s="672"/>
      <c r="G40" s="672"/>
      <c r="H40" s="672"/>
      <c r="I40" s="672"/>
      <c r="J40" s="307"/>
      <c r="K40" s="668"/>
      <c r="L40" s="668"/>
      <c r="M40" s="668"/>
      <c r="N40" s="668"/>
      <c r="O40" s="668"/>
      <c r="P40" s="668"/>
      <c r="Q40" s="668"/>
      <c r="R40" s="668"/>
      <c r="S40" s="299"/>
      <c r="T40" s="299"/>
      <c r="U40" s="299"/>
      <c r="V40" s="299"/>
      <c r="W40" s="299"/>
      <c r="X40" s="299"/>
      <c r="Y40" s="299"/>
      <c r="Z40" s="299"/>
      <c r="AA40" s="299"/>
      <c r="AB40" s="299"/>
      <c r="AC40" s="299"/>
    </row>
    <row r="41" spans="2:29" ht="12.75" customHeight="1">
      <c r="B41" s="672"/>
      <c r="C41" s="676"/>
      <c r="D41" s="672"/>
      <c r="E41" s="672"/>
      <c r="F41" s="672"/>
      <c r="G41" s="672"/>
      <c r="H41" s="672"/>
      <c r="I41" s="672"/>
      <c r="J41" s="307"/>
      <c r="K41" s="668"/>
      <c r="L41" s="668"/>
      <c r="M41" s="668"/>
      <c r="N41" s="668"/>
      <c r="O41" s="668"/>
      <c r="P41" s="668"/>
      <c r="Q41" s="668"/>
      <c r="R41" s="668"/>
      <c r="S41" s="299"/>
      <c r="W41" s="299"/>
      <c r="X41" s="299"/>
      <c r="Y41" s="299"/>
      <c r="Z41" s="299"/>
      <c r="AA41" s="299"/>
      <c r="AB41" s="299"/>
      <c r="AC41" s="299"/>
    </row>
    <row r="42" spans="2:29" ht="12.75" customHeight="1">
      <c r="B42" s="672"/>
      <c r="C42" s="676"/>
      <c r="D42" s="672"/>
      <c r="E42" s="672"/>
      <c r="F42" s="672"/>
      <c r="G42" s="672"/>
      <c r="H42" s="672"/>
      <c r="I42" s="672"/>
      <c r="J42" s="307"/>
      <c r="K42" s="668"/>
      <c r="L42" s="668"/>
      <c r="M42" s="668"/>
      <c r="N42" s="668"/>
      <c r="O42" s="668"/>
      <c r="P42" s="668"/>
      <c r="Q42" s="668"/>
      <c r="R42" s="668"/>
      <c r="S42" s="299"/>
      <c r="W42" s="299"/>
      <c r="X42" s="299"/>
      <c r="Y42" s="299"/>
      <c r="Z42" s="299"/>
      <c r="AA42" s="299"/>
      <c r="AB42" s="299"/>
      <c r="AC42" s="299"/>
    </row>
    <row r="43" spans="2:29" ht="12.75" customHeight="1">
      <c r="B43" s="672"/>
      <c r="C43" s="676"/>
      <c r="D43" s="672"/>
      <c r="E43" s="672"/>
      <c r="F43" s="672"/>
      <c r="G43" s="672"/>
      <c r="H43" s="672"/>
      <c r="I43" s="672"/>
      <c r="J43" s="307"/>
      <c r="K43" s="299"/>
      <c r="L43" s="299"/>
      <c r="M43" s="299"/>
      <c r="N43" s="299"/>
      <c r="O43" s="299"/>
      <c r="P43" s="299"/>
      <c r="Q43" s="299"/>
      <c r="R43" s="299"/>
      <c r="S43" s="299"/>
      <c r="W43" s="299"/>
      <c r="X43" s="299"/>
      <c r="Y43" s="299"/>
      <c r="Z43" s="299"/>
      <c r="AA43" s="299"/>
      <c r="AB43" s="299"/>
      <c r="AC43" s="299"/>
    </row>
    <row r="44" spans="2:29" ht="11.25" customHeight="1">
      <c r="B44" s="672"/>
      <c r="C44" s="676"/>
      <c r="D44" s="672"/>
      <c r="E44" s="672"/>
      <c r="F44" s="672"/>
      <c r="G44" s="672"/>
      <c r="H44" s="672"/>
      <c r="I44" s="672"/>
      <c r="J44" s="307"/>
    </row>
    <row r="45" spans="2:29" ht="12.75" customHeight="1">
      <c r="B45" s="672"/>
      <c r="C45" s="676"/>
      <c r="D45" s="672"/>
      <c r="E45" s="672"/>
      <c r="F45" s="672"/>
      <c r="G45" s="672"/>
      <c r="H45" s="672"/>
      <c r="I45" s="672"/>
      <c r="J45" s="307"/>
      <c r="K45" s="669" t="str">
        <f>K10</f>
        <v>TVöD ( Bund )</v>
      </c>
      <c r="L45" s="670"/>
      <c r="M45" s="670"/>
      <c r="N45" s="673" t="str">
        <f>IF(Kalk!B5=1,'B Ist'!M32,"")</f>
        <v>Überstundenentgelt</v>
      </c>
      <c r="O45" s="673"/>
      <c r="P45" s="673"/>
      <c r="Q45" s="661" t="str">
        <f>H35</f>
        <v>Stand 1.04.2021</v>
      </c>
      <c r="R45" s="662"/>
    </row>
    <row r="46" spans="2:29" ht="22.5" customHeight="1">
      <c r="B46" s="302" t="str">
        <f>IF(OR(Umse!$C$24=0,Umse!$B$11=0),"",IF(Kalk!$B$5=1,'B Ist'!B33,""))</f>
        <v xml:space="preserve">    Entgeltgruppe</v>
      </c>
      <c r="C46" s="306"/>
      <c r="D46" s="314" t="str">
        <f>IF(OR(Umse!$C$24=0,Umse!$B$11=0),"",IF(Kalk!$B$5=1,'B Ist'!D33,""))</f>
        <v>30%
15%</v>
      </c>
      <c r="E46" s="314">
        <f>IF(OR(Umse!$C$24=0,Umse!$B$11=0),"",IF(Kalk!$B$5=1,'B Ist'!E33,""))</f>
        <v>0.2</v>
      </c>
      <c r="F46" s="315">
        <f>IF(OR(Umse!$C$24=0,Umse!$B$11=0),"",IF(Kalk!$B$5=1,'B Ist'!F33,""))</f>
        <v>0.25</v>
      </c>
      <c r="G46" s="315">
        <f>IF(OR(Umse!$C$24=0,Umse!$B$11=0),"",IF(Kalk!$B$5=1,'B Ist'!G33,""))</f>
        <v>0.35</v>
      </c>
      <c r="H46" s="315">
        <f>IF(OR(Umse!$C$24=0,Umse!$B$11=0),"",IF(Kalk!$B$5=1,'B Ist'!H33,""))</f>
        <v>1.35</v>
      </c>
      <c r="I46" s="315">
        <f>IF(OR(Umse!$C$24=0,Umse!$B$11=0),"",IF(Kalk!$B$5=1,'B Ist'!I33,""))</f>
        <v>0.35</v>
      </c>
      <c r="J46" s="307"/>
      <c r="K46" s="302" t="str">
        <f>K11</f>
        <v xml:space="preserve">    Entgeltgruppe</v>
      </c>
      <c r="L46" s="306"/>
      <c r="M46" s="306" t="str">
        <f t="shared" ref="M46:R46" si="2">M11</f>
        <v>Stufe 1</v>
      </c>
      <c r="N46" s="306" t="str">
        <f t="shared" si="2"/>
        <v>Stufe 2</v>
      </c>
      <c r="O46" s="306" t="str">
        <f t="shared" si="2"/>
        <v>Stufe 3</v>
      </c>
      <c r="P46" s="306" t="str">
        <f t="shared" si="2"/>
        <v>Stufe 4</v>
      </c>
      <c r="Q46" s="306" t="str">
        <f t="shared" si="2"/>
        <v>Stufe 5</v>
      </c>
      <c r="R46" s="306" t="str">
        <f t="shared" si="2"/>
        <v>Stufe 6</v>
      </c>
      <c r="S46" s="307"/>
    </row>
    <row r="47" spans="2:29" ht="11.25" customHeight="1">
      <c r="B47" s="306" t="str">
        <f>K12</f>
        <v>EG</v>
      </c>
      <c r="C47" s="322" t="str">
        <f>L12</f>
        <v>15Ü</v>
      </c>
      <c r="D47" s="308">
        <f>IF(Kalk!$B$4=1,'B Ist'!D34,0)</f>
        <v>6.46</v>
      </c>
      <c r="E47" s="308">
        <f>IF(Kalk!$B$4=1,'B Ist'!E34,0)</f>
        <v>8.61</v>
      </c>
      <c r="F47" s="308">
        <f>IF(Kalk!$B$4=1,'B Ist'!F34,0)</f>
        <v>10.76</v>
      </c>
      <c r="G47" s="308">
        <f>IF(Kalk!$B$4=1,'B Ist'!G34,0)</f>
        <v>15.07</v>
      </c>
      <c r="H47" s="308">
        <f>IF(Kalk!$B$4=1,'B Ist'!H34,0)</f>
        <v>58.12</v>
      </c>
      <c r="I47" s="308">
        <f>IF(Kalk!$B$4=1,'B Ist'!I34,0)</f>
        <v>15.07</v>
      </c>
      <c r="J47" s="307"/>
      <c r="K47" s="306" t="str">
        <f>K12</f>
        <v>EG</v>
      </c>
      <c r="L47" s="322" t="str">
        <f>L12</f>
        <v>15Ü</v>
      </c>
      <c r="M47" s="308">
        <f>IF(Kalk!$B$4=1,'B Ist'!M34,0)</f>
        <v>41.93</v>
      </c>
      <c r="N47" s="308">
        <f>IF(Kalk!$B$4=1,'B Ist'!N34,0)</f>
        <v>45.82</v>
      </c>
      <c r="O47" s="308">
        <f>IF(Kalk!$B$4=1,'B Ist'!O34,0)</f>
        <v>49.51</v>
      </c>
      <c r="P47" s="308">
        <f>IF(Kalk!$B$4=1,'B Ist'!P34,0)</f>
        <v>51.97</v>
      </c>
      <c r="Q47" s="308">
        <f>IF(Kalk!$B$4=1,'B Ist'!Q34,0)</f>
        <v>51.97</v>
      </c>
      <c r="R47" s="308" t="str">
        <f>IF(Kalk!$B$4=1,'B Ist'!R34,0)</f>
        <v>-</v>
      </c>
    </row>
    <row r="48" spans="2:29" ht="11.25" customHeight="1">
      <c r="B48" s="306" t="str">
        <f t="shared" ref="B48:B64" si="3">K13</f>
        <v>EG</v>
      </c>
      <c r="C48" s="322">
        <f t="shared" ref="C48:C64" si="4">L13</f>
        <v>15</v>
      </c>
      <c r="D48" s="308">
        <f>IF(Kalk!$B$4=1,'B Ist'!D35,0)</f>
        <v>4.99</v>
      </c>
      <c r="E48" s="308">
        <f>IF(Kalk!$B$4=1,'B Ist'!E35,0)</f>
        <v>6.65</v>
      </c>
      <c r="F48" s="308">
        <f>IF(Kalk!$B$4=1,'B Ist'!F35,0)</f>
        <v>8.31</v>
      </c>
      <c r="G48" s="308">
        <f>IF(Kalk!$B$4=1,'B Ist'!G35,0)</f>
        <v>11.63</v>
      </c>
      <c r="H48" s="308">
        <f>IF(Kalk!$B$4=1,'B Ist'!H35,0)</f>
        <v>44.87</v>
      </c>
      <c r="I48" s="308">
        <f>IF(Kalk!$B$4=1,'B Ist'!I35,0)</f>
        <v>11.63</v>
      </c>
      <c r="J48" s="307"/>
      <c r="K48" s="306" t="str">
        <f t="shared" ref="K48:L65" si="5">K13</f>
        <v>EG</v>
      </c>
      <c r="L48" s="322">
        <f t="shared" si="5"/>
        <v>15</v>
      </c>
      <c r="M48" s="308">
        <f>IF(Kalk!$B$4=1,'B Ist'!M35,0)</f>
        <v>34.049999999999997</v>
      </c>
      <c r="N48" s="308">
        <f>IF(Kalk!$B$4=1,'B Ist'!N35,0)</f>
        <v>36.03</v>
      </c>
      <c r="O48" s="308">
        <f>IF(Kalk!$B$4=1,'B Ist'!O35,0)</f>
        <v>38.230000000000004</v>
      </c>
      <c r="P48" s="308">
        <f>IF(Kalk!$B$4=1,'B Ist'!P35,0)</f>
        <v>41.24</v>
      </c>
      <c r="Q48" s="308">
        <f>IF(Kalk!$B$4=1,'B Ist'!Q35,0)</f>
        <v>41.24</v>
      </c>
      <c r="R48" s="308">
        <f>IF(Kalk!$B$4=1,'B Ist'!R35,0)</f>
        <v>41.24</v>
      </c>
    </row>
    <row r="49" spans="2:18" ht="11.25" customHeight="1">
      <c r="B49" s="306" t="str">
        <f t="shared" si="3"/>
        <v>EG</v>
      </c>
      <c r="C49" s="322">
        <f t="shared" si="4"/>
        <v>14</v>
      </c>
      <c r="D49" s="308">
        <f>IF(Kalk!$B$4=1,'B Ist'!D36,0)</f>
        <v>4.57</v>
      </c>
      <c r="E49" s="308">
        <f>IF(Kalk!$B$4=1,'B Ist'!E36,0)</f>
        <v>6.09</v>
      </c>
      <c r="F49" s="308">
        <f>IF(Kalk!$B$4=1,'B Ist'!F36,0)</f>
        <v>7.61</v>
      </c>
      <c r="G49" s="308">
        <f>IF(Kalk!$B$4=1,'B Ist'!G36,0)</f>
        <v>10.65</v>
      </c>
      <c r="H49" s="308">
        <f>IF(Kalk!$B$4=1,'B Ist'!H36,0)</f>
        <v>41.09</v>
      </c>
      <c r="I49" s="308">
        <f>IF(Kalk!$B$4=1,'B Ist'!I36,0)</f>
        <v>10.65</v>
      </c>
      <c r="J49" s="307"/>
      <c r="K49" s="306" t="str">
        <f t="shared" si="5"/>
        <v>EG</v>
      </c>
      <c r="L49" s="322">
        <f t="shared" si="5"/>
        <v>14</v>
      </c>
      <c r="M49" s="308">
        <f>IF(Kalk!$B$4=1,'B Ist'!M36,0)</f>
        <v>30.89</v>
      </c>
      <c r="N49" s="308">
        <f>IF(Kalk!$B$4=1,'B Ist'!N36,0)</f>
        <v>32.68</v>
      </c>
      <c r="O49" s="308">
        <f>IF(Kalk!$B$4=1,'B Ist'!O36,0)</f>
        <v>35.010000000000005</v>
      </c>
      <c r="P49" s="308">
        <f>IF(Kalk!$B$4=1,'B Ist'!P36,0)</f>
        <v>37.61</v>
      </c>
      <c r="Q49" s="308">
        <f>IF(Kalk!$B$4=1,'B Ist'!Q36,0)</f>
        <v>37.61</v>
      </c>
      <c r="R49" s="308">
        <f>IF(Kalk!$B$4=1,'B Ist'!R36,0)</f>
        <v>37.61</v>
      </c>
    </row>
    <row r="50" spans="2:18" ht="11.25" customHeight="1">
      <c r="B50" s="306" t="str">
        <f t="shared" si="3"/>
        <v>EG</v>
      </c>
      <c r="C50" s="322">
        <f t="shared" si="4"/>
        <v>13</v>
      </c>
      <c r="D50" s="308">
        <f>IF(Kalk!$B$4=1,'B Ist'!D37,0)</f>
        <v>4.2699999999999996</v>
      </c>
      <c r="E50" s="308">
        <f>IF(Kalk!$B$4=1,'B Ist'!E37,0)</f>
        <v>5.69</v>
      </c>
      <c r="F50" s="308">
        <f>IF(Kalk!$B$4=1,'B Ist'!F37,0)</f>
        <v>7.11</v>
      </c>
      <c r="G50" s="308">
        <f>IF(Kalk!$B$4=1,'B Ist'!G37,0)</f>
        <v>9.9600000000000009</v>
      </c>
      <c r="H50" s="308">
        <f>IF(Kalk!$B$4=1,'B Ist'!H37,0)</f>
        <v>38.409999999999997</v>
      </c>
      <c r="I50" s="308">
        <f>IF(Kalk!$B$4=1,'B Ist'!I37,0)</f>
        <v>9.9600000000000009</v>
      </c>
      <c r="J50" s="307"/>
      <c r="K50" s="306" t="str">
        <f t="shared" si="5"/>
        <v>EG</v>
      </c>
      <c r="L50" s="322">
        <f t="shared" si="5"/>
        <v>13</v>
      </c>
      <c r="M50" s="308">
        <f>IF(Kalk!$B$4=1,'B Ist'!M37,0)</f>
        <v>28.53</v>
      </c>
      <c r="N50" s="308">
        <f>IF(Kalk!$B$4=1,'B Ist'!N37,0)</f>
        <v>30.49</v>
      </c>
      <c r="O50" s="308">
        <f>IF(Kalk!$B$4=1,'B Ist'!O37,0)</f>
        <v>32.72</v>
      </c>
      <c r="P50" s="308">
        <f>IF(Kalk!$B$4=1,'B Ist'!P37,0)</f>
        <v>35.15</v>
      </c>
      <c r="Q50" s="308">
        <f>IF(Kalk!$B$4=1,'B Ist'!Q37,0)</f>
        <v>35.15</v>
      </c>
      <c r="R50" s="308">
        <f>IF(Kalk!$B$4=1,'B Ist'!R37,0)</f>
        <v>35.15</v>
      </c>
    </row>
    <row r="51" spans="2:18" ht="11.25" customHeight="1">
      <c r="B51" s="306" t="str">
        <f t="shared" si="3"/>
        <v>EG</v>
      </c>
      <c r="C51" s="322">
        <f t="shared" si="4"/>
        <v>12</v>
      </c>
      <c r="D51" s="308">
        <f>IF(Kalk!$B$4=1,'B Ist'!D38,0)</f>
        <v>3.99</v>
      </c>
      <c r="E51" s="308">
        <f>IF(Kalk!$B$4=1,'B Ist'!E38,0)</f>
        <v>5.33</v>
      </c>
      <c r="F51" s="308">
        <f>IF(Kalk!$B$4=1,'B Ist'!F38,0)</f>
        <v>6.66</v>
      </c>
      <c r="G51" s="308">
        <f>IF(Kalk!$B$4=1,'B Ist'!G38,0)</f>
        <v>9.32</v>
      </c>
      <c r="H51" s="308">
        <f>IF(Kalk!$B$4=1,'B Ist'!H38,0)</f>
        <v>35.950000000000003</v>
      </c>
      <c r="I51" s="308">
        <f>IF(Kalk!$B$4=1,'B Ist'!I38,0)</f>
        <v>9.32</v>
      </c>
      <c r="J51" s="307"/>
      <c r="K51" s="306" t="str">
        <f t="shared" si="5"/>
        <v>EG</v>
      </c>
      <c r="L51" s="322">
        <f t="shared" si="5"/>
        <v>12</v>
      </c>
      <c r="M51" s="308">
        <f>IF(Kalk!$B$4=1,'B Ist'!M38,0)</f>
        <v>25.729999999999997</v>
      </c>
      <c r="N51" s="308">
        <f>IF(Kalk!$B$4=1,'B Ist'!N38,0)</f>
        <v>27.990000000000002</v>
      </c>
      <c r="O51" s="308">
        <f>IF(Kalk!$B$4=1,'B Ist'!O38,0)</f>
        <v>30.619999999999997</v>
      </c>
      <c r="P51" s="308">
        <f>IF(Kalk!$B$4=1,'B Ist'!P38,0)</f>
        <v>33.549999999999997</v>
      </c>
      <c r="Q51" s="308">
        <f>IF(Kalk!$B$4=1,'B Ist'!Q38,0)</f>
        <v>33.549999999999997</v>
      </c>
      <c r="R51" s="308">
        <f>IF(Kalk!$B$4=1,'B Ist'!R38,0)</f>
        <v>33.549999999999997</v>
      </c>
    </row>
    <row r="52" spans="2:18" ht="11.25" customHeight="1">
      <c r="B52" s="306" t="str">
        <f t="shared" si="3"/>
        <v>EG</v>
      </c>
      <c r="C52" s="322">
        <f t="shared" si="4"/>
        <v>11</v>
      </c>
      <c r="D52" s="308">
        <f>IF(Kalk!$B$4=1,'B Ist'!D39,0)</f>
        <v>3.75</v>
      </c>
      <c r="E52" s="308">
        <f>IF(Kalk!$B$4=1,'B Ist'!E39,0)</f>
        <v>5</v>
      </c>
      <c r="F52" s="308">
        <f>IF(Kalk!$B$4=1,'B Ist'!F39,0)</f>
        <v>6.25</v>
      </c>
      <c r="G52" s="308">
        <f>IF(Kalk!$B$4=1,'B Ist'!G39,0)</f>
        <v>8.75</v>
      </c>
      <c r="H52" s="308">
        <f>IF(Kalk!$B$4=1,'B Ist'!H39,0)</f>
        <v>33.76</v>
      </c>
      <c r="I52" s="308">
        <f>IF(Kalk!$B$4=1,'B Ist'!I39,0)</f>
        <v>8.75</v>
      </c>
      <c r="J52" s="307"/>
      <c r="K52" s="306" t="str">
        <f t="shared" si="5"/>
        <v>EG</v>
      </c>
      <c r="L52" s="322">
        <f t="shared" si="5"/>
        <v>11</v>
      </c>
      <c r="M52" s="308">
        <f>IF(Kalk!$B$4=1,'B Ist'!M39,0)</f>
        <v>24.73</v>
      </c>
      <c r="N52" s="308">
        <f>IF(Kalk!$B$4=1,'B Ist'!N39,0)</f>
        <v>26.81</v>
      </c>
      <c r="O52" s="308">
        <f>IF(Kalk!$B$4=1,'B Ist'!O39,0)</f>
        <v>28.76</v>
      </c>
      <c r="P52" s="308">
        <f>IF(Kalk!$B$4=1,'B Ist'!P39,0)</f>
        <v>30.88</v>
      </c>
      <c r="Q52" s="308">
        <f>IF(Kalk!$B$4=1,'B Ist'!Q39,0)</f>
        <v>30.88</v>
      </c>
      <c r="R52" s="308">
        <f>IF(Kalk!$B$4=1,'B Ist'!R39,0)</f>
        <v>30.88</v>
      </c>
    </row>
    <row r="53" spans="2:18" ht="11.25" customHeight="1">
      <c r="B53" s="306" t="str">
        <f t="shared" si="3"/>
        <v>EG</v>
      </c>
      <c r="C53" s="322">
        <f t="shared" si="4"/>
        <v>10</v>
      </c>
      <c r="D53" s="308">
        <f>IF(Kalk!$B$4=1,'B Ist'!D40,0)</f>
        <v>3.56</v>
      </c>
      <c r="E53" s="308">
        <f>IF(Kalk!$B$4=1,'B Ist'!E40,0)</f>
        <v>4.74</v>
      </c>
      <c r="F53" s="308">
        <f>IF(Kalk!$B$4=1,'B Ist'!F40,0)</f>
        <v>5.93</v>
      </c>
      <c r="G53" s="308">
        <f>IF(Kalk!$B$4=1,'B Ist'!G40,0)</f>
        <v>8.3000000000000007</v>
      </c>
      <c r="H53" s="308">
        <f>IF(Kalk!$B$4=1,'B Ist'!H40,0)</f>
        <v>32.01</v>
      </c>
      <c r="I53" s="308">
        <f>IF(Kalk!$B$4=1,'B Ist'!I40,0)</f>
        <v>8.3000000000000007</v>
      </c>
      <c r="J53" s="307" t="str">
        <f>J18</f>
        <v>* Ergebnis der Redaktion:</v>
      </c>
      <c r="K53" s="306" t="str">
        <f t="shared" si="5"/>
        <v>EG</v>
      </c>
      <c r="L53" s="322">
        <f t="shared" si="5"/>
        <v>10</v>
      </c>
      <c r="M53" s="308">
        <f>IF(Kalk!$B$4=1,'B Ist'!M40,0)</f>
        <v>23.79</v>
      </c>
      <c r="N53" s="308">
        <f>IF(Kalk!$B$4=1,'B Ist'!N40,0)</f>
        <v>25.419999999999998</v>
      </c>
      <c r="O53" s="308">
        <f>IF(Kalk!$B$4=1,'B Ist'!O40,0)</f>
        <v>27.27</v>
      </c>
      <c r="P53" s="308">
        <f>IF(Kalk!$B$4=1,'B Ist'!P40,0)</f>
        <v>29.27</v>
      </c>
      <c r="Q53" s="308">
        <f>IF(Kalk!$B$4=1,'B Ist'!Q40,0)</f>
        <v>29.27</v>
      </c>
      <c r="R53" s="308">
        <f>IF(Kalk!$B$4=1,'B Ist'!R40,0)</f>
        <v>29.27</v>
      </c>
    </row>
    <row r="54" spans="2:18" ht="11.25" customHeight="1">
      <c r="B54" s="306" t="str">
        <f t="shared" si="3"/>
        <v>EG</v>
      </c>
      <c r="C54" s="322" t="str">
        <f t="shared" si="4"/>
        <v>9c *</v>
      </c>
      <c r="D54" s="308">
        <f>IF(Kalk!$B$4=1,'B Ist'!D41,0)</f>
        <v>3.4</v>
      </c>
      <c r="E54" s="308">
        <f>IF(Kalk!$B$4=1,'B Ist'!E41,0)</f>
        <v>4.53</v>
      </c>
      <c r="F54" s="308">
        <f>IF(Kalk!$B$4=1,'B Ist'!F41,0)</f>
        <v>5.66</v>
      </c>
      <c r="G54" s="308">
        <f>IF(Kalk!$B$4=1,'B Ist'!G41,0)</f>
        <v>7.92</v>
      </c>
      <c r="H54" s="308">
        <f>IF(Kalk!$B$4=1,'B Ist'!H41,0)</f>
        <v>30.56</v>
      </c>
      <c r="I54" s="308">
        <f>IF(Kalk!$B$4=1,'B Ist'!I41,0)</f>
        <v>7.92</v>
      </c>
      <c r="J54" s="307" t="str">
        <f>J19</f>
        <v>EG 9c und 9b in Stufe 1</v>
      </c>
      <c r="K54" s="306" t="str">
        <f t="shared" si="5"/>
        <v>EG</v>
      </c>
      <c r="L54" s="322" t="str">
        <f t="shared" si="5"/>
        <v>9c *</v>
      </c>
      <c r="M54" s="308">
        <f>IF(Kalk!$B$4=1,'B Ist'!M41,0)</f>
        <v>22.869999999999997</v>
      </c>
      <c r="N54" s="308">
        <f>IF(Kalk!$B$4=1,'B Ist'!N41,0)</f>
        <v>24.279999999999998</v>
      </c>
      <c r="O54" s="308">
        <f>IF(Kalk!$B$4=1,'B Ist'!O41,0)</f>
        <v>26.04</v>
      </c>
      <c r="P54" s="308">
        <f>IF(Kalk!$B$4=1,'B Ist'!P41,0)</f>
        <v>27.959999999999997</v>
      </c>
      <c r="Q54" s="308">
        <f>IF(Kalk!$B$4=1,'B Ist'!Q41,0)</f>
        <v>27.959999999999997</v>
      </c>
      <c r="R54" s="308">
        <f>IF(Kalk!$B$4=1,'B Ist'!R41,0)</f>
        <v>27.959999999999997</v>
      </c>
    </row>
    <row r="55" spans="2:18" ht="11.25" customHeight="1">
      <c r="B55" s="306" t="str">
        <f t="shared" si="3"/>
        <v>EG</v>
      </c>
      <c r="C55" s="322" t="str">
        <f t="shared" si="4"/>
        <v>9b *</v>
      </c>
      <c r="D55" s="308">
        <f>IF(Kalk!$B$4=1,'B Ist'!D42,0)</f>
        <v>6.29</v>
      </c>
      <c r="E55" s="308">
        <f>IF(Kalk!$B$4=1,'B Ist'!E42,0)</f>
        <v>4.1900000000000004</v>
      </c>
      <c r="F55" s="308">
        <f>IF(Kalk!$B$4=1,'B Ist'!F42,0)</f>
        <v>5.24</v>
      </c>
      <c r="G55" s="308">
        <f>IF(Kalk!$B$4=1,'B Ist'!G42,0)</f>
        <v>7.34</v>
      </c>
      <c r="H55" s="308">
        <f>IF(Kalk!$B$4=1,'B Ist'!H42,0)</f>
        <v>28.31</v>
      </c>
      <c r="I55" s="308">
        <f>IF(Kalk!$B$4=1,'B Ist'!I42,0)</f>
        <v>7.34</v>
      </c>
      <c r="J55" s="307" t="str">
        <f>J20</f>
        <v>differenziert angehoben</v>
      </c>
      <c r="K55" s="306" t="str">
        <f t="shared" si="5"/>
        <v>EG</v>
      </c>
      <c r="L55" s="322" t="str">
        <f t="shared" si="5"/>
        <v>9b *</v>
      </c>
      <c r="M55" s="308">
        <f>IF(Kalk!$B$4=1,'B Ist'!M42,0)</f>
        <v>25</v>
      </c>
      <c r="N55" s="308">
        <f>IF(Kalk!$B$4=1,'B Ist'!N42,0)</f>
        <v>25.65</v>
      </c>
      <c r="O55" s="308">
        <f>IF(Kalk!$B$4=1,'B Ist'!O42,0)</f>
        <v>27.259999999999998</v>
      </c>
      <c r="P55" s="308">
        <f>IF(Kalk!$B$4=1,'B Ist'!P42,0)</f>
        <v>29.029999999999998</v>
      </c>
      <c r="Q55" s="308">
        <f>IF(Kalk!$B$4=1,'B Ist'!Q42,0)</f>
        <v>29.029999999999998</v>
      </c>
      <c r="R55" s="308">
        <f>IF(Kalk!$B$4=1,'B Ist'!R42,0)</f>
        <v>29.029999999999998</v>
      </c>
    </row>
    <row r="56" spans="2:18" ht="11.25" customHeight="1">
      <c r="B56" s="306" t="str">
        <f t="shared" si="3"/>
        <v>EG</v>
      </c>
      <c r="C56" s="322" t="str">
        <f t="shared" si="4"/>
        <v>9a</v>
      </c>
      <c r="D56" s="308">
        <f>IF(Kalk!$B$4=1,'B Ist'!D43,0)</f>
        <v>5.85</v>
      </c>
      <c r="E56" s="308">
        <f>IF(Kalk!$B$4=1,'B Ist'!E43,0)</f>
        <v>3.9</v>
      </c>
      <c r="F56" s="308">
        <f>IF(Kalk!$B$4=1,'B Ist'!F43,0)</f>
        <v>4.87</v>
      </c>
      <c r="G56" s="308">
        <f>IF(Kalk!$B$4=1,'B Ist'!G43,0)</f>
        <v>6.82</v>
      </c>
      <c r="H56" s="308">
        <f>IF(Kalk!$B$4=1,'B Ist'!H43,0)</f>
        <v>26.31</v>
      </c>
      <c r="I56" s="308">
        <f>IF(Kalk!$B$4=1,'B Ist'!I43,0)</f>
        <v>6.82</v>
      </c>
      <c r="J56" s="307"/>
      <c r="K56" s="306" t="str">
        <f t="shared" si="5"/>
        <v>EG</v>
      </c>
      <c r="L56" s="322" t="str">
        <f t="shared" si="5"/>
        <v>9a</v>
      </c>
      <c r="M56" s="308">
        <f>IF(Kalk!$B$4=1,'B Ist'!M43,0)</f>
        <v>23.810000000000002</v>
      </c>
      <c r="N56" s="308">
        <f>IF(Kalk!$B$4=1,'B Ist'!N43,0)</f>
        <v>25.009999999999998</v>
      </c>
      <c r="O56" s="308">
        <f>IF(Kalk!$B$4=1,'B Ist'!O43,0)</f>
        <v>25.339999999999996</v>
      </c>
      <c r="P56" s="308">
        <f>IF(Kalk!$B$4=1,'B Ist'!P43,0)</f>
        <v>26.450000000000003</v>
      </c>
      <c r="Q56" s="308">
        <f>IF(Kalk!$B$4=1,'B Ist'!Q43,0)</f>
        <v>26.450000000000003</v>
      </c>
      <c r="R56" s="308">
        <f>IF(Kalk!$B$4=1,'B Ist'!R43,0)</f>
        <v>26.450000000000003</v>
      </c>
    </row>
    <row r="57" spans="2:18" ht="11.25" customHeight="1">
      <c r="B57" s="306" t="str">
        <f t="shared" si="3"/>
        <v>EG</v>
      </c>
      <c r="C57" s="322">
        <f t="shared" si="4"/>
        <v>8</v>
      </c>
      <c r="D57" s="308">
        <f>IF(Kalk!$B$4=1,'B Ist'!D44,0)</f>
        <v>5.63</v>
      </c>
      <c r="E57" s="308">
        <f>IF(Kalk!$B$4=1,'B Ist'!E44,0)</f>
        <v>3.75</v>
      </c>
      <c r="F57" s="308">
        <f>IF(Kalk!$B$4=1,'B Ist'!F44,0)</f>
        <v>4.6900000000000004</v>
      </c>
      <c r="G57" s="308">
        <f>IF(Kalk!$B$4=1,'B Ist'!G44,0)</f>
        <v>6.57</v>
      </c>
      <c r="H57" s="308">
        <f>IF(Kalk!$B$4=1,'B Ist'!H44,0)</f>
        <v>25.34</v>
      </c>
      <c r="I57" s="308">
        <f>IF(Kalk!$B$4=1,'B Ist'!I44,0)</f>
        <v>6.57</v>
      </c>
      <c r="J57" s="307"/>
      <c r="K57" s="306" t="str">
        <f t="shared" si="5"/>
        <v>EG</v>
      </c>
      <c r="L57" s="322">
        <f t="shared" si="5"/>
        <v>8</v>
      </c>
      <c r="M57" s="308">
        <f>IF(Kalk!$B$4=1,'B Ist'!M44,0)</f>
        <v>22.49</v>
      </c>
      <c r="N57" s="308">
        <f>IF(Kalk!$B$4=1,'B Ist'!N44,0)</f>
        <v>23.619999999999997</v>
      </c>
      <c r="O57" s="308">
        <f>IF(Kalk!$B$4=1,'B Ist'!O44,0)</f>
        <v>24.4</v>
      </c>
      <c r="P57" s="308">
        <f>IF(Kalk!$B$4=1,'B Ist'!P44,0)</f>
        <v>25.18</v>
      </c>
      <c r="Q57" s="308">
        <f>IF(Kalk!$B$4=1,'B Ist'!Q44,0)</f>
        <v>25.18</v>
      </c>
      <c r="R57" s="308">
        <f>IF(Kalk!$B$4=1,'B Ist'!R44,0)</f>
        <v>25.18</v>
      </c>
    </row>
    <row r="58" spans="2:18" ht="11.25" customHeight="1">
      <c r="B58" s="306" t="str">
        <f t="shared" si="3"/>
        <v>EG</v>
      </c>
      <c r="C58" s="322">
        <f t="shared" si="4"/>
        <v>7</v>
      </c>
      <c r="D58" s="308">
        <f>IF(Kalk!$B$4=1,'B Ist'!D45,0)</f>
        <v>5.37</v>
      </c>
      <c r="E58" s="308">
        <f>IF(Kalk!$B$4=1,'B Ist'!E45,0)</f>
        <v>3.58</v>
      </c>
      <c r="F58" s="308">
        <f>IF(Kalk!$B$4=1,'B Ist'!F45,0)</f>
        <v>4.4800000000000004</v>
      </c>
      <c r="G58" s="308">
        <f>IF(Kalk!$B$4=1,'B Ist'!G45,0)</f>
        <v>6.27</v>
      </c>
      <c r="H58" s="308">
        <f>IF(Kalk!$B$4=1,'B Ist'!H45,0)</f>
        <v>24.18</v>
      </c>
      <c r="I58" s="308">
        <f>IF(Kalk!$B$4=1,'B Ist'!I45,0)</f>
        <v>6.27</v>
      </c>
      <c r="J58" s="307"/>
      <c r="K58" s="306" t="str">
        <f t="shared" si="5"/>
        <v>EG</v>
      </c>
      <c r="L58" s="322">
        <f t="shared" si="5"/>
        <v>7</v>
      </c>
      <c r="M58" s="308">
        <f>IF(Kalk!$B$4=1,'B Ist'!M45,0)</f>
        <v>21.21</v>
      </c>
      <c r="N58" s="308">
        <f>IF(Kalk!$B$4=1,'B Ist'!N45,0)</f>
        <v>22.51</v>
      </c>
      <c r="O58" s="308">
        <f>IF(Kalk!$B$4=1,'B Ist'!O45,0)</f>
        <v>23.28</v>
      </c>
      <c r="P58" s="308">
        <f>IF(Kalk!$B$4=1,'B Ist'!P45,0)</f>
        <v>24.060000000000002</v>
      </c>
      <c r="Q58" s="308">
        <f>IF(Kalk!$B$4=1,'B Ist'!Q45,0)</f>
        <v>24.060000000000002</v>
      </c>
      <c r="R58" s="308">
        <f>IF(Kalk!$B$4=1,'B Ist'!R45,0)</f>
        <v>24.060000000000002</v>
      </c>
    </row>
    <row r="59" spans="2:18" ht="11.25" customHeight="1">
      <c r="B59" s="306" t="str">
        <f t="shared" si="3"/>
        <v>EG</v>
      </c>
      <c r="C59" s="322">
        <f t="shared" si="4"/>
        <v>6</v>
      </c>
      <c r="D59" s="308">
        <f>IF(Kalk!$B$4=1,'B Ist'!D46,0)</f>
        <v>5.21</v>
      </c>
      <c r="E59" s="308">
        <f>IF(Kalk!$B$4=1,'B Ist'!E46,0)</f>
        <v>3.47</v>
      </c>
      <c r="F59" s="308">
        <f>IF(Kalk!$B$4=1,'B Ist'!F46,0)</f>
        <v>4.34</v>
      </c>
      <c r="G59" s="308">
        <f>IF(Kalk!$B$4=1,'B Ist'!G46,0)</f>
        <v>6.08</v>
      </c>
      <c r="H59" s="308">
        <f>IF(Kalk!$B$4=1,'B Ist'!H46,0)</f>
        <v>23.44</v>
      </c>
      <c r="I59" s="308">
        <f>IF(Kalk!$B$4=1,'B Ist'!I46,0)</f>
        <v>6.08</v>
      </c>
      <c r="J59" s="307"/>
      <c r="K59" s="306" t="str">
        <f t="shared" si="5"/>
        <v>EG</v>
      </c>
      <c r="L59" s="322">
        <f t="shared" si="5"/>
        <v>6</v>
      </c>
      <c r="M59" s="308">
        <f>IF(Kalk!$B$4=1,'B Ist'!M46,0)</f>
        <v>20.76</v>
      </c>
      <c r="N59" s="308">
        <f>IF(Kalk!$B$4=1,'B Ist'!N46,0)</f>
        <v>21.82</v>
      </c>
      <c r="O59" s="308">
        <f>IF(Kalk!$B$4=1,'B Ist'!O46,0)</f>
        <v>22.57</v>
      </c>
      <c r="P59" s="308">
        <f>IF(Kalk!$B$4=1,'B Ist'!P46,0)</f>
        <v>23.310000000000002</v>
      </c>
      <c r="Q59" s="308">
        <f>IF(Kalk!$B$4=1,'B Ist'!Q46,0)</f>
        <v>23.310000000000002</v>
      </c>
      <c r="R59" s="308">
        <f>IF(Kalk!$B$4=1,'B Ist'!R46,0)</f>
        <v>23.310000000000002</v>
      </c>
    </row>
    <row r="60" spans="2:18" ht="11.25" customHeight="1">
      <c r="B60" s="306" t="str">
        <f t="shared" si="3"/>
        <v>EG</v>
      </c>
      <c r="C60" s="322">
        <f t="shared" si="4"/>
        <v>5</v>
      </c>
      <c r="D60" s="308">
        <f>IF(Kalk!$B$4=1,'B Ist'!D47,0)</f>
        <v>5</v>
      </c>
      <c r="E60" s="308">
        <f>IF(Kalk!$B$4=1,'B Ist'!E47,0)</f>
        <v>3.33</v>
      </c>
      <c r="F60" s="308">
        <f>IF(Kalk!$B$4=1,'B Ist'!F47,0)</f>
        <v>4.17</v>
      </c>
      <c r="G60" s="308">
        <f>IF(Kalk!$B$4=1,'B Ist'!G47,0)</f>
        <v>5.83</v>
      </c>
      <c r="H60" s="308">
        <f>IF(Kalk!$B$4=1,'B Ist'!H47,0)</f>
        <v>22.49</v>
      </c>
      <c r="I60" s="308">
        <f>IF(Kalk!$B$4=1,'B Ist'!I47,0)</f>
        <v>5.83</v>
      </c>
      <c r="J60" s="307"/>
      <c r="K60" s="306" t="str">
        <f t="shared" si="5"/>
        <v>EG</v>
      </c>
      <c r="L60" s="322">
        <f t="shared" si="5"/>
        <v>5</v>
      </c>
      <c r="M60" s="308">
        <f>IF(Kalk!$B$4=1,'B Ist'!M47,0)</f>
        <v>19.920000000000002</v>
      </c>
      <c r="N60" s="308">
        <f>IF(Kalk!$B$4=1,'B Ist'!N47,0)</f>
        <v>20.96</v>
      </c>
      <c r="O60" s="308">
        <f>IF(Kalk!$B$4=1,'B Ist'!O47,0)</f>
        <v>21.66</v>
      </c>
      <c r="P60" s="308">
        <f>IF(Kalk!$B$4=1,'B Ist'!P47,0)</f>
        <v>22.4</v>
      </c>
      <c r="Q60" s="308">
        <f>IF(Kalk!$B$4=1,'B Ist'!Q47,0)</f>
        <v>22.4</v>
      </c>
      <c r="R60" s="308">
        <f>IF(Kalk!$B$4=1,'B Ist'!R47,0)</f>
        <v>22.4</v>
      </c>
    </row>
    <row r="61" spans="2:18" ht="11.25" customHeight="1">
      <c r="B61" s="306" t="str">
        <f t="shared" si="3"/>
        <v>EG</v>
      </c>
      <c r="C61" s="322">
        <f t="shared" si="4"/>
        <v>4</v>
      </c>
      <c r="D61" s="308">
        <f>IF(Kalk!$B$4=1,'B Ist'!D48,0)</f>
        <v>4.8499999999999996</v>
      </c>
      <c r="E61" s="308">
        <f>IF(Kalk!$B$4=1,'B Ist'!E48,0)</f>
        <v>3.23</v>
      </c>
      <c r="F61" s="308">
        <f>IF(Kalk!$B$4=1,'B Ist'!F48,0)</f>
        <v>4.04</v>
      </c>
      <c r="G61" s="308">
        <f>IF(Kalk!$B$4=1,'B Ist'!G48,0)</f>
        <v>5.66</v>
      </c>
      <c r="H61" s="308">
        <f>IF(Kalk!$B$4=1,'B Ist'!H48,0)</f>
        <v>21.82</v>
      </c>
      <c r="I61" s="308">
        <f>IF(Kalk!$B$4=1,'B Ist'!I48,0)</f>
        <v>5.66</v>
      </c>
      <c r="J61" s="307"/>
      <c r="K61" s="306" t="str">
        <f t="shared" si="5"/>
        <v>EG</v>
      </c>
      <c r="L61" s="322">
        <f t="shared" si="5"/>
        <v>4</v>
      </c>
      <c r="M61" s="308">
        <f>IF(Kalk!$B$4=1,'B Ist'!M48,0)</f>
        <v>19.079999999999998</v>
      </c>
      <c r="N61" s="308">
        <f>IF(Kalk!$B$4=1,'B Ist'!N48,0)</f>
        <v>20.13</v>
      </c>
      <c r="O61" s="308">
        <f>IF(Kalk!$B$4=1,'B Ist'!O48,0)</f>
        <v>21.009999999999998</v>
      </c>
      <c r="P61" s="308">
        <f>IF(Kalk!$B$4=1,'B Ist'!P48,0)</f>
        <v>21.560000000000002</v>
      </c>
      <c r="Q61" s="308">
        <f>IF(Kalk!$B$4=1,'B Ist'!Q48,0)</f>
        <v>21.560000000000002</v>
      </c>
      <c r="R61" s="308">
        <f>IF(Kalk!$B$4=1,'B Ist'!R48,0)</f>
        <v>21.560000000000002</v>
      </c>
    </row>
    <row r="62" spans="2:18" ht="11.25" customHeight="1">
      <c r="B62" s="306" t="str">
        <f t="shared" si="3"/>
        <v>EG</v>
      </c>
      <c r="C62" s="322">
        <f t="shared" si="4"/>
        <v>3</v>
      </c>
      <c r="D62" s="308">
        <f>IF(Kalk!$B$4=1,'B Ist'!D49,0)</f>
        <v>4.62</v>
      </c>
      <c r="E62" s="308">
        <f>IF(Kalk!$B$4=1,'B Ist'!E49,0)</f>
        <v>3.08</v>
      </c>
      <c r="F62" s="308">
        <f>IF(Kalk!$B$4=1,'B Ist'!F49,0)</f>
        <v>3.85</v>
      </c>
      <c r="G62" s="308">
        <f>IF(Kalk!$B$4=1,'B Ist'!G49,0)</f>
        <v>5.39</v>
      </c>
      <c r="H62" s="308">
        <f>IF(Kalk!$B$4=1,'B Ist'!H49,0)</f>
        <v>20.8</v>
      </c>
      <c r="I62" s="308">
        <f>IF(Kalk!$B$4=1,'B Ist'!I49,0)</f>
        <v>5.39</v>
      </c>
      <c r="J62" s="307"/>
      <c r="K62" s="306" t="str">
        <f t="shared" si="5"/>
        <v>EG</v>
      </c>
      <c r="L62" s="322">
        <f t="shared" si="5"/>
        <v>3</v>
      </c>
      <c r="M62" s="308">
        <f>IF(Kalk!$B$4=1,'B Ist'!M49,0)</f>
        <v>18.63</v>
      </c>
      <c r="N62" s="308">
        <f>IF(Kalk!$B$4=1,'B Ist'!N49,0)</f>
        <v>19.760000000000002</v>
      </c>
      <c r="O62" s="308">
        <f>IF(Kalk!$B$4=1,'B Ist'!O49,0)</f>
        <v>20.03</v>
      </c>
      <c r="P62" s="308">
        <f>IF(Kalk!$B$4=1,'B Ist'!P49,0)</f>
        <v>20.66</v>
      </c>
      <c r="Q62" s="308">
        <f>IF(Kalk!$B$4=1,'B Ist'!Q49,0)</f>
        <v>20.66</v>
      </c>
      <c r="R62" s="308">
        <f>IF(Kalk!$B$4=1,'B Ist'!R49,0)</f>
        <v>20.66</v>
      </c>
    </row>
    <row r="63" spans="2:18" ht="11.25" customHeight="1">
      <c r="B63" s="306" t="str">
        <f t="shared" si="3"/>
        <v>EG</v>
      </c>
      <c r="C63" s="322" t="str">
        <f t="shared" si="4"/>
        <v>2Ü</v>
      </c>
      <c r="D63" s="308">
        <f>IF(Kalk!$B$4=1,'B Ist'!D50,0)</f>
        <v>4.46</v>
      </c>
      <c r="E63" s="308">
        <f>IF(Kalk!$B$4=1,'B Ist'!E50,0)</f>
        <v>2.98</v>
      </c>
      <c r="F63" s="308">
        <f>IF(Kalk!$B$4=1,'B Ist'!F50,0)</f>
        <v>3.72</v>
      </c>
      <c r="G63" s="308">
        <f>IF(Kalk!$B$4=1,'B Ist'!G50,0)</f>
        <v>5.21</v>
      </c>
      <c r="H63" s="308">
        <f>IF(Kalk!$B$4=1,'B Ist'!H50,0)</f>
        <v>20.09</v>
      </c>
      <c r="I63" s="308">
        <f>IF(Kalk!$B$4=1,'B Ist'!I50,0)</f>
        <v>5.21</v>
      </c>
      <c r="J63" s="307"/>
      <c r="K63" s="306" t="str">
        <f t="shared" si="5"/>
        <v>EG</v>
      </c>
      <c r="L63" s="322" t="str">
        <f t="shared" si="5"/>
        <v>2Ü</v>
      </c>
      <c r="M63" s="308">
        <f>IF(Kalk!$B$4=1,'B Ist'!M50,0)</f>
        <v>17.559999999999999</v>
      </c>
      <c r="N63" s="308">
        <f>IF(Kalk!$B$4=1,'B Ist'!N50,0)</f>
        <v>18.87</v>
      </c>
      <c r="O63" s="308">
        <f>IF(Kalk!$B$4=1,'B Ist'!O50,0)</f>
        <v>19.34</v>
      </c>
      <c r="P63" s="308">
        <f>IF(Kalk!$B$4=1,'B Ist'!P50,0)</f>
        <v>19.97</v>
      </c>
      <c r="Q63" s="308">
        <f>IF(Kalk!$B$4=1,'B Ist'!Q50,0)</f>
        <v>19.97</v>
      </c>
      <c r="R63" s="308">
        <f>IF(Kalk!$B$4=1,'B Ist'!R50,0)</f>
        <v>19.97</v>
      </c>
    </row>
    <row r="64" spans="2:18" ht="11.25" customHeight="1">
      <c r="B64" s="306" t="str">
        <f t="shared" si="3"/>
        <v>EG</v>
      </c>
      <c r="C64" s="322">
        <f t="shared" si="4"/>
        <v>2</v>
      </c>
      <c r="D64" s="308">
        <f>IF(Kalk!$B$4=1,'B Ist'!D51,0)</f>
        <v>4.32</v>
      </c>
      <c r="E64" s="308">
        <f>IF(Kalk!$B$4=1,'B Ist'!E51,0)</f>
        <v>2.88</v>
      </c>
      <c r="F64" s="308">
        <f>IF(Kalk!$B$4=1,'B Ist'!F51,0)</f>
        <v>3.6</v>
      </c>
      <c r="G64" s="308">
        <f>IF(Kalk!$B$4=1,'B Ist'!G51,0)</f>
        <v>5.04</v>
      </c>
      <c r="H64" s="308">
        <f>IF(Kalk!$B$4=1,'B Ist'!H51,0)</f>
        <v>19.45</v>
      </c>
      <c r="I64" s="308">
        <f>IF(Kalk!$B$4=1,'B Ist'!I51,0)</f>
        <v>5.04</v>
      </c>
      <c r="J64" s="307"/>
      <c r="K64" s="306" t="str">
        <f t="shared" si="5"/>
        <v>EG</v>
      </c>
      <c r="L64" s="322">
        <f t="shared" si="5"/>
        <v>2</v>
      </c>
      <c r="M64" s="308">
        <f>IF(Kalk!$B$4=1,'B Ist'!M51,0)</f>
        <v>17.310000000000002</v>
      </c>
      <c r="N64" s="308">
        <f>IF(Kalk!$B$4=1,'B Ist'!N51,0)</f>
        <v>18.450000000000003</v>
      </c>
      <c r="O64" s="308">
        <f>IF(Kalk!$B$4=1,'B Ist'!O51,0)</f>
        <v>18.73</v>
      </c>
      <c r="P64" s="308">
        <f>IF(Kalk!$B$4=1,'B Ist'!P51,0)</f>
        <v>19.12</v>
      </c>
      <c r="Q64" s="308">
        <f>IF(Kalk!$B$4=1,'B Ist'!Q51,0)</f>
        <v>19.12</v>
      </c>
      <c r="R64" s="308">
        <f>IF(Kalk!$B$4=1,'B Ist'!R51,0)</f>
        <v>19.12</v>
      </c>
    </row>
    <row r="65" spans="2:18" ht="11.25" customHeight="1">
      <c r="B65" s="306" t="str">
        <f>K30</f>
        <v>EG</v>
      </c>
      <c r="C65" s="322">
        <f>L30</f>
        <v>1</v>
      </c>
      <c r="D65" s="308">
        <f>IF(Kalk!$B$4=1,'B Ist'!D52,0)</f>
        <v>3.56</v>
      </c>
      <c r="E65" s="308">
        <f>IF(Kalk!$B$4=1,'B Ist'!E52,0)</f>
        <v>2.37</v>
      </c>
      <c r="F65" s="308">
        <f>IF(Kalk!$B$4=1,'B Ist'!F52,0)</f>
        <v>2.97</v>
      </c>
      <c r="G65" s="308">
        <f>IF(Kalk!$B$4=1,'B Ist'!G52,0)</f>
        <v>4.1500000000000004</v>
      </c>
      <c r="H65" s="308">
        <f>IF(Kalk!$B$4=1,'B Ist'!H52,0)</f>
        <v>16.02</v>
      </c>
      <c r="I65" s="308">
        <f>IF(Kalk!$B$4=1,'B Ist'!I52,0)</f>
        <v>4.1500000000000004</v>
      </c>
      <c r="J65" s="307"/>
      <c r="K65" s="306" t="str">
        <f t="shared" si="5"/>
        <v>EG</v>
      </c>
      <c r="L65" s="322">
        <f t="shared" si="5"/>
        <v>1</v>
      </c>
      <c r="M65" s="308" t="str">
        <f>IF(Kalk!$B$4=1,'B Ist'!M52,0)</f>
        <v>-</v>
      </c>
      <c r="N65" s="308">
        <f>IF(Kalk!$B$4=1,'B Ist'!N52,0)</f>
        <v>15.24</v>
      </c>
      <c r="O65" s="308">
        <f>IF(Kalk!$B$4=1,'B Ist'!O52,0)</f>
        <v>15.43</v>
      </c>
      <c r="P65" s="308">
        <f>IF(Kalk!$B$4=1,'B Ist'!P52,0)</f>
        <v>15.67</v>
      </c>
      <c r="Q65" s="308">
        <f>IF(Kalk!$B$4=1,'B Ist'!Q52,0)</f>
        <v>15.67</v>
      </c>
      <c r="R65" s="308">
        <f>IF(Kalk!$B$4=1,'B Ist'!R52,0)</f>
        <v>15.67</v>
      </c>
    </row>
    <row r="66" spans="2:18" ht="11.25" customHeight="1">
      <c r="B66" s="307"/>
      <c r="C66" s="307"/>
      <c r="D66" s="316"/>
      <c r="E66" s="316"/>
      <c r="F66" s="316"/>
      <c r="G66" s="316"/>
      <c r="H66" s="316"/>
      <c r="I66" s="316"/>
      <c r="K66" s="307"/>
      <c r="L66" s="307"/>
      <c r="M66" s="317"/>
      <c r="N66" s="317"/>
      <c r="O66" s="317"/>
      <c r="P66" s="317"/>
      <c r="Q66" s="317"/>
      <c r="R66" s="317"/>
    </row>
    <row r="89" spans="1:18" ht="11.25" customHeight="1">
      <c r="A89" s="307"/>
      <c r="B89" s="307"/>
      <c r="C89" s="307"/>
      <c r="D89" s="307"/>
      <c r="E89" s="318"/>
      <c r="F89" s="307"/>
      <c r="G89" s="307"/>
      <c r="H89" s="307"/>
      <c r="I89" s="319"/>
      <c r="J89" s="307"/>
      <c r="K89" s="319"/>
      <c r="L89" s="319"/>
      <c r="M89" s="307"/>
      <c r="N89" s="307"/>
      <c r="O89" s="307"/>
      <c r="P89" s="307"/>
      <c r="Q89" s="307"/>
      <c r="R89" s="307"/>
    </row>
    <row r="90" spans="1:18" ht="11.25" customHeight="1">
      <c r="A90" s="307"/>
      <c r="B90" s="307"/>
      <c r="C90" s="307"/>
      <c r="D90" s="307"/>
      <c r="E90" s="318"/>
      <c r="F90" s="307"/>
      <c r="G90" s="307"/>
      <c r="H90" s="307"/>
      <c r="I90" s="319"/>
      <c r="J90" s="307"/>
      <c r="K90" s="319"/>
      <c r="L90" s="319"/>
      <c r="M90" s="307"/>
      <c r="N90" s="307"/>
      <c r="O90" s="307"/>
      <c r="P90" s="307"/>
      <c r="Q90" s="307"/>
      <c r="R90" s="307"/>
    </row>
    <row r="91" spans="1:18" ht="11.25" customHeight="1">
      <c r="A91" s="307"/>
      <c r="B91" s="307"/>
      <c r="C91" s="307"/>
      <c r="D91" s="307"/>
      <c r="E91" s="318"/>
      <c r="F91" s="307"/>
      <c r="G91" s="307"/>
      <c r="H91" s="307"/>
      <c r="I91" s="307"/>
      <c r="J91" s="307"/>
      <c r="K91" s="319"/>
      <c r="L91" s="319"/>
      <c r="M91" s="307"/>
      <c r="N91" s="307"/>
      <c r="O91" s="307"/>
      <c r="P91" s="307"/>
      <c r="Q91" s="307"/>
      <c r="R91" s="307"/>
    </row>
    <row r="92" spans="1:18" ht="11.25" customHeight="1">
      <c r="A92" s="320"/>
      <c r="B92" s="299"/>
      <c r="C92" s="299"/>
      <c r="D92" s="320"/>
      <c r="E92" s="321"/>
      <c r="F92" s="299"/>
      <c r="G92" s="299"/>
      <c r="H92" s="299"/>
      <c r="I92" s="299"/>
      <c r="J92" s="299"/>
      <c r="K92" s="309"/>
      <c r="L92" s="309"/>
      <c r="M92" s="299"/>
      <c r="N92" s="299"/>
      <c r="O92" s="299"/>
      <c r="P92" s="299"/>
      <c r="Q92" s="299"/>
      <c r="R92" s="299"/>
    </row>
    <row r="93" spans="1:18" ht="11.25" customHeight="1">
      <c r="A93" s="320"/>
      <c r="B93" s="299"/>
      <c r="C93" s="299"/>
      <c r="D93" s="320"/>
      <c r="E93" s="321"/>
      <c r="F93" s="299"/>
      <c r="G93" s="299"/>
      <c r="H93" s="299"/>
      <c r="I93" s="299"/>
      <c r="J93" s="299"/>
      <c r="K93" s="309"/>
      <c r="L93" s="309"/>
      <c r="M93" s="299"/>
      <c r="N93" s="299"/>
      <c r="O93" s="299"/>
      <c r="P93" s="299"/>
      <c r="Q93" s="299"/>
      <c r="R93" s="299"/>
    </row>
  </sheetData>
  <mergeCells count="24">
    <mergeCell ref="I36:I45"/>
    <mergeCell ref="B36:C45"/>
    <mergeCell ref="K36:R42"/>
    <mergeCell ref="B10:D10"/>
    <mergeCell ref="F36:F45"/>
    <mergeCell ref="G36:G45"/>
    <mergeCell ref="E10:G10"/>
    <mergeCell ref="K10:M10"/>
    <mergeCell ref="N45:P45"/>
    <mergeCell ref="Q45:R45"/>
    <mergeCell ref="N10:P10"/>
    <mergeCell ref="E35:G35"/>
    <mergeCell ref="H35:I35"/>
    <mergeCell ref="K45:M45"/>
    <mergeCell ref="B35:D35"/>
    <mergeCell ref="D36:D45"/>
    <mergeCell ref="E36:E45"/>
    <mergeCell ref="H36:H45"/>
    <mergeCell ref="Q10:R10"/>
    <mergeCell ref="H10:I10"/>
    <mergeCell ref="B2:D2"/>
    <mergeCell ref="E2:P2"/>
    <mergeCell ref="K4:P6"/>
    <mergeCell ref="F5:G5"/>
  </mergeCells>
  <conditionalFormatting sqref="B12:R28 K13:L29 C13:C29 C48:C64 L48:L64 K29:R30 B29:I30 B64:I65 K64:R65 B47:R63">
    <cfRule type="cellIs" dxfId="21" priority="1" stopIfTrue="1" operator="equal">
      <formula>0</formula>
    </cfRule>
    <cfRule type="cellIs" dxfId="20" priority="2" stopIfTrue="1" operator="equal">
      <formula>""</formula>
    </cfRule>
  </conditionalFormatting>
  <printOptions horizontalCentered="1" verticalCentered="1"/>
  <pageMargins left="0.39370078740157483" right="0.39370078740157483" top="0.19685039370078741" bottom="0.19685039370078741" header="0.51181102362204722" footer="0.51181102362204722"/>
  <pageSetup paperSize="9" scale="84" orientation="landscape" r:id="rId1"/>
  <headerFooter alignWithMargins="0">
    <oddFooter>&amp;L&amp;"Arial,Standard"&amp;4dbb
tarifunion
Entgelte
Version 1.1.
10.10.2007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6"/>
  </sheetPr>
  <dimension ref="A1:W70"/>
  <sheetViews>
    <sheetView workbookViewId="0">
      <selection activeCell="J2" sqref="J2"/>
    </sheetView>
  </sheetViews>
  <sheetFormatPr baseColWidth="10" defaultColWidth="8.5703125" defaultRowHeight="12.75"/>
  <cols>
    <col min="1" max="1" width="23.140625" style="329" customWidth="1"/>
    <col min="2" max="3" width="6.42578125" style="329" customWidth="1"/>
    <col min="4" max="9" width="8.5703125" style="329" customWidth="1"/>
    <col min="10" max="10" width="17.85546875" style="328" customWidth="1"/>
    <col min="11" max="12" width="6.42578125" style="329" customWidth="1"/>
    <col min="13" max="19" width="8.5703125" style="329"/>
    <col min="20" max="23" width="5.7109375" style="329" customWidth="1"/>
    <col min="24" max="16384" width="8.5703125" style="329"/>
  </cols>
  <sheetData>
    <row r="1" spans="1:23">
      <c r="A1" s="323" t="str">
        <f>Umse!B11</f>
        <v>1.2.</v>
      </c>
      <c r="B1" s="324"/>
      <c r="C1" s="325"/>
      <c r="D1" s="326" t="str">
        <f>IF(A1=0,"","Stundenentgelt  ( Vollzeit )")</f>
        <v>Stundenentgelt  ( Vollzeit )</v>
      </c>
      <c r="E1" s="325"/>
      <c r="F1" s="325"/>
      <c r="G1" s="325"/>
      <c r="H1" s="325"/>
      <c r="I1" s="327"/>
      <c r="K1" s="324"/>
      <c r="L1" s="325"/>
      <c r="M1" s="525" t="str">
        <f>IF(A1=0,"","Anlage A Bund")</f>
        <v>Anlage A Bund</v>
      </c>
      <c r="N1" s="325"/>
      <c r="O1" s="325"/>
      <c r="P1" s="325"/>
      <c r="Q1" s="525" t="str">
        <f>IF(OR(Umse!$C$24=0,Kalk!B4=2,Kalk!B4=3,Kalk!B4=4,Kalk!B4=5,Kalk!B4=6,Kalk!B4=7,Kalk!B4=8,Kalk!B4=9,Kalk!B4=10),"",IF(A1="1.1.",Para!C73,IF(A1="1.2.",Para!C74,IF(A1="1.3.",Para!C75,""))))</f>
        <v xml:space="preserve"> ( + 1,40 % mind 50 Euro ) </v>
      </c>
      <c r="R1" s="327"/>
    </row>
    <row r="2" spans="1:23" ht="21" customHeight="1">
      <c r="A2" s="330" t="str">
        <f>VLOOKUP(Kalk!B5,Kalk!A20:B29,2)</f>
        <v>TVöD ( Bund )</v>
      </c>
      <c r="B2" s="367" t="str">
        <f>K2</f>
        <v xml:space="preserve">    Entgeltgruppe</v>
      </c>
      <c r="C2" s="331"/>
      <c r="D2" s="332" t="s">
        <v>7</v>
      </c>
      <c r="E2" s="332" t="s">
        <v>8</v>
      </c>
      <c r="F2" s="332" t="s">
        <v>9</v>
      </c>
      <c r="G2" s="332" t="s">
        <v>10</v>
      </c>
      <c r="H2" s="332" t="s">
        <v>11</v>
      </c>
      <c r="I2" s="332" t="s">
        <v>12</v>
      </c>
      <c r="J2" s="333" t="str">
        <f>IF(A1="1.2.","Hinweis","")</f>
        <v>Hinweis</v>
      </c>
      <c r="K2" s="367" t="str">
        <f>IF(Umse!$C$24=0,"",IF(OR($A$1="1.1.",$A$1="1.2.",$A$1="1.3."),V2,""))</f>
        <v xml:space="preserve">    Entgeltgruppe</v>
      </c>
      <c r="L2" s="331"/>
      <c r="M2" s="332" t="s">
        <v>7</v>
      </c>
      <c r="N2" s="332" t="s">
        <v>8</v>
      </c>
      <c r="O2" s="332" t="s">
        <v>9</v>
      </c>
      <c r="P2" s="332" t="s">
        <v>10</v>
      </c>
      <c r="Q2" s="332" t="s">
        <v>11</v>
      </c>
      <c r="R2" s="332" t="s">
        <v>12</v>
      </c>
      <c r="V2" s="355" t="s">
        <v>278</v>
      </c>
    </row>
    <row r="3" spans="1:23">
      <c r="A3" s="323" t="str">
        <f>Umse!B23</f>
        <v>West und Ost ( ab 1.04.2021 )</v>
      </c>
      <c r="B3" s="332" t="str">
        <f>K3</f>
        <v>EG</v>
      </c>
      <c r="C3" s="367" t="str">
        <f>L3</f>
        <v>15Ü</v>
      </c>
      <c r="D3" s="335" t="str">
        <f t="shared" ref="D3:I3" si="0">IF(M3=0,0,IF(M3="-","-",IF(M3="","",FIXED(ROUND(M3/$A$5,2),2))))</f>
        <v>35,47</v>
      </c>
      <c r="E3" s="335" t="str">
        <f t="shared" si="0"/>
        <v>39,36</v>
      </c>
      <c r="F3" s="335" t="str">
        <f t="shared" si="0"/>
        <v>43,05</v>
      </c>
      <c r="G3" s="335" t="str">
        <f t="shared" si="0"/>
        <v>45,51</v>
      </c>
      <c r="H3" s="335" t="str">
        <f t="shared" si="0"/>
        <v>46,09</v>
      </c>
      <c r="I3" s="335" t="str">
        <f t="shared" si="0"/>
        <v>-</v>
      </c>
      <c r="J3" s="328" t="str">
        <f>""</f>
        <v/>
      </c>
      <c r="K3" s="332" t="str">
        <f>IF(Umse!$C$24=0,"",IF(OR($A$1="1.1.",$A$1="1.2.",$A$1="1.3."),V3,""))</f>
        <v>EG</v>
      </c>
      <c r="L3" s="367" t="str">
        <f>IF(Umse!$C$24=0,"",IF(OR($A$1="1.1.",$A$1="1.2.",$A$1="1.3."),W3,""))</f>
        <v>15Ü</v>
      </c>
      <c r="M3" s="335">
        <f>IF(Umse!$C$24=0,0,IF(OR($A$1="1.1.",$A$1="1.2.",$A$1="1.3."),'B zwTab'!D4,""))</f>
        <v>6014.42</v>
      </c>
      <c r="N3" s="335">
        <f>IF(Umse!$C$24=0,0,IF(OR($A$1="1.1.",$A$1="1.2.",$A$1="1.3."),'B zwTab'!E4,""))</f>
        <v>6674.99</v>
      </c>
      <c r="O3" s="335">
        <f>IF(Umse!$C$24=0,0,IF(OR($A$1="1.1.",$A$1="1.2.",$A$1="1.3."),'B zwTab'!F4,""))</f>
        <v>7300.76</v>
      </c>
      <c r="P3" s="335">
        <f>IF(Umse!$C$24=0,0,IF(OR($A$1="1.1.",$A$1="1.2.",$A$1="1.3."),'B zwTab'!G4,""))</f>
        <v>7717.96</v>
      </c>
      <c r="Q3" s="335">
        <f>IF(Umse!$C$24=0,0,IF(OR($A$1="1.1.",$A$1="1.2.",$A$1="1.3."),'B zwTab'!H4,""))</f>
        <v>7815.3</v>
      </c>
      <c r="R3" s="335" t="str">
        <f>IF(Umse!$C$24=0,0,IF(OR($A$1="1.1.",$A$1="1.2.",$A$1="1.3."),'B zwTab'!I4,""))</f>
        <v>-</v>
      </c>
      <c r="V3" s="431" t="s">
        <v>6</v>
      </c>
      <c r="W3" s="431" t="s">
        <v>13</v>
      </c>
    </row>
    <row r="4" spans="1:23">
      <c r="A4" s="336">
        <f>Umse!B24</f>
        <v>39</v>
      </c>
      <c r="B4" s="332" t="str">
        <f t="shared" ref="B4:B21" si="1">K4</f>
        <v>EG</v>
      </c>
      <c r="C4" s="367">
        <f t="shared" ref="C4:C21" si="2">L4</f>
        <v>15</v>
      </c>
      <c r="D4" s="335" t="str">
        <f t="shared" ref="D4:D21" si="3">IF(M4=0,0,IF(M4="-","-",IF(M4="","",FIXED(ROUND(M4/$A$5,2),2))))</f>
        <v>29,06</v>
      </c>
      <c r="E4" s="335" t="str">
        <f t="shared" ref="E4:E21" si="4">IF(N4=0,0,IF(N4="-","-",IF(N4="","",FIXED(ROUND(N4/$A$5,2),2))))</f>
        <v>31,04</v>
      </c>
      <c r="F4" s="335" t="str">
        <f t="shared" ref="F4:F21" si="5">IF(O4=0,0,IF(O4="-","-",IF(O4="","",FIXED(ROUND(O4/$A$5,2),2))))</f>
        <v>33,24</v>
      </c>
      <c r="G4" s="335" t="str">
        <f t="shared" ref="G4:G21" si="6">IF(P4=0,0,IF(P4="-","-",IF(P4="","",FIXED(ROUND(P4/$A$5,2),2))))</f>
        <v>36,25</v>
      </c>
      <c r="H4" s="335" t="str">
        <f t="shared" ref="H4:H21" si="7">IF(Q4=0,0,IF(Q4="-","-",IF(Q4="","",FIXED(ROUND(Q4/$A$5,2),2))))</f>
        <v>39,35</v>
      </c>
      <c r="I4" s="335" t="str">
        <f t="shared" ref="I4:I21" si="8">IF(R4=0,0,IF(R4="-","-",IF(R4="","",FIXED(ROUND(R4/$A$5,2),2))))</f>
        <v>41,39</v>
      </c>
      <c r="J4" s="328" t="str">
        <f>""</f>
        <v/>
      </c>
      <c r="K4" s="332" t="str">
        <f>IF(Umse!$C$24=0,"",IF(OR($A$1="1.1.",$A$1="1.2.",$A$1="1.3."),V4,""))</f>
        <v>EG</v>
      </c>
      <c r="L4" s="367">
        <f>IF(Umse!$C$24=0,"",IF(OR($A$1="1.1.",$A$1="1.2.",$A$1="1.3."),W4,""))</f>
        <v>15</v>
      </c>
      <c r="M4" s="335">
        <f>IF(Umse!$C$24=0,0,IF(OR($A$1="1.1.",$A$1="1.2.",$A$1="1.3."),'B zwTab'!D5,""))</f>
        <v>4928.3500000000004</v>
      </c>
      <c r="N4" s="335">
        <f>IF(Umse!$C$24=0,0,IF(OR($A$1="1.1.",$A$1="1.2.",$A$1="1.3."),'B zwTab'!E5,""))</f>
        <v>5263.48</v>
      </c>
      <c r="O4" s="335">
        <f>IF(Umse!$C$24=0,0,IF(OR($A$1="1.1.",$A$1="1.2.",$A$1="1.3."),'B zwTab'!F5,""))</f>
        <v>5637.3</v>
      </c>
      <c r="P4" s="335">
        <f>IF(Umse!$C$24=0,0,IF(OR($A$1="1.1.",$A$1="1.2.",$A$1="1.3."),'B zwTab'!G5,""))</f>
        <v>6147.62</v>
      </c>
      <c r="Q4" s="335">
        <f>IF(Umse!$C$24=0,0,IF(OR($A$1="1.1.",$A$1="1.2.",$A$1="1.3."),'B zwTab'!H5,""))</f>
        <v>6672.58</v>
      </c>
      <c r="R4" s="335">
        <f>IF(Umse!$C$24=0,0,IF(OR($A$1="1.1.",$A$1="1.2.",$A$1="1.3."),'B zwTab'!I5,""))</f>
        <v>7017.95</v>
      </c>
      <c r="V4" s="431" t="s">
        <v>6</v>
      </c>
      <c r="W4" s="431">
        <v>15</v>
      </c>
    </row>
    <row r="5" spans="1:23">
      <c r="A5" s="337">
        <f>Umse!C24</f>
        <v>169.57</v>
      </c>
      <c r="B5" s="332" t="str">
        <f t="shared" si="1"/>
        <v>EG</v>
      </c>
      <c r="C5" s="367">
        <f t="shared" si="2"/>
        <v>14</v>
      </c>
      <c r="D5" s="335" t="str">
        <f t="shared" si="3"/>
        <v>26,32</v>
      </c>
      <c r="E5" s="335" t="str">
        <f t="shared" si="4"/>
        <v>28,11</v>
      </c>
      <c r="F5" s="335" t="str">
        <f t="shared" si="5"/>
        <v>30,44</v>
      </c>
      <c r="G5" s="335" t="str">
        <f t="shared" si="6"/>
        <v>33,04</v>
      </c>
      <c r="H5" s="335" t="str">
        <f t="shared" si="7"/>
        <v>35,93</v>
      </c>
      <c r="I5" s="335" t="str">
        <f t="shared" si="8"/>
        <v>38,00</v>
      </c>
      <c r="J5" s="328" t="str">
        <f>""</f>
        <v/>
      </c>
      <c r="K5" s="332" t="str">
        <f>IF(Umse!$C$24=0,"",IF(OR($A$1="1.1.",$A$1="1.2.",$A$1="1.3."),V5,""))</f>
        <v>EG</v>
      </c>
      <c r="L5" s="367">
        <f>IF(Umse!$C$24=0,"",IF(OR($A$1="1.1.",$A$1="1.2.",$A$1="1.3."),W5,""))</f>
        <v>14</v>
      </c>
      <c r="M5" s="335">
        <f>IF(Umse!$C$24=0,0,IF(OR($A$1="1.1.",$A$1="1.2.",$A$1="1.3."),'B zwTab'!D6,""))</f>
        <v>4462.6499999999996</v>
      </c>
      <c r="N5" s="335">
        <f>IF(Umse!$C$24=0,0,IF(OR($A$1="1.1.",$A$1="1.2.",$A$1="1.3."),'B zwTab'!E6,""))</f>
        <v>4766.1099999999997</v>
      </c>
      <c r="O5" s="335">
        <f>IF(Umse!$C$24=0,0,IF(OR($A$1="1.1.",$A$1="1.2.",$A$1="1.3."),'B zwTab'!F6,""))</f>
        <v>5162.41</v>
      </c>
      <c r="P5" s="335">
        <f>IF(Umse!$C$24=0,0,IF(OR($A$1="1.1.",$A$1="1.2.",$A$1="1.3."),'B zwTab'!G6,""))</f>
        <v>5602.17</v>
      </c>
      <c r="Q5" s="335">
        <f>IF(Umse!$C$24=0,0,IF(OR($A$1="1.1.",$A$1="1.2.",$A$1="1.3."),'B zwTab'!H6,""))</f>
        <v>6092.39</v>
      </c>
      <c r="R5" s="335">
        <f>IF(Umse!$C$24=0,0,IF(OR($A$1="1.1.",$A$1="1.2.",$A$1="1.3."),'B zwTab'!I6,""))</f>
        <v>6444.31</v>
      </c>
      <c r="V5" s="431" t="s">
        <v>6</v>
      </c>
      <c r="W5" s="431">
        <v>14</v>
      </c>
    </row>
    <row r="6" spans="1:23">
      <c r="B6" s="332" t="str">
        <f t="shared" si="1"/>
        <v>EG</v>
      </c>
      <c r="C6" s="367">
        <f t="shared" si="2"/>
        <v>13</v>
      </c>
      <c r="D6" s="335" t="str">
        <f t="shared" si="3"/>
        <v>24,26</v>
      </c>
      <c r="E6" s="335" t="str">
        <f t="shared" si="4"/>
        <v>26,22</v>
      </c>
      <c r="F6" s="335" t="str">
        <f t="shared" si="5"/>
        <v>28,45</v>
      </c>
      <c r="G6" s="335" t="str">
        <f t="shared" si="6"/>
        <v>30,88</v>
      </c>
      <c r="H6" s="335" t="str">
        <f t="shared" si="7"/>
        <v>33,73</v>
      </c>
      <c r="I6" s="335" t="str">
        <f t="shared" si="8"/>
        <v>35,28</v>
      </c>
      <c r="J6" s="328" t="str">
        <f>""</f>
        <v/>
      </c>
      <c r="K6" s="332" t="str">
        <f>IF(Umse!$C$24=0,"",IF(OR($A$1="1.1.",$A$1="1.2.",$A$1="1.3."),V6,""))</f>
        <v>EG</v>
      </c>
      <c r="L6" s="367">
        <f>IF(Umse!$C$24=0,"",IF(OR($A$1="1.1.",$A$1="1.2.",$A$1="1.3."),W6,""))</f>
        <v>13</v>
      </c>
      <c r="M6" s="335">
        <f>IF(Umse!$C$24=0,0,IF(OR($A$1="1.1.",$A$1="1.2.",$A$1="1.3."),'B zwTab'!D7,""))</f>
        <v>4113.41</v>
      </c>
      <c r="N6" s="335">
        <f>IF(Umse!$C$24=0,0,IF(OR($A$1="1.1.",$A$1="1.2.",$A$1="1.3."),'B zwTab'!E7,""))</f>
        <v>4445.99</v>
      </c>
      <c r="O6" s="335">
        <f>IF(Umse!$C$24=0,0,IF(OR($A$1="1.1.",$A$1="1.2.",$A$1="1.3."),'B zwTab'!F7,""))</f>
        <v>4824.6000000000004</v>
      </c>
      <c r="P6" s="335">
        <f>IF(Umse!$C$24=0,0,IF(OR($A$1="1.1.",$A$1="1.2.",$A$1="1.3."),'B zwTab'!G7,""))</f>
        <v>5235.66</v>
      </c>
      <c r="Q6" s="335">
        <f>IF(Umse!$C$24=0,0,IF(OR($A$1="1.1.",$A$1="1.2.",$A$1="1.3."),'B zwTab'!H7,""))</f>
        <v>5719.35</v>
      </c>
      <c r="R6" s="335">
        <f>IF(Umse!$C$24=0,0,IF(OR($A$1="1.1.",$A$1="1.2.",$A$1="1.3."),'B zwTab'!I7,""))</f>
        <v>5981.85</v>
      </c>
      <c r="V6" s="431" t="s">
        <v>6</v>
      </c>
      <c r="W6" s="431">
        <v>13</v>
      </c>
    </row>
    <row r="7" spans="1:23">
      <c r="B7" s="332" t="str">
        <f t="shared" si="1"/>
        <v>EG</v>
      </c>
      <c r="C7" s="367">
        <f t="shared" si="2"/>
        <v>12</v>
      </c>
      <c r="D7" s="335" t="str">
        <f t="shared" si="3"/>
        <v>21,74</v>
      </c>
      <c r="E7" s="335" t="str">
        <f t="shared" si="4"/>
        <v>24,00</v>
      </c>
      <c r="F7" s="335" t="str">
        <f t="shared" si="5"/>
        <v>26,63</v>
      </c>
      <c r="G7" s="335" t="str">
        <f t="shared" si="6"/>
        <v>29,56</v>
      </c>
      <c r="H7" s="335" t="str">
        <f t="shared" si="7"/>
        <v>33,00</v>
      </c>
      <c r="I7" s="335" t="str">
        <f t="shared" si="8"/>
        <v>34,62</v>
      </c>
      <c r="J7" s="328" t="str">
        <f>""</f>
        <v/>
      </c>
      <c r="K7" s="332" t="str">
        <f>IF(Umse!$C$24=0,"",IF(OR($A$1="1.1.",$A$1="1.2.",$A$1="1.3."),V7,""))</f>
        <v>EG</v>
      </c>
      <c r="L7" s="367">
        <f>IF(Umse!$C$24=0,"",IF(OR($A$1="1.1.",$A$1="1.2.",$A$1="1.3."),W7,""))</f>
        <v>12</v>
      </c>
      <c r="M7" s="335">
        <f>IF(Umse!$C$24=0,0,IF(OR($A$1="1.1.",$A$1="1.2.",$A$1="1.3."),'B zwTab'!D8,""))</f>
        <v>3686.55</v>
      </c>
      <c r="N7" s="335">
        <f>IF(Umse!$C$24=0,0,IF(OR($A$1="1.1.",$A$1="1.2.",$A$1="1.3."),'B zwTab'!E8,""))</f>
        <v>4069.25</v>
      </c>
      <c r="O7" s="335">
        <f>IF(Umse!$C$24=0,0,IF(OR($A$1="1.1.",$A$1="1.2.",$A$1="1.3."),'B zwTab'!F8,""))</f>
        <v>4516.49</v>
      </c>
      <c r="P7" s="335">
        <f>IF(Umse!$C$24=0,0,IF(OR($A$1="1.1.",$A$1="1.2.",$A$1="1.3."),'B zwTab'!G8,""))</f>
        <v>5012.74</v>
      </c>
      <c r="Q7" s="335">
        <f>IF(Umse!$C$24=0,0,IF(OR($A$1="1.1.",$A$1="1.2.",$A$1="1.3."),'B zwTab'!H8,""))</f>
        <v>5595.03</v>
      </c>
      <c r="R7" s="335">
        <f>IF(Umse!$C$24=0,0,IF(OR($A$1="1.1.",$A$1="1.2.",$A$1="1.3."),'B zwTab'!I8,""))</f>
        <v>5871.32</v>
      </c>
      <c r="V7" s="431" t="s">
        <v>6</v>
      </c>
      <c r="W7" s="431">
        <v>12</v>
      </c>
    </row>
    <row r="8" spans="1:23">
      <c r="B8" s="332" t="str">
        <f t="shared" si="1"/>
        <v>EG</v>
      </c>
      <c r="C8" s="367">
        <f t="shared" si="2"/>
        <v>11</v>
      </c>
      <c r="D8" s="335" t="str">
        <f t="shared" si="3"/>
        <v>20,98</v>
      </c>
      <c r="E8" s="335" t="str">
        <f t="shared" si="4"/>
        <v>23,06</v>
      </c>
      <c r="F8" s="335" t="str">
        <f t="shared" si="5"/>
        <v>25,01</v>
      </c>
      <c r="G8" s="335" t="str">
        <f t="shared" si="6"/>
        <v>27,13</v>
      </c>
      <c r="H8" s="335" t="str">
        <f t="shared" si="7"/>
        <v>30,02</v>
      </c>
      <c r="I8" s="335" t="str">
        <f t="shared" si="8"/>
        <v>31,65</v>
      </c>
      <c r="J8" s="328" t="str">
        <f>""</f>
        <v/>
      </c>
      <c r="K8" s="332" t="str">
        <f>IF(Umse!$C$24=0,"",IF(OR($A$1="1.1.",$A$1="1.2.",$A$1="1.3."),V8,""))</f>
        <v>EG</v>
      </c>
      <c r="L8" s="367">
        <f>IF(Umse!$C$24=0,"",IF(OR($A$1="1.1.",$A$1="1.2.",$A$1="1.3."),W8,""))</f>
        <v>11</v>
      </c>
      <c r="M8" s="335">
        <f>IF(Umse!$C$24=0,0,IF(OR($A$1="1.1.",$A$1="1.2.",$A$1="1.3."),'B zwTab'!D9,""))</f>
        <v>3558.11</v>
      </c>
      <c r="N8" s="335">
        <f>IF(Umse!$C$24=0,0,IF(OR($A$1="1.1.",$A$1="1.2.",$A$1="1.3."),'B zwTab'!E9,""))</f>
        <v>3910.1</v>
      </c>
      <c r="O8" s="335">
        <f>IF(Umse!$C$24=0,0,IF(OR($A$1="1.1.",$A$1="1.2.",$A$1="1.3."),'B zwTab'!F9,""))</f>
        <v>4240.84</v>
      </c>
      <c r="P8" s="335">
        <f>IF(Umse!$C$24=0,0,IF(OR($A$1="1.1.",$A$1="1.2.",$A$1="1.3."),'B zwTab'!G9,""))</f>
        <v>4599.68</v>
      </c>
      <c r="Q8" s="335">
        <f>IF(Umse!$C$24=0,0,IF(OR($A$1="1.1.",$A$1="1.2.",$A$1="1.3."),'B zwTab'!H9,""))</f>
        <v>5090.78</v>
      </c>
      <c r="R8" s="335">
        <f>IF(Umse!$C$24=0,0,IF(OR($A$1="1.1.",$A$1="1.2.",$A$1="1.3."),'B zwTab'!I9,""))</f>
        <v>5367.08</v>
      </c>
      <c r="V8" s="431" t="s">
        <v>6</v>
      </c>
      <c r="W8" s="431">
        <v>11</v>
      </c>
    </row>
    <row r="9" spans="1:23">
      <c r="B9" s="332" t="str">
        <f t="shared" si="1"/>
        <v>EG</v>
      </c>
      <c r="C9" s="367">
        <f t="shared" si="2"/>
        <v>10</v>
      </c>
      <c r="D9" s="335" t="str">
        <f t="shared" si="3"/>
        <v>20,23</v>
      </c>
      <c r="E9" s="335" t="str">
        <f t="shared" si="4"/>
        <v>21,86</v>
      </c>
      <c r="F9" s="335" t="str">
        <f t="shared" si="5"/>
        <v>23,71</v>
      </c>
      <c r="G9" s="335" t="str">
        <f t="shared" si="6"/>
        <v>25,71</v>
      </c>
      <c r="H9" s="335" t="str">
        <f t="shared" si="7"/>
        <v>27,94</v>
      </c>
      <c r="I9" s="335" t="str">
        <f t="shared" si="8"/>
        <v>28,68</v>
      </c>
      <c r="J9" s="627" t="str">
        <f>IF(A1="1.2.","* Ergebnis der Redaktion:","")</f>
        <v>* Ergebnis der Redaktion:</v>
      </c>
      <c r="K9" s="332" t="str">
        <f>IF(Umse!$C$24=0,"",IF(OR($A$1="1.1.",$A$1="1.2.",$A$1="1.3."),V9,""))</f>
        <v>EG</v>
      </c>
      <c r="L9" s="367">
        <f>IF(Umse!$C$24=0,"",IF(OR($A$1="1.1.",$A$1="1.2.",$A$1="1.3."),W9,""))</f>
        <v>10</v>
      </c>
      <c r="M9" s="335">
        <f>IF(Umse!$C$24=0,0,IF(OR($A$1="1.1.",$A$1="1.2.",$A$1="1.3."),'B zwTab'!D10,""))</f>
        <v>3430.51</v>
      </c>
      <c r="N9" s="335">
        <f>IF(Umse!$C$24=0,0,IF(OR($A$1="1.1.",$A$1="1.2.",$A$1="1.3."),'B zwTab'!E10,""))</f>
        <v>3706.3</v>
      </c>
      <c r="O9" s="335">
        <f>IF(Umse!$C$24=0,0,IF(OR($A$1="1.1.",$A$1="1.2.",$A$1="1.3."),'B zwTab'!F10,""))</f>
        <v>4019.82</v>
      </c>
      <c r="P9" s="335">
        <f>IF(Umse!$C$24=0,0,IF(OR($A$1="1.1.",$A$1="1.2.",$A$1="1.3."),'B zwTab'!G10,""))</f>
        <v>4359.8500000000004</v>
      </c>
      <c r="Q9" s="335">
        <f>IF(Umse!$C$24=0,0,IF(OR($A$1="1.1.",$A$1="1.2.",$A$1="1.3."),'B zwTab'!H10,""))</f>
        <v>4738.5</v>
      </c>
      <c r="R9" s="335">
        <f>IF(Umse!$C$24=0,0,IF(OR($A$1="1.1.",$A$1="1.2.",$A$1="1.3."),'B zwTab'!I10,""))</f>
        <v>4862.83</v>
      </c>
      <c r="V9" s="431" t="s">
        <v>6</v>
      </c>
      <c r="W9" s="431">
        <v>10</v>
      </c>
    </row>
    <row r="10" spans="1:23" ht="12.75" customHeight="1">
      <c r="B10" s="332" t="str">
        <f t="shared" si="1"/>
        <v>EG</v>
      </c>
      <c r="C10" s="367" t="str">
        <f t="shared" si="2"/>
        <v>9c *</v>
      </c>
      <c r="D10" s="335" t="str">
        <f t="shared" si="3"/>
        <v>19,47</v>
      </c>
      <c r="E10" s="335" t="str">
        <f t="shared" si="4"/>
        <v>20,88</v>
      </c>
      <c r="F10" s="335" t="str">
        <f t="shared" si="5"/>
        <v>22,64</v>
      </c>
      <c r="G10" s="335" t="str">
        <f t="shared" si="6"/>
        <v>24,56</v>
      </c>
      <c r="H10" s="335" t="str">
        <f t="shared" si="7"/>
        <v>26,63</v>
      </c>
      <c r="I10" s="335" t="str">
        <f t="shared" si="8"/>
        <v>27,30</v>
      </c>
      <c r="J10" s="627" t="str">
        <f>IF(A1="1.2.","EG 9c und 9b in Stufe 1","")</f>
        <v>EG 9c und 9b in Stufe 1</v>
      </c>
      <c r="K10" s="332" t="str">
        <f>IF(Umse!$C$24=0,"",IF(OR($A$1="1.1.",$A$1="1.2.",$A$1="1.3."),V10,""))</f>
        <v>EG</v>
      </c>
      <c r="L10" s="367" t="str">
        <f>IF(Umse!$C$24=0,"",IF(OR($A$1="1.1.",$A$1="1.2.",$A$1="1.3."),W10,""))</f>
        <v>9c *</v>
      </c>
      <c r="M10" s="335">
        <f>IF(Umse!$C$24=0,0,IF(OR($A$1="1.1.",$A$1="1.2.",$A$1="1.3."),'B zwTab'!D11,""))</f>
        <v>3301.9066666666668</v>
      </c>
      <c r="N10" s="335">
        <f>IF(Umse!$C$24=0,0,IF(OR($A$1="1.1.",$A$1="1.2.",$A$1="1.3."),'B zwTab'!E11,""))</f>
        <v>3540.82</v>
      </c>
      <c r="O10" s="335">
        <f>IF(Umse!$C$24=0,0,IF(OR($A$1="1.1.",$A$1="1.2.",$A$1="1.3."),'B zwTab'!F11,""))</f>
        <v>3839.03</v>
      </c>
      <c r="P10" s="335">
        <f>IF(Umse!$C$24=0,0,IF(OR($A$1="1.1.",$A$1="1.2.",$A$1="1.3."),'B zwTab'!G11,""))</f>
        <v>4163.95</v>
      </c>
      <c r="Q10" s="335">
        <f>IF(Umse!$C$24=0,0,IF(OR($A$1="1.1.",$A$1="1.2.",$A$1="1.3."),'B zwTab'!H11,""))</f>
        <v>4516.2299999999996</v>
      </c>
      <c r="R10" s="335">
        <f>IF(Umse!$C$24=0,0,IF(OR($A$1="1.1.",$A$1="1.2.",$A$1="1.3."),'B zwTab'!I11,""))</f>
        <v>4629.3100000000004</v>
      </c>
      <c r="V10" s="431" t="s">
        <v>6</v>
      </c>
      <c r="W10" s="626" t="str">
        <f>IF(A1="1.2.","9c *","9c")</f>
        <v>9c *</v>
      </c>
    </row>
    <row r="11" spans="1:23" ht="12.75" customHeight="1">
      <c r="B11" s="332" t="str">
        <f t="shared" si="1"/>
        <v>EG</v>
      </c>
      <c r="C11" s="367" t="str">
        <f t="shared" si="2"/>
        <v>9b *</v>
      </c>
      <c r="D11" s="335" t="str">
        <f t="shared" si="3"/>
        <v>18,71</v>
      </c>
      <c r="E11" s="335" t="str">
        <f t="shared" si="4"/>
        <v>19,36</v>
      </c>
      <c r="F11" s="335" t="str">
        <f t="shared" si="5"/>
        <v>20,97</v>
      </c>
      <c r="G11" s="335" t="str">
        <f t="shared" si="6"/>
        <v>22,74</v>
      </c>
      <c r="H11" s="335" t="str">
        <f t="shared" si="7"/>
        <v>24,69</v>
      </c>
      <c r="I11" s="335" t="str">
        <f t="shared" si="8"/>
        <v>26,31</v>
      </c>
      <c r="J11" s="628" t="str">
        <f>IF(A1="1.2.","differenziert angehoben","")</f>
        <v>differenziert angehoben</v>
      </c>
      <c r="K11" s="332" t="str">
        <f>IF(Umse!$C$24=0,"",IF(OR($A$1="1.1.",$A$1="1.2.",$A$1="1.3."),V11,""))</f>
        <v>EG</v>
      </c>
      <c r="L11" s="367" t="str">
        <f>IF(Umse!$C$24=0,"",IF(OR($A$1="1.1.",$A$1="1.2.",$A$1="1.3."),W11,""))</f>
        <v>9b *</v>
      </c>
      <c r="M11" s="335">
        <f>IF(Umse!$C$24=0,0,IF(OR($A$1="1.1.",$A$1="1.2.",$A$1="1.3."),'B zwTab'!D12,""))</f>
        <v>3173.3033333333333</v>
      </c>
      <c r="N11" s="335">
        <f>IF(Umse!$C$24=0,0,IF(OR($A$1="1.1.",$A$1="1.2.",$A$1="1.3."),'B zwTab'!E12,""))</f>
        <v>3282.46</v>
      </c>
      <c r="O11" s="335">
        <f>IF(Umse!$C$24=0,0,IF(OR($A$1="1.1.",$A$1="1.2.",$A$1="1.3."),'B zwTab'!F12,""))</f>
        <v>3555.82</v>
      </c>
      <c r="P11" s="335">
        <f>IF(Umse!$C$24=0,0,IF(OR($A$1="1.1.",$A$1="1.2.",$A$1="1.3."),'B zwTab'!G12,""))</f>
        <v>3855.78</v>
      </c>
      <c r="Q11" s="335">
        <f>IF(Umse!$C$24=0,0,IF(OR($A$1="1.1.",$A$1="1.2.",$A$1="1.3."),'B zwTab'!H12,""))</f>
        <v>4185.91</v>
      </c>
      <c r="R11" s="335">
        <f>IF(Umse!$C$24=0,0,IF(OR($A$1="1.1.",$A$1="1.2.",$A$1="1.3."),'B zwTab'!I12,""))</f>
        <v>4462.1899999999996</v>
      </c>
      <c r="V11" s="431" t="s">
        <v>6</v>
      </c>
      <c r="W11" s="626" t="str">
        <f>IF(A1="1.2.","9b *","9b")</f>
        <v>9b *</v>
      </c>
    </row>
    <row r="12" spans="1:23">
      <c r="B12" s="332" t="str">
        <f t="shared" si="1"/>
        <v>EG</v>
      </c>
      <c r="C12" s="367" t="str">
        <f t="shared" si="2"/>
        <v>9a</v>
      </c>
      <c r="D12" s="335" t="str">
        <f t="shared" si="3"/>
        <v>17,96</v>
      </c>
      <c r="E12" s="335" t="str">
        <f t="shared" si="4"/>
        <v>19,16</v>
      </c>
      <c r="F12" s="335" t="str">
        <f t="shared" si="5"/>
        <v>19,49</v>
      </c>
      <c r="G12" s="335" t="str">
        <f t="shared" si="6"/>
        <v>20,60</v>
      </c>
      <c r="H12" s="335" t="str">
        <f t="shared" si="7"/>
        <v>22,65</v>
      </c>
      <c r="I12" s="335" t="str">
        <f t="shared" si="8"/>
        <v>23,46</v>
      </c>
      <c r="J12" s="333" t="str">
        <f>""</f>
        <v/>
      </c>
      <c r="K12" s="332" t="str">
        <f>IF(Umse!$C$24=0,"",IF(OR($A$1="1.1.",$A$1="1.2.",$A$1="1.3."),V12,""))</f>
        <v>EG</v>
      </c>
      <c r="L12" s="367" t="str">
        <f>IF(Umse!$C$24=0,"",IF(OR($A$1="1.1.",$A$1="1.2.",$A$1="1.3."),W12,""))</f>
        <v>9a</v>
      </c>
      <c r="M12" s="335">
        <f>IF(Umse!$C$24=0,0,IF(OR($A$1="1.1.",$A$1="1.2.",$A$1="1.3."),'B zwTab'!D13,""))</f>
        <v>3044.7</v>
      </c>
      <c r="N12" s="335">
        <f>IF(Umse!$C$24=0,0,IF(OR($A$1="1.1.",$A$1="1.2.",$A$1="1.3."),'B zwTab'!E13,""))</f>
        <v>3248.34</v>
      </c>
      <c r="O12" s="335">
        <f>IF(Umse!$C$24=0,0,IF(OR($A$1="1.1.",$A$1="1.2.",$A$1="1.3."),'B zwTab'!F13,""))</f>
        <v>3304.35</v>
      </c>
      <c r="P12" s="335">
        <f>IF(Umse!$C$24=0,0,IF(OR($A$1="1.1.",$A$1="1.2.",$A$1="1.3."),'B zwTab'!G13,""))</f>
        <v>3493.66</v>
      </c>
      <c r="Q12" s="335">
        <f>IF(Umse!$C$24=0,0,IF(OR($A$1="1.1.",$A$1="1.2.",$A$1="1.3."),'B zwTab'!H13,""))</f>
        <v>3840.53</v>
      </c>
      <c r="R12" s="335">
        <f>IF(Umse!$C$24=0,0,IF(OR($A$1="1.1.",$A$1="1.2.",$A$1="1.3."),'B zwTab'!I13,""))</f>
        <v>3977.78</v>
      </c>
      <c r="V12" s="431" t="s">
        <v>6</v>
      </c>
      <c r="W12" s="431" t="s">
        <v>252</v>
      </c>
    </row>
    <row r="13" spans="1:23">
      <c r="B13" s="332" t="str">
        <f t="shared" si="1"/>
        <v>EG</v>
      </c>
      <c r="C13" s="367">
        <f t="shared" si="2"/>
        <v>8</v>
      </c>
      <c r="D13" s="335" t="str">
        <f t="shared" si="3"/>
        <v>16,86</v>
      </c>
      <c r="E13" s="335" t="str">
        <f t="shared" si="4"/>
        <v>17,99</v>
      </c>
      <c r="F13" s="335" t="str">
        <f t="shared" si="5"/>
        <v>18,77</v>
      </c>
      <c r="G13" s="335" t="str">
        <f t="shared" si="6"/>
        <v>19,55</v>
      </c>
      <c r="H13" s="335" t="str">
        <f t="shared" si="7"/>
        <v>20,38</v>
      </c>
      <c r="I13" s="335" t="str">
        <f t="shared" si="8"/>
        <v>20,78</v>
      </c>
      <c r="J13" s="333" t="str">
        <f>""</f>
        <v/>
      </c>
      <c r="K13" s="332" t="str">
        <f>IF(Umse!$C$24=0,"",IF(OR($A$1="1.1.",$A$1="1.2.",$A$1="1.3."),V13,""))</f>
        <v>EG</v>
      </c>
      <c r="L13" s="367">
        <f>IF(Umse!$C$24=0,"",IF(OR($A$1="1.1.",$A$1="1.2.",$A$1="1.3."),W13,""))</f>
        <v>8</v>
      </c>
      <c r="M13" s="335">
        <f>IF(Umse!$C$24=0,0,IF(OR($A$1="1.1.",$A$1="1.2.",$A$1="1.3."),'B zwTab'!D14,""))</f>
        <v>2858.91</v>
      </c>
      <c r="N13" s="335">
        <f>IF(Umse!$C$24=0,0,IF(OR($A$1="1.1.",$A$1="1.2.",$A$1="1.3."),'B zwTab'!E14,""))</f>
        <v>3049.92</v>
      </c>
      <c r="O13" s="335">
        <f>IF(Umse!$C$24=0,0,IF(OR($A$1="1.1.",$A$1="1.2.",$A$1="1.3."),'B zwTab'!F14,""))</f>
        <v>3182.23</v>
      </c>
      <c r="P13" s="335">
        <f>IF(Umse!$C$24=0,0,IF(OR($A$1="1.1.",$A$1="1.2.",$A$1="1.3."),'B zwTab'!G14,""))</f>
        <v>3314.31</v>
      </c>
      <c r="Q13" s="335">
        <f>IF(Umse!$C$24=0,0,IF(OR($A$1="1.1.",$A$1="1.2.",$A$1="1.3."),'B zwTab'!H14,""))</f>
        <v>3455.98</v>
      </c>
      <c r="R13" s="335">
        <f>IF(Umse!$C$24=0,0,IF(OR($A$1="1.1.",$A$1="1.2.",$A$1="1.3."),'B zwTab'!I14,""))</f>
        <v>3524.11</v>
      </c>
      <c r="V13" s="431" t="s">
        <v>6</v>
      </c>
      <c r="W13" s="431">
        <v>8</v>
      </c>
    </row>
    <row r="14" spans="1:23">
      <c r="B14" s="332" t="str">
        <f t="shared" si="1"/>
        <v>EG</v>
      </c>
      <c r="C14" s="367">
        <f t="shared" si="2"/>
        <v>7</v>
      </c>
      <c r="D14" s="335" t="str">
        <f t="shared" si="3"/>
        <v>15,84</v>
      </c>
      <c r="E14" s="335" t="str">
        <f t="shared" si="4"/>
        <v>17,14</v>
      </c>
      <c r="F14" s="335" t="str">
        <f t="shared" si="5"/>
        <v>17,91</v>
      </c>
      <c r="G14" s="335" t="str">
        <f t="shared" si="6"/>
        <v>18,69</v>
      </c>
      <c r="H14" s="335" t="str">
        <f t="shared" si="7"/>
        <v>19,42</v>
      </c>
      <c r="I14" s="335" t="str">
        <f t="shared" si="8"/>
        <v>19,82</v>
      </c>
      <c r="J14" s="333" t="str">
        <f>""</f>
        <v/>
      </c>
      <c r="K14" s="332" t="str">
        <f>IF(Umse!$C$24=0,"",IF(OR($A$1="1.1.",$A$1="1.2.",$A$1="1.3."),V14,""))</f>
        <v>EG</v>
      </c>
      <c r="L14" s="367">
        <f>IF(Umse!$C$24=0,"",IF(OR($A$1="1.1.",$A$1="1.2.",$A$1="1.3."),W14,""))</f>
        <v>7</v>
      </c>
      <c r="M14" s="335">
        <f>IF(Umse!$C$24=0,0,IF(OR($A$1="1.1.",$A$1="1.2.",$A$1="1.3."),'B zwTab'!D15,""))</f>
        <v>2685.53</v>
      </c>
      <c r="N14" s="335">
        <f>IF(Umse!$C$24=0,0,IF(OR($A$1="1.1.",$A$1="1.2.",$A$1="1.3."),'B zwTab'!E15,""))</f>
        <v>2905.6</v>
      </c>
      <c r="O14" s="335">
        <f>IF(Umse!$C$24=0,0,IF(OR($A$1="1.1.",$A$1="1.2.",$A$1="1.3."),'B zwTab'!F15,""))</f>
        <v>3036.7</v>
      </c>
      <c r="P14" s="335">
        <f>IF(Umse!$C$24=0,0,IF(OR($A$1="1.1.",$A$1="1.2.",$A$1="1.3."),'B zwTab'!G15,""))</f>
        <v>3169</v>
      </c>
      <c r="Q14" s="335">
        <f>IF(Umse!$C$24=0,0,IF(OR($A$1="1.1.",$A$1="1.2.",$A$1="1.3."),'B zwTab'!H15,""))</f>
        <v>3293.78</v>
      </c>
      <c r="R14" s="335">
        <f>IF(Umse!$C$24=0,0,IF(OR($A$1="1.1.",$A$1="1.2.",$A$1="1.3."),'B zwTab'!I15,""))</f>
        <v>3360.79</v>
      </c>
      <c r="V14" s="431" t="s">
        <v>6</v>
      </c>
      <c r="W14" s="431">
        <v>7</v>
      </c>
    </row>
    <row r="15" spans="1:23">
      <c r="B15" s="332" t="str">
        <f t="shared" si="1"/>
        <v>EG</v>
      </c>
      <c r="C15" s="367">
        <f t="shared" si="2"/>
        <v>6</v>
      </c>
      <c r="D15" s="335" t="str">
        <f t="shared" si="3"/>
        <v>15,55</v>
      </c>
      <c r="E15" s="335" t="str">
        <f t="shared" si="4"/>
        <v>16,61</v>
      </c>
      <c r="F15" s="335" t="str">
        <f t="shared" si="5"/>
        <v>17,36</v>
      </c>
      <c r="G15" s="335" t="str">
        <f t="shared" si="6"/>
        <v>18,10</v>
      </c>
      <c r="H15" s="335" t="str">
        <f t="shared" si="7"/>
        <v>18,83</v>
      </c>
      <c r="I15" s="335" t="str">
        <f t="shared" si="8"/>
        <v>19,20</v>
      </c>
      <c r="J15" s="333" t="str">
        <f>""</f>
        <v/>
      </c>
      <c r="K15" s="332" t="str">
        <f>IF(Umse!$C$24=0,"",IF(OR($A$1="1.1.",$A$1="1.2.",$A$1="1.3."),V15,""))</f>
        <v>EG</v>
      </c>
      <c r="L15" s="367">
        <f>IF(Umse!$C$24=0,"",IF(OR($A$1="1.1.",$A$1="1.2.",$A$1="1.3."),W15,""))</f>
        <v>6</v>
      </c>
      <c r="M15" s="335">
        <f>IF(Umse!$C$24=0,0,IF(OR($A$1="1.1.",$A$1="1.2.",$A$1="1.3."),'B zwTab'!D16,""))</f>
        <v>2636</v>
      </c>
      <c r="N15" s="335">
        <f>IF(Umse!$C$24=0,0,IF(OR($A$1="1.1.",$A$1="1.2.",$A$1="1.3."),'B zwTab'!E16,""))</f>
        <v>2817.11</v>
      </c>
      <c r="O15" s="335">
        <f>IF(Umse!$C$24=0,0,IF(OR($A$1="1.1.",$A$1="1.2.",$A$1="1.3."),'B zwTab'!F16,""))</f>
        <v>2944.11</v>
      </c>
      <c r="P15" s="335">
        <f>IF(Umse!$C$24=0,0,IF(OR($A$1="1.1.",$A$1="1.2.",$A$1="1.3."),'B zwTab'!G16,""))</f>
        <v>3069.78</v>
      </c>
      <c r="Q15" s="335">
        <f>IF(Umse!$C$24=0,0,IF(OR($A$1="1.1.",$A$1="1.2.",$A$1="1.3."),'B zwTab'!H16,""))</f>
        <v>3193.22</v>
      </c>
      <c r="R15" s="335">
        <f>IF(Umse!$C$24=0,0,IF(OR($A$1="1.1.",$A$1="1.2.",$A$1="1.3."),'B zwTab'!I16,""))</f>
        <v>3256.1</v>
      </c>
      <c r="V15" s="431" t="s">
        <v>6</v>
      </c>
      <c r="W15" s="431">
        <v>6</v>
      </c>
    </row>
    <row r="16" spans="1:23">
      <c r="B16" s="332" t="str">
        <f t="shared" si="1"/>
        <v>EG</v>
      </c>
      <c r="C16" s="367">
        <f t="shared" si="2"/>
        <v>5</v>
      </c>
      <c r="D16" s="335" t="str">
        <f t="shared" si="3"/>
        <v>14,92</v>
      </c>
      <c r="E16" s="335" t="str">
        <f t="shared" si="4"/>
        <v>15,96</v>
      </c>
      <c r="F16" s="335" t="str">
        <f t="shared" si="5"/>
        <v>16,66</v>
      </c>
      <c r="G16" s="335" t="str">
        <f t="shared" si="6"/>
        <v>17,40</v>
      </c>
      <c r="H16" s="335" t="str">
        <f t="shared" si="7"/>
        <v>18,09</v>
      </c>
      <c r="I16" s="335" t="str">
        <f t="shared" si="8"/>
        <v>18,45</v>
      </c>
      <c r="J16" s="333" t="str">
        <f>""</f>
        <v/>
      </c>
      <c r="K16" s="332" t="str">
        <f>IF(Umse!$C$24=0,"",IF(OR($A$1="1.1.",$A$1="1.2.",$A$1="1.3."),V16,""))</f>
        <v>EG</v>
      </c>
      <c r="L16" s="367">
        <f>IF(Umse!$C$24=0,"",IF(OR($A$1="1.1.",$A$1="1.2.",$A$1="1.3."),W16,""))</f>
        <v>5</v>
      </c>
      <c r="M16" s="335">
        <f>IF(Umse!$C$24=0,0,IF(OR($A$1="1.1.",$A$1="1.2.",$A$1="1.3."),'B zwTab'!D17,""))</f>
        <v>2530.7399999999998</v>
      </c>
      <c r="N16" s="335">
        <f>IF(Umse!$C$24=0,0,IF(OR($A$1="1.1.",$A$1="1.2.",$A$1="1.3."),'B zwTab'!E17,""))</f>
        <v>2706.42</v>
      </c>
      <c r="O16" s="335">
        <f>IF(Umse!$C$24=0,0,IF(OR($A$1="1.1.",$A$1="1.2.",$A$1="1.3."),'B zwTab'!F17,""))</f>
        <v>2825.08</v>
      </c>
      <c r="P16" s="335">
        <f>IF(Umse!$C$24=0,0,IF(OR($A$1="1.1.",$A$1="1.2.",$A$1="1.3."),'B zwTab'!G17,""))</f>
        <v>2950.74</v>
      </c>
      <c r="Q16" s="335">
        <f>IF(Umse!$C$24=0,0,IF(OR($A$1="1.1.",$A$1="1.2.",$A$1="1.3."),'B zwTab'!H17,""))</f>
        <v>3067.5</v>
      </c>
      <c r="R16" s="335">
        <f>IF(Umse!$C$24=0,0,IF(OR($A$1="1.1.",$A$1="1.2.",$A$1="1.3."),'B zwTab'!I17,""))</f>
        <v>3127.85</v>
      </c>
      <c r="V16" s="431" t="s">
        <v>6</v>
      </c>
      <c r="W16" s="431">
        <v>5</v>
      </c>
    </row>
    <row r="17" spans="2:23" ht="11.25" customHeight="1">
      <c r="B17" s="332" t="str">
        <f t="shared" si="1"/>
        <v>EG</v>
      </c>
      <c r="C17" s="367">
        <f t="shared" si="2"/>
        <v>4</v>
      </c>
      <c r="D17" s="335" t="str">
        <f t="shared" si="3"/>
        <v>14,23</v>
      </c>
      <c r="E17" s="335" t="str">
        <f t="shared" si="4"/>
        <v>15,28</v>
      </c>
      <c r="F17" s="335" t="str">
        <f t="shared" si="5"/>
        <v>16,16</v>
      </c>
      <c r="G17" s="335" t="str">
        <f t="shared" si="6"/>
        <v>16,71</v>
      </c>
      <c r="H17" s="335" t="str">
        <f t="shared" si="7"/>
        <v>17,25</v>
      </c>
      <c r="I17" s="335" t="str">
        <f t="shared" si="8"/>
        <v>17,57</v>
      </c>
      <c r="J17" s="333" t="str">
        <f>""</f>
        <v/>
      </c>
      <c r="K17" s="332" t="str">
        <f>IF(Umse!$C$24=0,"",IF(OR($A$1="1.1.",$A$1="1.2.",$A$1="1.3."),V17,""))</f>
        <v>EG</v>
      </c>
      <c r="L17" s="367">
        <f>IF(Umse!$C$24=0,"",IF(OR($A$1="1.1.",$A$1="1.2.",$A$1="1.3."),W17,""))</f>
        <v>4</v>
      </c>
      <c r="M17" s="335">
        <f>IF(Umse!$C$24=0,0,IF(OR($A$1="1.1.",$A$1="1.2.",$A$1="1.3."),'B zwTab'!D18,""))</f>
        <v>2413.0700000000002</v>
      </c>
      <c r="N17" s="335">
        <f>IF(Umse!$C$24=0,0,IF(OR($A$1="1.1.",$A$1="1.2.",$A$1="1.3."),'B zwTab'!E18,""))</f>
        <v>2590.85</v>
      </c>
      <c r="O17" s="335">
        <f>IF(Umse!$C$24=0,0,IF(OR($A$1="1.1.",$A$1="1.2.",$A$1="1.3."),'B zwTab'!F18,""))</f>
        <v>2740.02</v>
      </c>
      <c r="P17" s="335">
        <f>IF(Umse!$C$24=0,0,IF(OR($A$1="1.1.",$A$1="1.2.",$A$1="1.3."),'B zwTab'!G18,""))</f>
        <v>2832.88</v>
      </c>
      <c r="Q17" s="335">
        <f>IF(Umse!$C$24=0,0,IF(OR($A$1="1.1.",$A$1="1.2.",$A$1="1.3."),'B zwTab'!H18,""))</f>
        <v>2925.73</v>
      </c>
      <c r="R17" s="335">
        <f>IF(Umse!$C$24=0,0,IF(OR($A$1="1.1.",$A$1="1.2.",$A$1="1.3."),'B zwTab'!I18,""))</f>
        <v>2980.1</v>
      </c>
      <c r="V17" s="431" t="s">
        <v>6</v>
      </c>
      <c r="W17" s="431">
        <v>4</v>
      </c>
    </row>
    <row r="18" spans="2:23">
      <c r="B18" s="332" t="str">
        <f t="shared" si="1"/>
        <v>EG</v>
      </c>
      <c r="C18" s="367">
        <f t="shared" si="2"/>
        <v>3</v>
      </c>
      <c r="D18" s="335" t="str">
        <f t="shared" si="3"/>
        <v>14,01</v>
      </c>
      <c r="E18" s="335" t="str">
        <f t="shared" si="4"/>
        <v>15,14</v>
      </c>
      <c r="F18" s="335" t="str">
        <f t="shared" si="5"/>
        <v>15,41</v>
      </c>
      <c r="G18" s="335" t="str">
        <f t="shared" si="6"/>
        <v>16,04</v>
      </c>
      <c r="H18" s="335" t="str">
        <f t="shared" si="7"/>
        <v>16,51</v>
      </c>
      <c r="I18" s="335" t="str">
        <f t="shared" si="8"/>
        <v>16,94</v>
      </c>
      <c r="J18" s="333" t="str">
        <f>""</f>
        <v/>
      </c>
      <c r="K18" s="332" t="str">
        <f>IF(Umse!$C$24=0,"",IF(OR($A$1="1.1.",$A$1="1.2.",$A$1="1.3."),V18,""))</f>
        <v>EG</v>
      </c>
      <c r="L18" s="367">
        <f>IF(Umse!$C$24=0,"",IF(OR($A$1="1.1.",$A$1="1.2.",$A$1="1.3."),W18,""))</f>
        <v>3</v>
      </c>
      <c r="M18" s="335">
        <f>IF(Umse!$C$24=0,0,IF(OR($A$1="1.1.",$A$1="1.2.",$A$1="1.3."),'B zwTab'!D19,""))</f>
        <v>2375.89</v>
      </c>
      <c r="N18" s="335">
        <f>IF(Umse!$C$24=0,0,IF(OR($A$1="1.1.",$A$1="1.2.",$A$1="1.3."),'B zwTab'!E19,""))</f>
        <v>2567.08</v>
      </c>
      <c r="O18" s="335">
        <f>IF(Umse!$C$24=0,0,IF(OR($A$1="1.1.",$A$1="1.2.",$A$1="1.3."),'B zwTab'!F19,""))</f>
        <v>2613.61</v>
      </c>
      <c r="P18" s="335">
        <f>IF(Umse!$C$24=0,0,IF(OR($A$1="1.1.",$A$1="1.2.",$A$1="1.3."),'B zwTab'!G19,""))</f>
        <v>2719.96</v>
      </c>
      <c r="Q18" s="335">
        <f>IF(Umse!$C$24=0,0,IF(OR($A$1="1.1.",$A$1="1.2.",$A$1="1.3."),'B zwTab'!H19,""))</f>
        <v>2799.76</v>
      </c>
      <c r="R18" s="335">
        <f>IF(Umse!$C$24=0,0,IF(OR($A$1="1.1.",$A$1="1.2.",$A$1="1.3."),'B zwTab'!I19,""))</f>
        <v>2872.87</v>
      </c>
      <c r="V18" s="431" t="s">
        <v>6</v>
      </c>
      <c r="W18" s="431">
        <v>3</v>
      </c>
    </row>
    <row r="19" spans="2:23">
      <c r="B19" s="332" t="str">
        <f t="shared" si="1"/>
        <v>EG</v>
      </c>
      <c r="C19" s="367" t="str">
        <f t="shared" si="2"/>
        <v>2Ü</v>
      </c>
      <c r="D19" s="335" t="str">
        <f t="shared" si="3"/>
        <v>13,10</v>
      </c>
      <c r="E19" s="335" t="str">
        <f t="shared" si="4"/>
        <v>14,41</v>
      </c>
      <c r="F19" s="335" t="str">
        <f t="shared" si="5"/>
        <v>14,88</v>
      </c>
      <c r="G19" s="335" t="str">
        <f t="shared" si="6"/>
        <v>15,51</v>
      </c>
      <c r="H19" s="335" t="str">
        <f t="shared" si="7"/>
        <v>15,94</v>
      </c>
      <c r="I19" s="335" t="str">
        <f t="shared" si="8"/>
        <v>16,27</v>
      </c>
      <c r="J19" s="333" t="str">
        <f>""</f>
        <v/>
      </c>
      <c r="K19" s="332" t="str">
        <f>IF(Umse!$C$24=0,"",IF(OR($A$1="1.1.",$A$1="1.2.",$A$1="1.3."),V19,""))</f>
        <v>EG</v>
      </c>
      <c r="L19" s="367" t="str">
        <f>IF(Umse!$C$24=0,"",IF(OR($A$1="1.1.",$A$1="1.2.",$A$1="1.3."),W19,""))</f>
        <v>2Ü</v>
      </c>
      <c r="M19" s="335">
        <f>IF(Umse!$C$24=0,0,IF(OR($A$1="1.1.",$A$1="1.2.",$A$1="1.3."),'B zwTab'!D20,""))</f>
        <v>2221.61</v>
      </c>
      <c r="N19" s="335">
        <f>IF(Umse!$C$24=0,0,IF(OR($A$1="1.1.",$A$1="1.2.",$A$1="1.3."),'B zwTab'!E20,""))</f>
        <v>2443.9899999999998</v>
      </c>
      <c r="O19" s="335">
        <f>IF(Umse!$C$24=0,0,IF(OR($A$1="1.1.",$A$1="1.2.",$A$1="1.3."),'B zwTab'!F20,""))</f>
        <v>2523.88</v>
      </c>
      <c r="P19" s="335">
        <f>IF(Umse!$C$24=0,0,IF(OR($A$1="1.1.",$A$1="1.2.",$A$1="1.3."),'B zwTab'!G20,""))</f>
        <v>2630.4</v>
      </c>
      <c r="Q19" s="335">
        <f>IF(Umse!$C$24=0,0,IF(OR($A$1="1.1.",$A$1="1.2.",$A$1="1.3."),'B zwTab'!H20,""))</f>
        <v>2703.6</v>
      </c>
      <c r="R19" s="335">
        <f>IF(Umse!$C$24=0,0,IF(OR($A$1="1.1.",$A$1="1.2.",$A$1="1.3."),'B zwTab'!I20,""))</f>
        <v>2758.23</v>
      </c>
      <c r="V19" s="431" t="s">
        <v>6</v>
      </c>
      <c r="W19" s="431" t="s">
        <v>14</v>
      </c>
    </row>
    <row r="20" spans="2:23">
      <c r="B20" s="332" t="str">
        <f t="shared" si="1"/>
        <v>EG</v>
      </c>
      <c r="C20" s="367">
        <f t="shared" si="2"/>
        <v>2</v>
      </c>
      <c r="D20" s="335" t="str">
        <f t="shared" si="3"/>
        <v>12,99</v>
      </c>
      <c r="E20" s="335" t="str">
        <f t="shared" si="4"/>
        <v>14,13</v>
      </c>
      <c r="F20" s="335" t="str">
        <f t="shared" si="5"/>
        <v>14,41</v>
      </c>
      <c r="G20" s="335" t="str">
        <f t="shared" si="6"/>
        <v>14,80</v>
      </c>
      <c r="H20" s="335" t="str">
        <f t="shared" si="7"/>
        <v>15,67</v>
      </c>
      <c r="I20" s="335" t="str">
        <f t="shared" si="8"/>
        <v>16,58</v>
      </c>
      <c r="J20" s="333" t="str">
        <f>""</f>
        <v/>
      </c>
      <c r="K20" s="332" t="str">
        <f>IF(Umse!$C$24=0,"",IF(OR($A$1="1.1.",$A$1="1.2.",$A$1="1.3."),V20,""))</f>
        <v>EG</v>
      </c>
      <c r="L20" s="367">
        <f>IF(Umse!$C$24=0,"",IF(OR($A$1="1.1.",$A$1="1.2.",$A$1="1.3."),W20,""))</f>
        <v>2</v>
      </c>
      <c r="M20" s="335">
        <f>IF(Umse!$C$24=0,0,IF(OR($A$1="1.1.",$A$1="1.2.",$A$1="1.3."),'B zwTab'!D21,""))</f>
        <v>2202.5100000000002</v>
      </c>
      <c r="N20" s="335">
        <f>IF(Umse!$C$24=0,0,IF(OR($A$1="1.1.",$A$1="1.2.",$A$1="1.3."),'B zwTab'!E21,""))</f>
        <v>2396</v>
      </c>
      <c r="O20" s="335">
        <f>IF(Umse!$C$24=0,0,IF(OR($A$1="1.1.",$A$1="1.2.",$A$1="1.3."),'B zwTab'!F21,""))</f>
        <v>2442.92</v>
      </c>
      <c r="P20" s="335">
        <f>IF(Umse!$C$24=0,0,IF(OR($A$1="1.1.",$A$1="1.2.",$A$1="1.3."),'B zwTab'!G21,""))</f>
        <v>2509.87</v>
      </c>
      <c r="Q20" s="335">
        <f>IF(Umse!$C$24=0,0,IF(OR($A$1="1.1.",$A$1="1.2.",$A$1="1.3."),'B zwTab'!H21,""))</f>
        <v>2657.03</v>
      </c>
      <c r="R20" s="335">
        <f>IF(Umse!$C$24=0,0,IF(OR($A$1="1.1.",$A$1="1.2.",$A$1="1.3."),'B zwTab'!I21,""))</f>
        <v>2810.98</v>
      </c>
      <c r="V20" s="431" t="s">
        <v>6</v>
      </c>
      <c r="W20" s="431">
        <v>2</v>
      </c>
    </row>
    <row r="21" spans="2:23">
      <c r="B21" s="332" t="str">
        <f t="shared" si="1"/>
        <v>EG</v>
      </c>
      <c r="C21" s="367">
        <f t="shared" si="2"/>
        <v>1</v>
      </c>
      <c r="D21" s="335" t="str">
        <f t="shared" si="3"/>
        <v>-</v>
      </c>
      <c r="E21" s="335" t="str">
        <f t="shared" si="4"/>
        <v>11,68</v>
      </c>
      <c r="F21" s="335" t="str">
        <f t="shared" si="5"/>
        <v>11,87</v>
      </c>
      <c r="G21" s="335" t="str">
        <f t="shared" si="6"/>
        <v>12,11</v>
      </c>
      <c r="H21" s="335" t="str">
        <f t="shared" si="7"/>
        <v>12,34</v>
      </c>
      <c r="I21" s="335" t="str">
        <f t="shared" si="8"/>
        <v>12,92</v>
      </c>
      <c r="K21" s="332" t="str">
        <f>IF(Umse!$C$24=0,"",IF(OR($A$1="1.1.",$A$1="1.2.",$A$1="1.3."),V21,""))</f>
        <v>EG</v>
      </c>
      <c r="L21" s="367">
        <f>IF(Umse!$C$24=0,"",IF(OR($A$1="1.1.",$A$1="1.2.",$A$1="1.3."),W21,""))</f>
        <v>1</v>
      </c>
      <c r="M21" s="335" t="str">
        <f>IF(Umse!$C$24=0,0,IF(OR($A$1="1.1.",$A$1="1.2.",$A$1="1.3."),'B zwTab'!D22,""))</f>
        <v>-</v>
      </c>
      <c r="N21" s="335">
        <f>IF(Umse!$C$24=0,0,IF(OR($A$1="1.1.",$A$1="1.2.",$A$1="1.3."),'B zwTab'!E22,""))</f>
        <v>1979.88</v>
      </c>
      <c r="O21" s="335">
        <f>IF(Umse!$C$24=0,0,IF(OR($A$1="1.1.",$A$1="1.2.",$A$1="1.3."),'B zwTab'!F22,""))</f>
        <v>2012.63</v>
      </c>
      <c r="P21" s="335">
        <f>IF(Umse!$C$24=0,0,IF(OR($A$1="1.1.",$A$1="1.2.",$A$1="1.3."),'B zwTab'!G22,""))</f>
        <v>2053.59</v>
      </c>
      <c r="Q21" s="335">
        <f>IF(Umse!$C$24=0,0,IF(OR($A$1="1.1.",$A$1="1.2.",$A$1="1.3."),'B zwTab'!H22,""))</f>
        <v>2091.77</v>
      </c>
      <c r="R21" s="335">
        <f>IF(Umse!$C$24=0,0,IF(OR($A$1="1.1.",$A$1="1.2.",$A$1="1.3."),'B zwTab'!I22,""))</f>
        <v>2190.0500000000002</v>
      </c>
      <c r="V21" s="431" t="s">
        <v>6</v>
      </c>
      <c r="W21" s="431">
        <v>1</v>
      </c>
    </row>
    <row r="22" spans="2:23">
      <c r="B22" s="324"/>
      <c r="C22" s="325"/>
      <c r="D22" s="326" t="str">
        <f>IF(A1=0,"","Zeitzuschläge")</f>
        <v>Zeitzuschläge</v>
      </c>
      <c r="E22" s="325"/>
      <c r="F22" s="325"/>
      <c r="G22" s="325"/>
      <c r="H22" s="325"/>
      <c r="I22" s="327"/>
    </row>
    <row r="23" spans="2:23" ht="11.25" customHeight="1">
      <c r="B23" s="677" t="s">
        <v>192</v>
      </c>
      <c r="C23" s="678"/>
      <c r="D23" s="681" t="s">
        <v>498</v>
      </c>
      <c r="E23" s="683" t="s">
        <v>392</v>
      </c>
      <c r="F23" s="683" t="s">
        <v>21</v>
      </c>
      <c r="G23" s="683" t="s">
        <v>190</v>
      </c>
      <c r="H23" s="683" t="s">
        <v>191</v>
      </c>
      <c r="I23" s="683" t="s">
        <v>393</v>
      </c>
    </row>
    <row r="24" spans="2:23" ht="11.25" customHeight="1">
      <c r="B24" s="679"/>
      <c r="C24" s="680"/>
      <c r="D24" s="682"/>
      <c r="E24" s="684"/>
      <c r="F24" s="684"/>
      <c r="G24" s="684"/>
      <c r="H24" s="684"/>
      <c r="I24" s="684"/>
    </row>
    <row r="25" spans="2:23" ht="11.25" customHeight="1">
      <c r="B25" s="679"/>
      <c r="C25" s="680"/>
      <c r="D25" s="682"/>
      <c r="E25" s="684"/>
      <c r="F25" s="684"/>
      <c r="G25" s="684"/>
      <c r="H25" s="684"/>
      <c r="I25" s="684"/>
    </row>
    <row r="26" spans="2:23" ht="11.25" customHeight="1">
      <c r="B26" s="679"/>
      <c r="C26" s="680"/>
      <c r="D26" s="682"/>
      <c r="E26" s="684"/>
      <c r="F26" s="684"/>
      <c r="G26" s="684"/>
      <c r="H26" s="684"/>
      <c r="I26" s="684"/>
    </row>
    <row r="27" spans="2:23" ht="11.25" customHeight="1">
      <c r="B27" s="679"/>
      <c r="C27" s="680"/>
      <c r="D27" s="682"/>
      <c r="E27" s="684"/>
      <c r="F27" s="684"/>
      <c r="G27" s="684"/>
      <c r="H27" s="684"/>
      <c r="I27" s="684"/>
    </row>
    <row r="28" spans="2:23" ht="11.25" customHeight="1">
      <c r="B28" s="679"/>
      <c r="C28" s="680"/>
      <c r="D28" s="682"/>
      <c r="E28" s="684"/>
      <c r="F28" s="684"/>
      <c r="G28" s="684"/>
      <c r="H28" s="684"/>
      <c r="I28" s="684"/>
    </row>
    <row r="29" spans="2:23" ht="11.25" customHeight="1">
      <c r="B29" s="679"/>
      <c r="C29" s="680"/>
      <c r="D29" s="682"/>
      <c r="E29" s="684"/>
      <c r="F29" s="684"/>
      <c r="G29" s="684"/>
      <c r="H29" s="684"/>
      <c r="I29" s="684"/>
    </row>
    <row r="30" spans="2:23" ht="11.25" customHeight="1">
      <c r="B30" s="679"/>
      <c r="C30" s="680"/>
      <c r="D30" s="682"/>
      <c r="E30" s="684"/>
      <c r="F30" s="684"/>
      <c r="G30" s="684"/>
      <c r="H30" s="684"/>
      <c r="I30" s="684"/>
    </row>
    <row r="31" spans="2:23" ht="11.25" customHeight="1">
      <c r="B31" s="679"/>
      <c r="C31" s="680"/>
      <c r="D31" s="682"/>
      <c r="E31" s="684"/>
      <c r="F31" s="684"/>
      <c r="G31" s="684"/>
      <c r="H31" s="684"/>
      <c r="I31" s="684"/>
    </row>
    <row r="32" spans="2:23" ht="11.25" customHeight="1">
      <c r="B32" s="679"/>
      <c r="C32" s="680"/>
      <c r="D32" s="682"/>
      <c r="E32" s="684"/>
      <c r="F32" s="684"/>
      <c r="G32" s="684"/>
      <c r="H32" s="684"/>
      <c r="I32" s="684"/>
      <c r="K32" s="339"/>
      <c r="L32" s="340"/>
      <c r="M32" s="341" t="str">
        <f>IF(A1=0,"","Überstundenentgelt")</f>
        <v>Überstundenentgelt</v>
      </c>
      <c r="N32" s="340"/>
      <c r="O32" s="340"/>
      <c r="P32" s="340"/>
      <c r="Q32" s="340"/>
      <c r="R32" s="342"/>
    </row>
    <row r="33" spans="1:18" ht="22.5" customHeight="1">
      <c r="A33" s="328" t="s">
        <v>9</v>
      </c>
      <c r="B33" s="367" t="str">
        <f t="shared" ref="B33:B52" si="9">K2</f>
        <v xml:space="preserve">    Entgeltgruppe</v>
      </c>
      <c r="C33" s="331"/>
      <c r="D33" s="349" t="s">
        <v>221</v>
      </c>
      <c r="E33" s="376">
        <v>0.2</v>
      </c>
      <c r="F33" s="376">
        <v>0.25</v>
      </c>
      <c r="G33" s="376">
        <v>0.35</v>
      </c>
      <c r="H33" s="376">
        <v>1.35</v>
      </c>
      <c r="I33" s="376">
        <v>0.35</v>
      </c>
      <c r="K33" s="367" t="str">
        <f t="shared" ref="K33:K52" si="10">K2</f>
        <v xml:space="preserve">    Entgeltgruppe</v>
      </c>
      <c r="L33" s="331"/>
      <c r="M33" s="332" t="s">
        <v>7</v>
      </c>
      <c r="N33" s="332" t="s">
        <v>8</v>
      </c>
      <c r="O33" s="332" t="s">
        <v>9</v>
      </c>
      <c r="P33" s="332" t="s">
        <v>10</v>
      </c>
      <c r="Q33" s="332" t="s">
        <v>11</v>
      </c>
      <c r="R33" s="332" t="s">
        <v>12</v>
      </c>
    </row>
    <row r="34" spans="1:18" ht="11.25" customHeight="1">
      <c r="A34" s="328" t="str">
        <f>IF(O3="-","-",IF(O3="","",FIXED(ROUND(O3/$A$5,2),2)))</f>
        <v>43,05</v>
      </c>
      <c r="B34" s="332" t="str">
        <f t="shared" si="9"/>
        <v>EG</v>
      </c>
      <c r="C34" s="367" t="str">
        <f t="shared" ref="C34:C52" si="11">L3</f>
        <v>15Ü</v>
      </c>
      <c r="D34" s="343">
        <f>IF(F3="","",ROUND(F3*0.15,2))</f>
        <v>6.46</v>
      </c>
      <c r="E34" s="343">
        <f>IF(F3="","",ROUND(F3*$E$33,2))</f>
        <v>8.61</v>
      </c>
      <c r="F34" s="343">
        <f>IF(F3="","",ROUND(F3*$F$33,2))</f>
        <v>10.76</v>
      </c>
      <c r="G34" s="343">
        <f>IF(F3="","",ROUND(F3*$G$33,2))</f>
        <v>15.07</v>
      </c>
      <c r="H34" s="343">
        <f>IF(F3="","",ROUND(F3*$H$33,2))</f>
        <v>58.12</v>
      </c>
      <c r="I34" s="343">
        <f>IF(F3="","",ROUND(F3*$I$33,2))</f>
        <v>15.07</v>
      </c>
      <c r="K34" s="332" t="str">
        <f t="shared" si="10"/>
        <v>EG</v>
      </c>
      <c r="L34" s="367" t="str">
        <f t="shared" ref="L34:L52" si="12">L3</f>
        <v>15Ü</v>
      </c>
      <c r="M34" s="344">
        <f>IF(M3="-","-",IF(M3="","",D3+D34))</f>
        <v>41.93</v>
      </c>
      <c r="N34" s="344">
        <f>IF(N3="-","-",IF(N3="","",E3+D34))</f>
        <v>45.82</v>
      </c>
      <c r="O34" s="344">
        <f>IF(O3="-","-",IF(O3="","",F3+D34))</f>
        <v>49.51</v>
      </c>
      <c r="P34" s="344">
        <f>IF(P3="-","-",IF(P3="","",G3+D34))</f>
        <v>51.97</v>
      </c>
      <c r="Q34" s="351">
        <f>P34</f>
        <v>51.97</v>
      </c>
      <c r="R34" s="351" t="str">
        <f>IF(R3="-","-",IF(R3="","",P34))</f>
        <v>-</v>
      </c>
    </row>
    <row r="35" spans="1:18" ht="11.25" customHeight="1">
      <c r="A35" s="328" t="str">
        <f t="shared" ref="A35:A52" si="13">IF(O4="-","-",IF(O4="","",FIXED(ROUND(O4/$A$5,2),2)))</f>
        <v>33,24</v>
      </c>
      <c r="B35" s="332" t="str">
        <f t="shared" si="9"/>
        <v>EG</v>
      </c>
      <c r="C35" s="367">
        <f t="shared" si="11"/>
        <v>15</v>
      </c>
      <c r="D35" s="343">
        <f t="shared" ref="D35:D40" si="14">IF(F4="","",ROUND(F4*0.15,2))</f>
        <v>4.99</v>
      </c>
      <c r="E35" s="343">
        <f t="shared" ref="E35:E52" si="15">IF(F4="","",ROUND(F4*$E$33,2))</f>
        <v>6.65</v>
      </c>
      <c r="F35" s="343">
        <f t="shared" ref="F35:F52" si="16">IF(F4="","",ROUND(F4*$F$33,2))</f>
        <v>8.31</v>
      </c>
      <c r="G35" s="343">
        <f t="shared" ref="G35:G52" si="17">IF(F4="","",ROUND(F4*$G$33,2))</f>
        <v>11.63</v>
      </c>
      <c r="H35" s="343">
        <f t="shared" ref="H35:H52" si="18">IF(F4="","",ROUND(F4*$H$33,2))</f>
        <v>44.87</v>
      </c>
      <c r="I35" s="343">
        <f t="shared" ref="I35:I52" si="19">IF(F4="","",ROUND(F4*$I$33,2))</f>
        <v>11.63</v>
      </c>
      <c r="K35" s="332" t="str">
        <f t="shared" si="10"/>
        <v>EG</v>
      </c>
      <c r="L35" s="367">
        <f t="shared" si="12"/>
        <v>15</v>
      </c>
      <c r="M35" s="344">
        <f t="shared" ref="M35:M52" si="20">IF(M4="-","-",IF(M4="","",D4+D35))</f>
        <v>34.049999999999997</v>
      </c>
      <c r="N35" s="344">
        <f t="shared" ref="N35:N52" si="21">IF(N4="-","-",IF(N4="","",E4+D35))</f>
        <v>36.03</v>
      </c>
      <c r="O35" s="344">
        <f t="shared" ref="O35:O52" si="22">IF(O4="-","-",IF(O4="","",F4+D35))</f>
        <v>38.230000000000004</v>
      </c>
      <c r="P35" s="344">
        <f t="shared" ref="P35:P52" si="23">IF(P4="-","-",IF(P4="","",G4+D35))</f>
        <v>41.24</v>
      </c>
      <c r="Q35" s="351">
        <f t="shared" ref="Q35:Q52" si="24">P35</f>
        <v>41.24</v>
      </c>
      <c r="R35" s="351">
        <f t="shared" ref="R35:R52" si="25">IF(R4="-","-",IF(R4="","",P35))</f>
        <v>41.24</v>
      </c>
    </row>
    <row r="36" spans="1:18" ht="11.25" customHeight="1">
      <c r="A36" s="328" t="str">
        <f t="shared" si="13"/>
        <v>30,44</v>
      </c>
      <c r="B36" s="332" t="str">
        <f t="shared" si="9"/>
        <v>EG</v>
      </c>
      <c r="C36" s="367">
        <f t="shared" si="11"/>
        <v>14</v>
      </c>
      <c r="D36" s="343">
        <f t="shared" si="14"/>
        <v>4.57</v>
      </c>
      <c r="E36" s="343">
        <f t="shared" si="15"/>
        <v>6.09</v>
      </c>
      <c r="F36" s="343">
        <f t="shared" si="16"/>
        <v>7.61</v>
      </c>
      <c r="G36" s="343">
        <f t="shared" si="17"/>
        <v>10.65</v>
      </c>
      <c r="H36" s="343">
        <f t="shared" si="18"/>
        <v>41.09</v>
      </c>
      <c r="I36" s="343">
        <f t="shared" si="19"/>
        <v>10.65</v>
      </c>
      <c r="K36" s="332" t="str">
        <f t="shared" si="10"/>
        <v>EG</v>
      </c>
      <c r="L36" s="367">
        <f t="shared" si="12"/>
        <v>14</v>
      </c>
      <c r="M36" s="344">
        <f t="shared" si="20"/>
        <v>30.89</v>
      </c>
      <c r="N36" s="344">
        <f t="shared" si="21"/>
        <v>32.68</v>
      </c>
      <c r="O36" s="344">
        <f t="shared" si="22"/>
        <v>35.010000000000005</v>
      </c>
      <c r="P36" s="344">
        <f t="shared" si="23"/>
        <v>37.61</v>
      </c>
      <c r="Q36" s="351">
        <f t="shared" si="24"/>
        <v>37.61</v>
      </c>
      <c r="R36" s="351">
        <f t="shared" si="25"/>
        <v>37.61</v>
      </c>
    </row>
    <row r="37" spans="1:18" ht="11.25" customHeight="1">
      <c r="A37" s="328" t="str">
        <f t="shared" si="13"/>
        <v>28,45</v>
      </c>
      <c r="B37" s="332" t="str">
        <f t="shared" si="9"/>
        <v>EG</v>
      </c>
      <c r="C37" s="367">
        <f t="shared" si="11"/>
        <v>13</v>
      </c>
      <c r="D37" s="343">
        <f t="shared" si="14"/>
        <v>4.2699999999999996</v>
      </c>
      <c r="E37" s="343">
        <f t="shared" si="15"/>
        <v>5.69</v>
      </c>
      <c r="F37" s="343">
        <f t="shared" si="16"/>
        <v>7.11</v>
      </c>
      <c r="G37" s="343">
        <f t="shared" si="17"/>
        <v>9.9600000000000009</v>
      </c>
      <c r="H37" s="343">
        <f t="shared" si="18"/>
        <v>38.409999999999997</v>
      </c>
      <c r="I37" s="343">
        <f t="shared" si="19"/>
        <v>9.9600000000000009</v>
      </c>
      <c r="K37" s="332" t="str">
        <f t="shared" si="10"/>
        <v>EG</v>
      </c>
      <c r="L37" s="367">
        <f t="shared" si="12"/>
        <v>13</v>
      </c>
      <c r="M37" s="344">
        <f t="shared" si="20"/>
        <v>28.53</v>
      </c>
      <c r="N37" s="344">
        <f t="shared" si="21"/>
        <v>30.49</v>
      </c>
      <c r="O37" s="344">
        <f t="shared" si="22"/>
        <v>32.72</v>
      </c>
      <c r="P37" s="344">
        <f t="shared" si="23"/>
        <v>35.15</v>
      </c>
      <c r="Q37" s="351">
        <f t="shared" si="24"/>
        <v>35.15</v>
      </c>
      <c r="R37" s="351">
        <f t="shared" si="25"/>
        <v>35.15</v>
      </c>
    </row>
    <row r="38" spans="1:18" ht="11.25" customHeight="1">
      <c r="A38" s="328" t="str">
        <f t="shared" si="13"/>
        <v>26,63</v>
      </c>
      <c r="B38" s="332" t="str">
        <f t="shared" si="9"/>
        <v>EG</v>
      </c>
      <c r="C38" s="367">
        <f t="shared" si="11"/>
        <v>12</v>
      </c>
      <c r="D38" s="343">
        <f t="shared" si="14"/>
        <v>3.99</v>
      </c>
      <c r="E38" s="343">
        <f t="shared" si="15"/>
        <v>5.33</v>
      </c>
      <c r="F38" s="343">
        <f t="shared" si="16"/>
        <v>6.66</v>
      </c>
      <c r="G38" s="343">
        <f t="shared" si="17"/>
        <v>9.32</v>
      </c>
      <c r="H38" s="343">
        <f t="shared" si="18"/>
        <v>35.950000000000003</v>
      </c>
      <c r="I38" s="343">
        <f t="shared" si="19"/>
        <v>9.32</v>
      </c>
      <c r="K38" s="332" t="str">
        <f t="shared" si="10"/>
        <v>EG</v>
      </c>
      <c r="L38" s="367">
        <f t="shared" si="12"/>
        <v>12</v>
      </c>
      <c r="M38" s="344">
        <f t="shared" si="20"/>
        <v>25.729999999999997</v>
      </c>
      <c r="N38" s="344">
        <f t="shared" si="21"/>
        <v>27.990000000000002</v>
      </c>
      <c r="O38" s="344">
        <f t="shared" si="22"/>
        <v>30.619999999999997</v>
      </c>
      <c r="P38" s="344">
        <f t="shared" si="23"/>
        <v>33.549999999999997</v>
      </c>
      <c r="Q38" s="351">
        <f t="shared" si="24"/>
        <v>33.549999999999997</v>
      </c>
      <c r="R38" s="351">
        <f t="shared" si="25"/>
        <v>33.549999999999997</v>
      </c>
    </row>
    <row r="39" spans="1:18" ht="11.25" customHeight="1">
      <c r="A39" s="328" t="str">
        <f t="shared" si="13"/>
        <v>25,01</v>
      </c>
      <c r="B39" s="332" t="str">
        <f t="shared" si="9"/>
        <v>EG</v>
      </c>
      <c r="C39" s="367">
        <f t="shared" si="11"/>
        <v>11</v>
      </c>
      <c r="D39" s="343">
        <f t="shared" si="14"/>
        <v>3.75</v>
      </c>
      <c r="E39" s="343">
        <f t="shared" si="15"/>
        <v>5</v>
      </c>
      <c r="F39" s="343">
        <f t="shared" si="16"/>
        <v>6.25</v>
      </c>
      <c r="G39" s="343">
        <f t="shared" si="17"/>
        <v>8.75</v>
      </c>
      <c r="H39" s="343">
        <f t="shared" si="18"/>
        <v>33.76</v>
      </c>
      <c r="I39" s="343">
        <f t="shared" si="19"/>
        <v>8.75</v>
      </c>
      <c r="K39" s="332" t="str">
        <f t="shared" si="10"/>
        <v>EG</v>
      </c>
      <c r="L39" s="367">
        <f t="shared" si="12"/>
        <v>11</v>
      </c>
      <c r="M39" s="344">
        <f t="shared" si="20"/>
        <v>24.73</v>
      </c>
      <c r="N39" s="344">
        <f t="shared" si="21"/>
        <v>26.81</v>
      </c>
      <c r="O39" s="344">
        <f t="shared" si="22"/>
        <v>28.76</v>
      </c>
      <c r="P39" s="344">
        <f t="shared" si="23"/>
        <v>30.88</v>
      </c>
      <c r="Q39" s="351">
        <f t="shared" si="24"/>
        <v>30.88</v>
      </c>
      <c r="R39" s="351">
        <f t="shared" si="25"/>
        <v>30.88</v>
      </c>
    </row>
    <row r="40" spans="1:18" ht="11.25" customHeight="1">
      <c r="A40" s="328" t="str">
        <f t="shared" si="13"/>
        <v>23,71</v>
      </c>
      <c r="B40" s="332" t="str">
        <f t="shared" si="9"/>
        <v>EG</v>
      </c>
      <c r="C40" s="367">
        <f t="shared" si="11"/>
        <v>10</v>
      </c>
      <c r="D40" s="343">
        <f t="shared" si="14"/>
        <v>3.56</v>
      </c>
      <c r="E40" s="343">
        <f t="shared" si="15"/>
        <v>4.74</v>
      </c>
      <c r="F40" s="343">
        <f t="shared" si="16"/>
        <v>5.93</v>
      </c>
      <c r="G40" s="343">
        <f t="shared" si="17"/>
        <v>8.3000000000000007</v>
      </c>
      <c r="H40" s="343">
        <f t="shared" si="18"/>
        <v>32.01</v>
      </c>
      <c r="I40" s="343">
        <f t="shared" si="19"/>
        <v>8.3000000000000007</v>
      </c>
      <c r="J40" s="627" t="str">
        <f>J9</f>
        <v>* Ergebnis der Redaktion:</v>
      </c>
      <c r="K40" s="332" t="str">
        <f t="shared" si="10"/>
        <v>EG</v>
      </c>
      <c r="L40" s="367">
        <f t="shared" si="12"/>
        <v>10</v>
      </c>
      <c r="M40" s="344">
        <f t="shared" si="20"/>
        <v>23.79</v>
      </c>
      <c r="N40" s="344">
        <f t="shared" si="21"/>
        <v>25.419999999999998</v>
      </c>
      <c r="O40" s="344">
        <f t="shared" si="22"/>
        <v>27.27</v>
      </c>
      <c r="P40" s="344">
        <f t="shared" si="23"/>
        <v>29.27</v>
      </c>
      <c r="Q40" s="351">
        <f t="shared" si="24"/>
        <v>29.27</v>
      </c>
      <c r="R40" s="351">
        <f t="shared" si="25"/>
        <v>29.27</v>
      </c>
    </row>
    <row r="41" spans="1:18">
      <c r="A41" s="328" t="str">
        <f t="shared" si="13"/>
        <v>22,64</v>
      </c>
      <c r="B41" s="332" t="str">
        <f t="shared" si="9"/>
        <v>EG</v>
      </c>
      <c r="C41" s="367" t="str">
        <f t="shared" si="11"/>
        <v>9c *</v>
      </c>
      <c r="D41" s="343">
        <f>IF(F10="","",ROUND(F10*0.15,2))</f>
        <v>3.4</v>
      </c>
      <c r="E41" s="343">
        <f t="shared" si="15"/>
        <v>4.53</v>
      </c>
      <c r="F41" s="343">
        <f t="shared" si="16"/>
        <v>5.66</v>
      </c>
      <c r="G41" s="343">
        <f t="shared" si="17"/>
        <v>7.92</v>
      </c>
      <c r="H41" s="343">
        <f t="shared" si="18"/>
        <v>30.56</v>
      </c>
      <c r="I41" s="343">
        <f t="shared" si="19"/>
        <v>7.92</v>
      </c>
      <c r="J41" s="627" t="str">
        <f>J10</f>
        <v>EG 9c und 9b in Stufe 1</v>
      </c>
      <c r="K41" s="332" t="str">
        <f t="shared" si="10"/>
        <v>EG</v>
      </c>
      <c r="L41" s="367" t="str">
        <f t="shared" si="12"/>
        <v>9c *</v>
      </c>
      <c r="M41" s="344">
        <f t="shared" si="20"/>
        <v>22.869999999999997</v>
      </c>
      <c r="N41" s="344">
        <f t="shared" si="21"/>
        <v>24.279999999999998</v>
      </c>
      <c r="O41" s="344">
        <f t="shared" si="22"/>
        <v>26.04</v>
      </c>
      <c r="P41" s="344">
        <f t="shared" si="23"/>
        <v>27.959999999999997</v>
      </c>
      <c r="Q41" s="351">
        <f t="shared" si="24"/>
        <v>27.959999999999997</v>
      </c>
      <c r="R41" s="351">
        <f t="shared" si="25"/>
        <v>27.959999999999997</v>
      </c>
    </row>
    <row r="42" spans="1:18">
      <c r="A42" s="328" t="str">
        <f t="shared" si="13"/>
        <v>20,97</v>
      </c>
      <c r="B42" s="332" t="str">
        <f t="shared" si="9"/>
        <v>EG</v>
      </c>
      <c r="C42" s="367" t="str">
        <f t="shared" si="11"/>
        <v>9b *</v>
      </c>
      <c r="D42" s="343">
        <f t="shared" ref="D42:D52" si="26">IF(F11="","",ROUND(F11*0.3,2))</f>
        <v>6.29</v>
      </c>
      <c r="E42" s="343">
        <f t="shared" si="15"/>
        <v>4.1900000000000004</v>
      </c>
      <c r="F42" s="343">
        <f t="shared" si="16"/>
        <v>5.24</v>
      </c>
      <c r="G42" s="343">
        <f t="shared" si="17"/>
        <v>7.34</v>
      </c>
      <c r="H42" s="343">
        <f t="shared" si="18"/>
        <v>28.31</v>
      </c>
      <c r="I42" s="343">
        <f t="shared" si="19"/>
        <v>7.34</v>
      </c>
      <c r="J42" s="627" t="str">
        <f>J11</f>
        <v>differenziert angehoben</v>
      </c>
      <c r="K42" s="332" t="str">
        <f t="shared" si="10"/>
        <v>EG</v>
      </c>
      <c r="L42" s="367" t="str">
        <f t="shared" si="12"/>
        <v>9b *</v>
      </c>
      <c r="M42" s="344">
        <f t="shared" si="20"/>
        <v>25</v>
      </c>
      <c r="N42" s="344">
        <f t="shared" si="21"/>
        <v>25.65</v>
      </c>
      <c r="O42" s="344">
        <f t="shared" si="22"/>
        <v>27.259999999999998</v>
      </c>
      <c r="P42" s="344">
        <f t="shared" si="23"/>
        <v>29.029999999999998</v>
      </c>
      <c r="Q42" s="351">
        <f t="shared" si="24"/>
        <v>29.029999999999998</v>
      </c>
      <c r="R42" s="351">
        <f t="shared" si="25"/>
        <v>29.029999999999998</v>
      </c>
    </row>
    <row r="43" spans="1:18">
      <c r="A43" s="328" t="str">
        <f t="shared" si="13"/>
        <v>19,49</v>
      </c>
      <c r="B43" s="332" t="str">
        <f t="shared" si="9"/>
        <v>EG</v>
      </c>
      <c r="C43" s="367" t="str">
        <f t="shared" si="11"/>
        <v>9a</v>
      </c>
      <c r="D43" s="343">
        <f t="shared" si="26"/>
        <v>5.85</v>
      </c>
      <c r="E43" s="343">
        <f t="shared" si="15"/>
        <v>3.9</v>
      </c>
      <c r="F43" s="343">
        <f t="shared" si="16"/>
        <v>4.87</v>
      </c>
      <c r="G43" s="343">
        <f t="shared" si="17"/>
        <v>6.82</v>
      </c>
      <c r="H43" s="343">
        <f t="shared" si="18"/>
        <v>26.31</v>
      </c>
      <c r="I43" s="343">
        <f t="shared" si="19"/>
        <v>6.82</v>
      </c>
      <c r="K43" s="332" t="str">
        <f t="shared" si="10"/>
        <v>EG</v>
      </c>
      <c r="L43" s="367" t="str">
        <f t="shared" si="12"/>
        <v>9a</v>
      </c>
      <c r="M43" s="344">
        <f t="shared" si="20"/>
        <v>23.810000000000002</v>
      </c>
      <c r="N43" s="344">
        <f t="shared" si="21"/>
        <v>25.009999999999998</v>
      </c>
      <c r="O43" s="344">
        <f t="shared" si="22"/>
        <v>25.339999999999996</v>
      </c>
      <c r="P43" s="344">
        <f t="shared" si="23"/>
        <v>26.450000000000003</v>
      </c>
      <c r="Q43" s="351">
        <f t="shared" si="24"/>
        <v>26.450000000000003</v>
      </c>
      <c r="R43" s="351">
        <f t="shared" si="25"/>
        <v>26.450000000000003</v>
      </c>
    </row>
    <row r="44" spans="1:18" ht="11.25" customHeight="1">
      <c r="A44" s="328" t="str">
        <f t="shared" si="13"/>
        <v>18,77</v>
      </c>
      <c r="B44" s="332" t="str">
        <f t="shared" si="9"/>
        <v>EG</v>
      </c>
      <c r="C44" s="367">
        <f t="shared" si="11"/>
        <v>8</v>
      </c>
      <c r="D44" s="343">
        <f t="shared" si="26"/>
        <v>5.63</v>
      </c>
      <c r="E44" s="343">
        <f t="shared" si="15"/>
        <v>3.75</v>
      </c>
      <c r="F44" s="343">
        <f t="shared" si="16"/>
        <v>4.6900000000000004</v>
      </c>
      <c r="G44" s="343">
        <f t="shared" si="17"/>
        <v>6.57</v>
      </c>
      <c r="H44" s="343">
        <f t="shared" si="18"/>
        <v>25.34</v>
      </c>
      <c r="I44" s="343">
        <f t="shared" si="19"/>
        <v>6.57</v>
      </c>
      <c r="K44" s="332" t="str">
        <f t="shared" si="10"/>
        <v>EG</v>
      </c>
      <c r="L44" s="367">
        <f t="shared" si="12"/>
        <v>8</v>
      </c>
      <c r="M44" s="344">
        <f t="shared" si="20"/>
        <v>22.49</v>
      </c>
      <c r="N44" s="344">
        <f t="shared" si="21"/>
        <v>23.619999999999997</v>
      </c>
      <c r="O44" s="344">
        <f t="shared" si="22"/>
        <v>24.4</v>
      </c>
      <c r="P44" s="344">
        <f t="shared" si="23"/>
        <v>25.18</v>
      </c>
      <c r="Q44" s="351">
        <f t="shared" si="24"/>
        <v>25.18</v>
      </c>
      <c r="R44" s="351">
        <f t="shared" si="25"/>
        <v>25.18</v>
      </c>
    </row>
    <row r="45" spans="1:18">
      <c r="A45" s="328" t="str">
        <f t="shared" si="13"/>
        <v>17,91</v>
      </c>
      <c r="B45" s="332" t="str">
        <f t="shared" si="9"/>
        <v>EG</v>
      </c>
      <c r="C45" s="367">
        <f t="shared" si="11"/>
        <v>7</v>
      </c>
      <c r="D45" s="343">
        <f t="shared" si="26"/>
        <v>5.37</v>
      </c>
      <c r="E45" s="343">
        <f t="shared" si="15"/>
        <v>3.58</v>
      </c>
      <c r="F45" s="343">
        <f t="shared" si="16"/>
        <v>4.4800000000000004</v>
      </c>
      <c r="G45" s="343">
        <f t="shared" si="17"/>
        <v>6.27</v>
      </c>
      <c r="H45" s="343">
        <f t="shared" si="18"/>
        <v>24.18</v>
      </c>
      <c r="I45" s="343">
        <f t="shared" si="19"/>
        <v>6.27</v>
      </c>
      <c r="K45" s="332" t="str">
        <f t="shared" si="10"/>
        <v>EG</v>
      </c>
      <c r="L45" s="367">
        <f t="shared" si="12"/>
        <v>7</v>
      </c>
      <c r="M45" s="344">
        <f t="shared" si="20"/>
        <v>21.21</v>
      </c>
      <c r="N45" s="344">
        <f t="shared" si="21"/>
        <v>22.51</v>
      </c>
      <c r="O45" s="344">
        <f t="shared" si="22"/>
        <v>23.28</v>
      </c>
      <c r="P45" s="344">
        <f t="shared" si="23"/>
        <v>24.060000000000002</v>
      </c>
      <c r="Q45" s="351">
        <f t="shared" si="24"/>
        <v>24.060000000000002</v>
      </c>
      <c r="R45" s="351">
        <f t="shared" si="25"/>
        <v>24.060000000000002</v>
      </c>
    </row>
    <row r="46" spans="1:18">
      <c r="A46" s="328" t="str">
        <f t="shared" si="13"/>
        <v>17,36</v>
      </c>
      <c r="B46" s="332" t="str">
        <f t="shared" si="9"/>
        <v>EG</v>
      </c>
      <c r="C46" s="367">
        <f t="shared" si="11"/>
        <v>6</v>
      </c>
      <c r="D46" s="343">
        <f t="shared" si="26"/>
        <v>5.21</v>
      </c>
      <c r="E46" s="343">
        <f t="shared" si="15"/>
        <v>3.47</v>
      </c>
      <c r="F46" s="343">
        <f t="shared" si="16"/>
        <v>4.34</v>
      </c>
      <c r="G46" s="343">
        <f t="shared" si="17"/>
        <v>6.08</v>
      </c>
      <c r="H46" s="343">
        <f t="shared" si="18"/>
        <v>23.44</v>
      </c>
      <c r="I46" s="343">
        <f t="shared" si="19"/>
        <v>6.08</v>
      </c>
      <c r="K46" s="332" t="str">
        <f t="shared" si="10"/>
        <v>EG</v>
      </c>
      <c r="L46" s="367">
        <f t="shared" si="12"/>
        <v>6</v>
      </c>
      <c r="M46" s="344">
        <f t="shared" si="20"/>
        <v>20.76</v>
      </c>
      <c r="N46" s="344">
        <f t="shared" si="21"/>
        <v>21.82</v>
      </c>
      <c r="O46" s="344">
        <f t="shared" si="22"/>
        <v>22.57</v>
      </c>
      <c r="P46" s="344">
        <f t="shared" si="23"/>
        <v>23.310000000000002</v>
      </c>
      <c r="Q46" s="351">
        <f t="shared" si="24"/>
        <v>23.310000000000002</v>
      </c>
      <c r="R46" s="351">
        <f t="shared" si="25"/>
        <v>23.310000000000002</v>
      </c>
    </row>
    <row r="47" spans="1:18">
      <c r="A47" s="328" t="str">
        <f t="shared" si="13"/>
        <v>16,66</v>
      </c>
      <c r="B47" s="332" t="str">
        <f t="shared" si="9"/>
        <v>EG</v>
      </c>
      <c r="C47" s="367">
        <f t="shared" si="11"/>
        <v>5</v>
      </c>
      <c r="D47" s="343">
        <f t="shared" si="26"/>
        <v>5</v>
      </c>
      <c r="E47" s="343">
        <f t="shared" si="15"/>
        <v>3.33</v>
      </c>
      <c r="F47" s="343">
        <f t="shared" si="16"/>
        <v>4.17</v>
      </c>
      <c r="G47" s="343">
        <f t="shared" si="17"/>
        <v>5.83</v>
      </c>
      <c r="H47" s="343">
        <f t="shared" si="18"/>
        <v>22.49</v>
      </c>
      <c r="I47" s="343">
        <f t="shared" si="19"/>
        <v>5.83</v>
      </c>
      <c r="K47" s="332" t="str">
        <f t="shared" si="10"/>
        <v>EG</v>
      </c>
      <c r="L47" s="367">
        <f t="shared" si="12"/>
        <v>5</v>
      </c>
      <c r="M47" s="344">
        <f t="shared" si="20"/>
        <v>19.920000000000002</v>
      </c>
      <c r="N47" s="344">
        <f t="shared" si="21"/>
        <v>20.96</v>
      </c>
      <c r="O47" s="344">
        <f t="shared" si="22"/>
        <v>21.66</v>
      </c>
      <c r="P47" s="344">
        <f t="shared" si="23"/>
        <v>22.4</v>
      </c>
      <c r="Q47" s="351">
        <f t="shared" si="24"/>
        <v>22.4</v>
      </c>
      <c r="R47" s="351">
        <f t="shared" si="25"/>
        <v>22.4</v>
      </c>
    </row>
    <row r="48" spans="1:18">
      <c r="A48" s="328" t="str">
        <f t="shared" si="13"/>
        <v>16,16</v>
      </c>
      <c r="B48" s="332" t="str">
        <f t="shared" si="9"/>
        <v>EG</v>
      </c>
      <c r="C48" s="367">
        <f t="shared" si="11"/>
        <v>4</v>
      </c>
      <c r="D48" s="343">
        <f t="shared" si="26"/>
        <v>4.8499999999999996</v>
      </c>
      <c r="E48" s="343">
        <f t="shared" si="15"/>
        <v>3.23</v>
      </c>
      <c r="F48" s="343">
        <f t="shared" si="16"/>
        <v>4.04</v>
      </c>
      <c r="G48" s="343">
        <f t="shared" si="17"/>
        <v>5.66</v>
      </c>
      <c r="H48" s="343">
        <f t="shared" si="18"/>
        <v>21.82</v>
      </c>
      <c r="I48" s="343">
        <f t="shared" si="19"/>
        <v>5.66</v>
      </c>
      <c r="K48" s="332" t="str">
        <f t="shared" si="10"/>
        <v>EG</v>
      </c>
      <c r="L48" s="367">
        <f t="shared" si="12"/>
        <v>4</v>
      </c>
      <c r="M48" s="344">
        <f t="shared" si="20"/>
        <v>19.079999999999998</v>
      </c>
      <c r="N48" s="344">
        <f t="shared" si="21"/>
        <v>20.13</v>
      </c>
      <c r="O48" s="344">
        <f t="shared" si="22"/>
        <v>21.009999999999998</v>
      </c>
      <c r="P48" s="344">
        <f t="shared" si="23"/>
        <v>21.560000000000002</v>
      </c>
      <c r="Q48" s="351">
        <f t="shared" si="24"/>
        <v>21.560000000000002</v>
      </c>
      <c r="R48" s="351">
        <f t="shared" si="25"/>
        <v>21.560000000000002</v>
      </c>
    </row>
    <row r="49" spans="1:18">
      <c r="A49" s="328" t="str">
        <f t="shared" si="13"/>
        <v>15,41</v>
      </c>
      <c r="B49" s="332" t="str">
        <f t="shared" si="9"/>
        <v>EG</v>
      </c>
      <c r="C49" s="367">
        <f t="shared" si="11"/>
        <v>3</v>
      </c>
      <c r="D49" s="343">
        <f t="shared" si="26"/>
        <v>4.62</v>
      </c>
      <c r="E49" s="343">
        <f t="shared" si="15"/>
        <v>3.08</v>
      </c>
      <c r="F49" s="343">
        <f t="shared" si="16"/>
        <v>3.85</v>
      </c>
      <c r="G49" s="343">
        <f t="shared" si="17"/>
        <v>5.39</v>
      </c>
      <c r="H49" s="343">
        <f t="shared" si="18"/>
        <v>20.8</v>
      </c>
      <c r="I49" s="343">
        <f t="shared" si="19"/>
        <v>5.39</v>
      </c>
      <c r="K49" s="332" t="str">
        <f t="shared" si="10"/>
        <v>EG</v>
      </c>
      <c r="L49" s="367">
        <f t="shared" si="12"/>
        <v>3</v>
      </c>
      <c r="M49" s="344">
        <f t="shared" si="20"/>
        <v>18.63</v>
      </c>
      <c r="N49" s="344">
        <f t="shared" si="21"/>
        <v>19.760000000000002</v>
      </c>
      <c r="O49" s="344">
        <f t="shared" si="22"/>
        <v>20.03</v>
      </c>
      <c r="P49" s="344">
        <f t="shared" si="23"/>
        <v>20.66</v>
      </c>
      <c r="Q49" s="351">
        <f t="shared" si="24"/>
        <v>20.66</v>
      </c>
      <c r="R49" s="351">
        <f t="shared" si="25"/>
        <v>20.66</v>
      </c>
    </row>
    <row r="50" spans="1:18">
      <c r="A50" s="328" t="str">
        <f t="shared" si="13"/>
        <v>14,88</v>
      </c>
      <c r="B50" s="332" t="str">
        <f t="shared" si="9"/>
        <v>EG</v>
      </c>
      <c r="C50" s="367" t="str">
        <f t="shared" si="11"/>
        <v>2Ü</v>
      </c>
      <c r="D50" s="343">
        <f t="shared" si="26"/>
        <v>4.46</v>
      </c>
      <c r="E50" s="343">
        <f t="shared" si="15"/>
        <v>2.98</v>
      </c>
      <c r="F50" s="343">
        <f t="shared" si="16"/>
        <v>3.72</v>
      </c>
      <c r="G50" s="343">
        <f t="shared" si="17"/>
        <v>5.21</v>
      </c>
      <c r="H50" s="343">
        <f t="shared" si="18"/>
        <v>20.09</v>
      </c>
      <c r="I50" s="343">
        <f t="shared" si="19"/>
        <v>5.21</v>
      </c>
      <c r="K50" s="332" t="str">
        <f t="shared" si="10"/>
        <v>EG</v>
      </c>
      <c r="L50" s="367" t="str">
        <f t="shared" si="12"/>
        <v>2Ü</v>
      </c>
      <c r="M50" s="344">
        <f t="shared" si="20"/>
        <v>17.559999999999999</v>
      </c>
      <c r="N50" s="344">
        <f t="shared" si="21"/>
        <v>18.87</v>
      </c>
      <c r="O50" s="344">
        <f t="shared" si="22"/>
        <v>19.34</v>
      </c>
      <c r="P50" s="344">
        <f t="shared" si="23"/>
        <v>19.97</v>
      </c>
      <c r="Q50" s="351">
        <f t="shared" si="24"/>
        <v>19.97</v>
      </c>
      <c r="R50" s="351">
        <f t="shared" si="25"/>
        <v>19.97</v>
      </c>
    </row>
    <row r="51" spans="1:18">
      <c r="A51" s="328" t="str">
        <f t="shared" si="13"/>
        <v>14,41</v>
      </c>
      <c r="B51" s="332" t="str">
        <f t="shared" si="9"/>
        <v>EG</v>
      </c>
      <c r="C51" s="367">
        <f t="shared" si="11"/>
        <v>2</v>
      </c>
      <c r="D51" s="343">
        <f t="shared" si="26"/>
        <v>4.32</v>
      </c>
      <c r="E51" s="343">
        <f t="shared" si="15"/>
        <v>2.88</v>
      </c>
      <c r="F51" s="343">
        <f t="shared" si="16"/>
        <v>3.6</v>
      </c>
      <c r="G51" s="343">
        <f t="shared" si="17"/>
        <v>5.04</v>
      </c>
      <c r="H51" s="343">
        <f t="shared" si="18"/>
        <v>19.45</v>
      </c>
      <c r="I51" s="343">
        <f t="shared" si="19"/>
        <v>5.04</v>
      </c>
      <c r="K51" s="332" t="str">
        <f t="shared" si="10"/>
        <v>EG</v>
      </c>
      <c r="L51" s="367">
        <f t="shared" si="12"/>
        <v>2</v>
      </c>
      <c r="M51" s="344">
        <f t="shared" si="20"/>
        <v>17.310000000000002</v>
      </c>
      <c r="N51" s="344">
        <f t="shared" si="21"/>
        <v>18.450000000000003</v>
      </c>
      <c r="O51" s="344">
        <f t="shared" si="22"/>
        <v>18.73</v>
      </c>
      <c r="P51" s="344">
        <f t="shared" si="23"/>
        <v>19.12</v>
      </c>
      <c r="Q51" s="351">
        <f t="shared" si="24"/>
        <v>19.12</v>
      </c>
      <c r="R51" s="351">
        <f t="shared" si="25"/>
        <v>19.12</v>
      </c>
    </row>
    <row r="52" spans="1:18">
      <c r="A52" s="328" t="str">
        <f t="shared" si="13"/>
        <v>11,87</v>
      </c>
      <c r="B52" s="332" t="str">
        <f t="shared" si="9"/>
        <v>EG</v>
      </c>
      <c r="C52" s="367">
        <f t="shared" si="11"/>
        <v>1</v>
      </c>
      <c r="D52" s="343">
        <f t="shared" si="26"/>
        <v>3.56</v>
      </c>
      <c r="E52" s="343">
        <f t="shared" si="15"/>
        <v>2.37</v>
      </c>
      <c r="F52" s="343">
        <f t="shared" si="16"/>
        <v>2.97</v>
      </c>
      <c r="G52" s="343">
        <f t="shared" si="17"/>
        <v>4.1500000000000004</v>
      </c>
      <c r="H52" s="343">
        <f t="shared" si="18"/>
        <v>16.02</v>
      </c>
      <c r="I52" s="343">
        <f t="shared" si="19"/>
        <v>4.1500000000000004</v>
      </c>
      <c r="K52" s="332" t="str">
        <f t="shared" si="10"/>
        <v>EG</v>
      </c>
      <c r="L52" s="367">
        <f t="shared" si="12"/>
        <v>1</v>
      </c>
      <c r="M52" s="344" t="str">
        <f t="shared" si="20"/>
        <v>-</v>
      </c>
      <c r="N52" s="344">
        <f t="shared" si="21"/>
        <v>15.24</v>
      </c>
      <c r="O52" s="344">
        <f t="shared" si="22"/>
        <v>15.43</v>
      </c>
      <c r="P52" s="344">
        <f t="shared" si="23"/>
        <v>15.67</v>
      </c>
      <c r="Q52" s="351">
        <f t="shared" si="24"/>
        <v>15.67</v>
      </c>
      <c r="R52" s="351">
        <f t="shared" si="25"/>
        <v>15.67</v>
      </c>
    </row>
    <row r="54" spans="1:18">
      <c r="M54" s="344"/>
      <c r="N54" s="344"/>
      <c r="O54" s="344"/>
      <c r="P54" s="344"/>
      <c r="Q54" s="344"/>
      <c r="R54" s="344"/>
    </row>
    <row r="55" spans="1:18">
      <c r="M55" s="344"/>
      <c r="N55" s="344"/>
      <c r="O55" s="344"/>
      <c r="P55" s="344"/>
      <c r="Q55" s="344"/>
      <c r="R55" s="344"/>
    </row>
    <row r="56" spans="1:18">
      <c r="M56" s="344"/>
      <c r="N56" s="344"/>
      <c r="O56" s="344"/>
      <c r="P56" s="344"/>
      <c r="Q56" s="344"/>
      <c r="R56" s="344"/>
    </row>
    <row r="57" spans="1:18">
      <c r="M57" s="344"/>
      <c r="N57" s="344"/>
      <c r="O57" s="344"/>
      <c r="P57" s="344"/>
      <c r="Q57" s="344"/>
      <c r="R57" s="344"/>
    </row>
    <row r="58" spans="1:18">
      <c r="M58" s="344"/>
      <c r="N58" s="344"/>
      <c r="O58" s="344"/>
      <c r="P58" s="344"/>
      <c r="Q58" s="344"/>
      <c r="R58" s="344"/>
    </row>
    <row r="59" spans="1:18">
      <c r="M59" s="344"/>
      <c r="N59" s="344"/>
      <c r="O59" s="344"/>
      <c r="P59" s="344"/>
      <c r="Q59" s="344"/>
      <c r="R59" s="344"/>
    </row>
    <row r="60" spans="1:18">
      <c r="M60" s="344"/>
      <c r="N60" s="344"/>
      <c r="O60" s="344"/>
      <c r="P60" s="344"/>
      <c r="Q60" s="344"/>
      <c r="R60" s="344"/>
    </row>
    <row r="61" spans="1:18">
      <c r="M61" s="344"/>
      <c r="N61" s="344"/>
      <c r="O61" s="344"/>
      <c r="P61" s="344"/>
      <c r="Q61" s="344"/>
      <c r="R61" s="344"/>
    </row>
    <row r="62" spans="1:18">
      <c r="M62" s="344"/>
      <c r="N62" s="344"/>
      <c r="O62" s="344"/>
      <c r="P62" s="344"/>
      <c r="Q62" s="344"/>
      <c r="R62" s="344"/>
    </row>
    <row r="63" spans="1:18">
      <c r="M63" s="344"/>
      <c r="N63" s="344"/>
      <c r="O63" s="344"/>
      <c r="P63" s="344"/>
      <c r="Q63" s="344"/>
      <c r="R63" s="344"/>
    </row>
    <row r="64" spans="1:18">
      <c r="M64" s="344"/>
      <c r="N64" s="344"/>
      <c r="O64" s="344"/>
      <c r="P64" s="344"/>
      <c r="Q64" s="344"/>
      <c r="R64" s="344"/>
    </row>
    <row r="65" spans="13:18">
      <c r="M65" s="344"/>
      <c r="N65" s="344"/>
      <c r="O65" s="344"/>
      <c r="P65" s="344"/>
      <c r="Q65" s="344"/>
      <c r="R65" s="344"/>
    </row>
    <row r="66" spans="13:18">
      <c r="M66" s="344"/>
      <c r="N66" s="344"/>
      <c r="O66" s="344"/>
      <c r="P66" s="344"/>
      <c r="Q66" s="344"/>
      <c r="R66" s="344"/>
    </row>
    <row r="67" spans="13:18">
      <c r="M67" s="344"/>
      <c r="N67" s="344"/>
      <c r="O67" s="344"/>
      <c r="P67" s="344"/>
      <c r="Q67" s="344"/>
      <c r="R67" s="344"/>
    </row>
    <row r="68" spans="13:18">
      <c r="M68" s="344"/>
      <c r="N68" s="344"/>
      <c r="O68" s="344"/>
      <c r="P68" s="344"/>
      <c r="Q68" s="344"/>
      <c r="R68" s="344"/>
    </row>
    <row r="69" spans="13:18">
      <c r="M69" s="344"/>
      <c r="N69" s="344"/>
      <c r="O69" s="344"/>
      <c r="P69" s="344"/>
      <c r="Q69" s="344"/>
      <c r="R69" s="344"/>
    </row>
    <row r="70" spans="13:18">
      <c r="M70" s="344"/>
      <c r="N70" s="344"/>
      <c r="O70" s="344"/>
      <c r="P70" s="344"/>
      <c r="Q70" s="344"/>
      <c r="R70" s="344"/>
    </row>
  </sheetData>
  <mergeCells count="7">
    <mergeCell ref="B23:C32"/>
    <mergeCell ref="D23:D32"/>
    <mergeCell ref="E23:E32"/>
    <mergeCell ref="F23:F32"/>
    <mergeCell ref="I23:I32"/>
    <mergeCell ref="G23:G32"/>
    <mergeCell ref="H23:H32"/>
  </mergeCells>
  <phoneticPr fontId="0" type="noConversion"/>
  <printOptions horizontalCentered="1" verticalCentered="1"/>
  <pageMargins left="0.19685039370078741" right="0.19685039370078741" top="0.19685039370078741" bottom="0.19685039370078741" header="0.51181102362204722" footer="0.51181102362204722"/>
  <pageSetup paperSize="9" scale="7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I22"/>
  <sheetViews>
    <sheetView workbookViewId="0">
      <selection activeCell="J18" sqref="J18"/>
    </sheetView>
  </sheetViews>
  <sheetFormatPr baseColWidth="10" defaultColWidth="8.5703125" defaultRowHeight="12.75"/>
  <cols>
    <col min="1" max="1" width="23.140625" style="329" customWidth="1"/>
    <col min="2" max="3" width="5.7109375" style="329" customWidth="1"/>
    <col min="4" max="10" width="8.5703125" style="329"/>
    <col min="11" max="11" width="21.42578125" style="329" customWidth="1"/>
    <col min="12" max="16384" width="8.5703125" style="329"/>
  </cols>
  <sheetData>
    <row r="1" spans="1:9">
      <c r="A1" s="329" t="s">
        <v>25</v>
      </c>
    </row>
    <row r="2" spans="1:9">
      <c r="A2" s="329" t="s">
        <v>217</v>
      </c>
      <c r="B2" s="372"/>
      <c r="C2" s="372"/>
      <c r="D2" s="338" t="str">
        <f>IF(OR(Umse!B11="1.1.",Umse!B11="1.2.",Umse!B11="1.3."),"Bund",IF(OR(Umse!B11="2.2.",Umse!B11="2.7.",Umse!B11="2.12."),"AV Hamburg",""))</f>
        <v>Bund</v>
      </c>
      <c r="E2" s="328"/>
      <c r="F2" s="328"/>
      <c r="G2" s="328"/>
      <c r="H2" s="328"/>
      <c r="I2" s="328"/>
    </row>
    <row r="3" spans="1:9">
      <c r="A3" s="338" t="str">
        <f>IF(Umse!B11="1.1.",'B Tab'!A409,IF(Umse!B11="1.2.",'B Tab'!A432,IF(Umse!B11="1.3.",'B Tab'!A455,"")))</f>
        <v>ab Apr 2021</v>
      </c>
      <c r="B3" s="367" t="str">
        <f>'B Ist'!K2</f>
        <v xml:space="preserve">    Entgeltgruppe</v>
      </c>
      <c r="C3" s="331"/>
      <c r="D3" s="331" t="s">
        <v>7</v>
      </c>
      <c r="E3" s="331" t="s">
        <v>8</v>
      </c>
      <c r="F3" s="331" t="s">
        <v>9</v>
      </c>
      <c r="G3" s="331" t="s">
        <v>10</v>
      </c>
      <c r="H3" s="331" t="s">
        <v>11</v>
      </c>
      <c r="I3" s="331" t="s">
        <v>12</v>
      </c>
    </row>
    <row r="4" spans="1:9">
      <c r="B4" s="331" t="str">
        <f>'B Ist'!K3</f>
        <v>EG</v>
      </c>
      <c r="C4" s="363" t="str">
        <f>'B Ist'!L3</f>
        <v>15Ü</v>
      </c>
      <c r="D4" s="335">
        <f>IF(Umse!$C$24=0,0,IF(Umse!$B$11="1.1.",'B Tab'!C410,IF(Umse!$B$11="1.2.",'B Tab'!C433,IF(Umse!$B$11="1.3.",'B Tab'!C456,""))))</f>
        <v>6014.42</v>
      </c>
      <c r="E4" s="335">
        <f>IF(Umse!$C$24=0,0,IF(Umse!$B$11="1.1.",'B Tab'!D410,IF(Umse!$B$11="1.2.",'B Tab'!D433,IF(Umse!$B$11="1.3.",'B Tab'!D456,""))))</f>
        <v>6674.99</v>
      </c>
      <c r="F4" s="335">
        <f>IF(Umse!$C$24=0,0,IF(Umse!$B$11="1.1.",'B Tab'!E410,IF(Umse!$B$11="1.2.",'B Tab'!E433,IF(Umse!$B$11="1.3.",'B Tab'!E456,""))))</f>
        <v>7300.76</v>
      </c>
      <c r="G4" s="335">
        <f>IF(Umse!$C$24=0,0,IF(Umse!$B$11="1.1.",'B Tab'!F410,IF(Umse!$B$11="1.2.",'B Tab'!F433,IF(Umse!$B$11="1.3.",'B Tab'!F456,""))))</f>
        <v>7717.96</v>
      </c>
      <c r="H4" s="335">
        <f>IF(Umse!$C$24=0,0,IF(Umse!$B$11="1.1.",'B Tab'!G410,IF(Umse!$B$11="1.2.",'B Tab'!G433,IF(Umse!$B$11="1.3.",'B Tab'!G456,""))))</f>
        <v>7815.3</v>
      </c>
      <c r="I4" s="335" t="str">
        <f>IF(Umse!$C$24=0,0,IF(Umse!$B$11="1.1.",'B Tab'!H410,IF(Umse!$B$11="1.2.",'B Tab'!H433,IF(Umse!$B$11="1.3.",'B Tab'!H456,""))))</f>
        <v>-</v>
      </c>
    </row>
    <row r="5" spans="1:9">
      <c r="B5" s="331" t="str">
        <f>'B Ist'!K4</f>
        <v>EG</v>
      </c>
      <c r="C5" s="363">
        <f>'B Ist'!L4</f>
        <v>15</v>
      </c>
      <c r="D5" s="335">
        <f>IF(Umse!$C$24=0,0,IF(Umse!$B$11="1.1.",'B Tab'!C411,IF(Umse!$B$11="1.2.",'B Tab'!C434,IF(Umse!$B$11="1.3.",'B Tab'!C457,""))))</f>
        <v>4928.3500000000004</v>
      </c>
      <c r="E5" s="335">
        <f>IF(Umse!$C$24=0,0,IF(Umse!$B$11="1.1.",'B Tab'!D411,IF(Umse!$B$11="1.2.",'B Tab'!D434,IF(Umse!$B$11="1.3.",'B Tab'!D457,""))))</f>
        <v>5263.48</v>
      </c>
      <c r="F5" s="335">
        <f>IF(Umse!$C$24=0,0,IF(Umse!$B$11="1.1.",'B Tab'!E411,IF(Umse!$B$11="1.2.",'B Tab'!E434,IF(Umse!$B$11="1.3.",'B Tab'!E457,""))))</f>
        <v>5637.3</v>
      </c>
      <c r="G5" s="335">
        <f>IF(Umse!$C$24=0,0,IF(Umse!$B$11="1.1.",'B Tab'!F411,IF(Umse!$B$11="1.2.",'B Tab'!F434,IF(Umse!$B$11="1.3.",'B Tab'!F457,""))))</f>
        <v>6147.62</v>
      </c>
      <c r="H5" s="335">
        <f>IF(Umse!$C$24=0,0,IF(Umse!$B$11="1.1.",'B Tab'!G411,IF(Umse!$B$11="1.2.",'B Tab'!G434,IF(Umse!$B$11="1.3.",'B Tab'!G457,""))))</f>
        <v>6672.58</v>
      </c>
      <c r="I5" s="335">
        <f>IF(Umse!$C$24=0,0,IF(Umse!$B$11="1.1.",'B Tab'!H411,IF(Umse!$B$11="1.2.",'B Tab'!H434,IF(Umse!$B$11="1.3.",'B Tab'!H457,""))))</f>
        <v>7017.95</v>
      </c>
    </row>
    <row r="6" spans="1:9">
      <c r="B6" s="331" t="str">
        <f>'B Ist'!K5</f>
        <v>EG</v>
      </c>
      <c r="C6" s="363">
        <f>'B Ist'!L5</f>
        <v>14</v>
      </c>
      <c r="D6" s="335">
        <f>IF(Umse!$C$24=0,0,IF(Umse!$B$11="1.1.",'B Tab'!C412,IF(Umse!$B$11="1.2.",'B Tab'!C435,IF(Umse!$B$11="1.3.",'B Tab'!C458,""))))</f>
        <v>4462.6499999999996</v>
      </c>
      <c r="E6" s="335">
        <f>IF(Umse!$C$24=0,0,IF(Umse!$B$11="1.1.",'B Tab'!D412,IF(Umse!$B$11="1.2.",'B Tab'!D435,IF(Umse!$B$11="1.3.",'B Tab'!D458,""))))</f>
        <v>4766.1099999999997</v>
      </c>
      <c r="F6" s="335">
        <f>IF(Umse!$C$24=0,0,IF(Umse!$B$11="1.1.",'B Tab'!E412,IF(Umse!$B$11="1.2.",'B Tab'!E435,IF(Umse!$B$11="1.3.",'B Tab'!E458,""))))</f>
        <v>5162.41</v>
      </c>
      <c r="G6" s="335">
        <f>IF(Umse!$C$24=0,0,IF(Umse!$B$11="1.1.",'B Tab'!F412,IF(Umse!$B$11="1.2.",'B Tab'!F435,IF(Umse!$B$11="1.3.",'B Tab'!F458,""))))</f>
        <v>5602.17</v>
      </c>
      <c r="H6" s="335">
        <f>IF(Umse!$C$24=0,0,IF(Umse!$B$11="1.1.",'B Tab'!G412,IF(Umse!$B$11="1.2.",'B Tab'!G435,IF(Umse!$B$11="1.3.",'B Tab'!G458,""))))</f>
        <v>6092.39</v>
      </c>
      <c r="I6" s="335">
        <f>IF(Umse!$C$24=0,0,IF(Umse!$B$11="1.1.",'B Tab'!H412,IF(Umse!$B$11="1.2.",'B Tab'!H435,IF(Umse!$B$11="1.3.",'B Tab'!H458,""))))</f>
        <v>6444.31</v>
      </c>
    </row>
    <row r="7" spans="1:9">
      <c r="B7" s="331" t="str">
        <f>'B Ist'!K6</f>
        <v>EG</v>
      </c>
      <c r="C7" s="363">
        <f>'B Ist'!L6</f>
        <v>13</v>
      </c>
      <c r="D7" s="335">
        <f>IF(Umse!$C$24=0,0,IF(Umse!$B$11="1.1.",'B Tab'!C413,IF(Umse!$B$11="1.2.",'B Tab'!C436,IF(Umse!$B$11="1.3.",'B Tab'!C459,""))))</f>
        <v>4113.41</v>
      </c>
      <c r="E7" s="335">
        <f>IF(Umse!$C$24=0,0,IF(Umse!$B$11="1.1.",'B Tab'!D413,IF(Umse!$B$11="1.2.",'B Tab'!D436,IF(Umse!$B$11="1.3.",'B Tab'!D459,""))))</f>
        <v>4445.99</v>
      </c>
      <c r="F7" s="335">
        <f>IF(Umse!$C$24=0,0,IF(Umse!$B$11="1.1.",'B Tab'!E413,IF(Umse!$B$11="1.2.",'B Tab'!E436,IF(Umse!$B$11="1.3.",'B Tab'!E459,""))))</f>
        <v>4824.6000000000004</v>
      </c>
      <c r="G7" s="335">
        <f>IF(Umse!$C$24=0,0,IF(Umse!$B$11="1.1.",'B Tab'!F413,IF(Umse!$B$11="1.2.",'B Tab'!F436,IF(Umse!$B$11="1.3.",'B Tab'!F459,""))))</f>
        <v>5235.66</v>
      </c>
      <c r="H7" s="335">
        <f>IF(Umse!$C$24=0,0,IF(Umse!$B$11="1.1.",'B Tab'!G413,IF(Umse!$B$11="1.2.",'B Tab'!G436,IF(Umse!$B$11="1.3.",'B Tab'!G459,""))))</f>
        <v>5719.35</v>
      </c>
      <c r="I7" s="335">
        <f>IF(Umse!$C$24=0,0,IF(Umse!$B$11="1.1.",'B Tab'!H413,IF(Umse!$B$11="1.2.",'B Tab'!H436,IF(Umse!$B$11="1.3.",'B Tab'!H459,""))))</f>
        <v>5981.85</v>
      </c>
    </row>
    <row r="8" spans="1:9">
      <c r="B8" s="331" t="str">
        <f>'B Ist'!K7</f>
        <v>EG</v>
      </c>
      <c r="C8" s="363">
        <f>'B Ist'!L7</f>
        <v>12</v>
      </c>
      <c r="D8" s="335">
        <f>IF(Umse!$C$24=0,0,IF(Umse!$B$11="1.1.",'B Tab'!C414,IF(Umse!$B$11="1.2.",'B Tab'!C437,IF(Umse!$B$11="1.3.",'B Tab'!C460,""))))</f>
        <v>3686.55</v>
      </c>
      <c r="E8" s="335">
        <f>IF(Umse!$C$24=0,0,IF(Umse!$B$11="1.1.",'B Tab'!D414,IF(Umse!$B$11="1.2.",'B Tab'!D437,IF(Umse!$B$11="1.3.",'B Tab'!D460,""))))</f>
        <v>4069.25</v>
      </c>
      <c r="F8" s="335">
        <f>IF(Umse!$C$24=0,0,IF(Umse!$B$11="1.1.",'B Tab'!E414,IF(Umse!$B$11="1.2.",'B Tab'!E437,IF(Umse!$B$11="1.3.",'B Tab'!E460,""))))</f>
        <v>4516.49</v>
      </c>
      <c r="G8" s="335">
        <f>IF(Umse!$C$24=0,0,IF(Umse!$B$11="1.1.",'B Tab'!F414,IF(Umse!$B$11="1.2.",'B Tab'!F437,IF(Umse!$B$11="1.3.",'B Tab'!F460,""))))</f>
        <v>5012.74</v>
      </c>
      <c r="H8" s="335">
        <f>IF(Umse!$C$24=0,0,IF(Umse!$B$11="1.1.",'B Tab'!G414,IF(Umse!$B$11="1.2.",'B Tab'!G437,IF(Umse!$B$11="1.3.",'B Tab'!G460,""))))</f>
        <v>5595.03</v>
      </c>
      <c r="I8" s="335">
        <f>IF(Umse!$C$24=0,0,IF(Umse!$B$11="1.1.",'B Tab'!H414,IF(Umse!$B$11="1.2.",'B Tab'!H437,IF(Umse!$B$11="1.3.",'B Tab'!H460,""))))</f>
        <v>5871.32</v>
      </c>
    </row>
    <row r="9" spans="1:9">
      <c r="B9" s="331" t="str">
        <f>'B Ist'!K8</f>
        <v>EG</v>
      </c>
      <c r="C9" s="363">
        <f>'B Ist'!L8</f>
        <v>11</v>
      </c>
      <c r="D9" s="335">
        <f>IF(Umse!$C$24=0,0,IF(Umse!$B$11="1.1.",'B Tab'!C415,IF(Umse!$B$11="1.2.",'B Tab'!C438,IF(Umse!$B$11="1.3.",'B Tab'!C461,""))))</f>
        <v>3558.11</v>
      </c>
      <c r="E9" s="335">
        <f>IF(Umse!$C$24=0,0,IF(Umse!$B$11="1.1.",'B Tab'!D415,IF(Umse!$B$11="1.2.",'B Tab'!D438,IF(Umse!$B$11="1.3.",'B Tab'!D461,""))))</f>
        <v>3910.1</v>
      </c>
      <c r="F9" s="335">
        <f>IF(Umse!$C$24=0,0,IF(Umse!$B$11="1.1.",'B Tab'!E415,IF(Umse!$B$11="1.2.",'B Tab'!E438,IF(Umse!$B$11="1.3.",'B Tab'!E461,""))))</f>
        <v>4240.84</v>
      </c>
      <c r="G9" s="335">
        <f>IF(Umse!$C$24=0,0,IF(Umse!$B$11="1.1.",'B Tab'!F415,IF(Umse!$B$11="1.2.",'B Tab'!F438,IF(Umse!$B$11="1.3.",'B Tab'!F461,""))))</f>
        <v>4599.68</v>
      </c>
      <c r="H9" s="335">
        <f>IF(Umse!$C$24=0,0,IF(Umse!$B$11="1.1.",'B Tab'!G415,IF(Umse!$B$11="1.2.",'B Tab'!G438,IF(Umse!$B$11="1.3.",'B Tab'!G461,""))))</f>
        <v>5090.78</v>
      </c>
      <c r="I9" s="335">
        <f>IF(Umse!$C$24=0,0,IF(Umse!$B$11="1.1.",'B Tab'!H415,IF(Umse!$B$11="1.2.",'B Tab'!H438,IF(Umse!$B$11="1.3.",'B Tab'!H461,""))))</f>
        <v>5367.08</v>
      </c>
    </row>
    <row r="10" spans="1:9">
      <c r="B10" s="331" t="str">
        <f>'B Ist'!K9</f>
        <v>EG</v>
      </c>
      <c r="C10" s="363">
        <f>'B Ist'!L9</f>
        <v>10</v>
      </c>
      <c r="D10" s="335">
        <f>IF(Umse!$C$24=0,0,IF(Umse!$B$11="1.1.",'B Tab'!C416,IF(Umse!$B$11="1.2.",'B Tab'!C439,IF(Umse!$B$11="1.3.",'B Tab'!C462,""))))</f>
        <v>3430.51</v>
      </c>
      <c r="E10" s="335">
        <f>IF(Umse!$C$24=0,0,IF(Umse!$B$11="1.1.",'B Tab'!D416,IF(Umse!$B$11="1.2.",'B Tab'!D439,IF(Umse!$B$11="1.3.",'B Tab'!D462,""))))</f>
        <v>3706.3</v>
      </c>
      <c r="F10" s="335">
        <f>IF(Umse!$C$24=0,0,IF(Umse!$B$11="1.1.",'B Tab'!E416,IF(Umse!$B$11="1.2.",'B Tab'!E439,IF(Umse!$B$11="1.3.",'B Tab'!E462,""))))</f>
        <v>4019.82</v>
      </c>
      <c r="G10" s="335">
        <f>IF(Umse!$C$24=0,0,IF(Umse!$B$11="1.1.",'B Tab'!F416,IF(Umse!$B$11="1.2.",'B Tab'!F439,IF(Umse!$B$11="1.3.",'B Tab'!F462,""))))</f>
        <v>4359.8500000000004</v>
      </c>
      <c r="H10" s="335">
        <f>IF(Umse!$C$24=0,0,IF(Umse!$B$11="1.1.",'B Tab'!G416,IF(Umse!$B$11="1.2.",'B Tab'!G439,IF(Umse!$B$11="1.3.",'B Tab'!G462,""))))</f>
        <v>4738.5</v>
      </c>
      <c r="I10" s="335">
        <f>IF(Umse!$C$24=0,0,IF(Umse!$B$11="1.1.",'B Tab'!H416,IF(Umse!$B$11="1.2.",'B Tab'!H439,IF(Umse!$B$11="1.3.",'B Tab'!H462,""))))</f>
        <v>4862.83</v>
      </c>
    </row>
    <row r="11" spans="1:9">
      <c r="B11" s="331" t="str">
        <f>'B Ist'!K10</f>
        <v>EG</v>
      </c>
      <c r="C11" s="363" t="str">
        <f>'B Ist'!L10</f>
        <v>9c *</v>
      </c>
      <c r="D11" s="335">
        <f>IF(Umse!$C$24=0,0,IF(Umse!$B$11="1.1.",'B Tab'!C417,IF(Umse!$B$11="1.2.",'B Tab'!C440,IF(Umse!$B$11="1.3.",'B Tab'!C463,""))))</f>
        <v>3301.9066666666668</v>
      </c>
      <c r="E11" s="335">
        <f>IF(Umse!$C$24=0,0,IF(Umse!$B$11="1.1.",'B Tab'!D417,IF(Umse!$B$11="1.2.",'B Tab'!D440,IF(Umse!$B$11="1.3.",'B Tab'!D463,""))))</f>
        <v>3540.82</v>
      </c>
      <c r="F11" s="335">
        <f>IF(Umse!$C$24=0,0,IF(Umse!$B$11="1.1.",'B Tab'!E417,IF(Umse!$B$11="1.2.",'B Tab'!E440,IF(Umse!$B$11="1.3.",'B Tab'!E463,""))))</f>
        <v>3839.03</v>
      </c>
      <c r="G11" s="335">
        <f>IF(Umse!$C$24=0,0,IF(Umse!$B$11="1.1.",'B Tab'!F417,IF(Umse!$B$11="1.2.",'B Tab'!F440,IF(Umse!$B$11="1.3.",'B Tab'!F463,""))))</f>
        <v>4163.95</v>
      </c>
      <c r="H11" s="335">
        <f>IF(Umse!$C$24=0,0,IF(Umse!$B$11="1.1.",'B Tab'!G417,IF(Umse!$B$11="1.2.",'B Tab'!G440,IF(Umse!$B$11="1.3.",'B Tab'!G463,""))))</f>
        <v>4516.2299999999996</v>
      </c>
      <c r="I11" s="335">
        <f>IF(Umse!$C$24=0,0,IF(Umse!$B$11="1.1.",'B Tab'!H417,IF(Umse!$B$11="1.2.",'B Tab'!H440,IF(Umse!$B$11="1.3.",'B Tab'!H463,""))))</f>
        <v>4629.3100000000004</v>
      </c>
    </row>
    <row r="12" spans="1:9">
      <c r="B12" s="331" t="str">
        <f>'B Ist'!K11</f>
        <v>EG</v>
      </c>
      <c r="C12" s="363" t="str">
        <f>'B Ist'!L11</f>
        <v>9b *</v>
      </c>
      <c r="D12" s="335">
        <f>IF(Umse!$C$24=0,0,IF(Umse!$B$11="1.1.",'B Tab'!C418,IF(Umse!$B$11="1.2.",'B Tab'!C441,IF(Umse!$B$11="1.3.",'B Tab'!C464,""))))</f>
        <v>3173.3033333333333</v>
      </c>
      <c r="E12" s="335">
        <f>IF(Umse!$C$24=0,0,IF(Umse!$B$11="1.1.",'B Tab'!D418,IF(Umse!$B$11="1.2.",'B Tab'!D441,IF(Umse!$B$11="1.3.",'B Tab'!D464,""))))</f>
        <v>3282.46</v>
      </c>
      <c r="F12" s="335">
        <f>IF(Umse!$C$24=0,0,IF(Umse!$B$11="1.1.",'B Tab'!E418,IF(Umse!$B$11="1.2.",'B Tab'!E441,IF(Umse!$B$11="1.3.",'B Tab'!E464,""))))</f>
        <v>3555.82</v>
      </c>
      <c r="G12" s="335">
        <f>IF(Umse!$C$24=0,0,IF(Umse!$B$11="1.1.",'B Tab'!F418,IF(Umse!$B$11="1.2.",'B Tab'!F441,IF(Umse!$B$11="1.3.",'B Tab'!F464,""))))</f>
        <v>3855.78</v>
      </c>
      <c r="H12" s="335">
        <f>IF(Umse!$C$24=0,0,IF(Umse!$B$11="1.1.",'B Tab'!G418,IF(Umse!$B$11="1.2.",'B Tab'!G441,IF(Umse!$B$11="1.3.",'B Tab'!G464,""))))</f>
        <v>4185.91</v>
      </c>
      <c r="I12" s="335">
        <f>IF(Umse!$C$24=0,0,IF(Umse!$B$11="1.1.",'B Tab'!H418,IF(Umse!$B$11="1.2.",'B Tab'!H441,IF(Umse!$B$11="1.3.",'B Tab'!H464,""))))</f>
        <v>4462.1899999999996</v>
      </c>
    </row>
    <row r="13" spans="1:9">
      <c r="B13" s="331" t="str">
        <f>'B Ist'!K12</f>
        <v>EG</v>
      </c>
      <c r="C13" s="363" t="str">
        <f>'B Ist'!L12</f>
        <v>9a</v>
      </c>
      <c r="D13" s="335">
        <f>IF(Umse!$C$24=0,0,IF(Umse!$B$11="1.1.",'B Tab'!C419,IF(Umse!$B$11="1.2.",'B Tab'!C442,IF(Umse!$B$11="1.3.",'B Tab'!C465,""))))</f>
        <v>3044.7</v>
      </c>
      <c r="E13" s="335">
        <f>IF(Umse!$C$24=0,0,IF(Umse!$B$11="1.1.",'B Tab'!D419,IF(Umse!$B$11="1.2.",'B Tab'!D442,IF(Umse!$B$11="1.3.",'B Tab'!D465,""))))</f>
        <v>3248.34</v>
      </c>
      <c r="F13" s="335">
        <f>IF(Umse!$C$24=0,0,IF(Umse!$B$11="1.1.",'B Tab'!E419,IF(Umse!$B$11="1.2.",'B Tab'!E442,IF(Umse!$B$11="1.3.",'B Tab'!E465,""))))</f>
        <v>3304.35</v>
      </c>
      <c r="G13" s="335">
        <f>IF(Umse!$C$24=0,0,IF(Umse!$B$11="1.1.",'B Tab'!F419,IF(Umse!$B$11="1.2.",'B Tab'!F442,IF(Umse!$B$11="1.3.",'B Tab'!F465,""))))</f>
        <v>3493.66</v>
      </c>
      <c r="H13" s="335">
        <f>IF(Umse!$C$24=0,0,IF(Umse!$B$11="1.1.",'B Tab'!G419,IF(Umse!$B$11="1.2.",'B Tab'!G442,IF(Umse!$B$11="1.3.",'B Tab'!G465,""))))</f>
        <v>3840.53</v>
      </c>
      <c r="I13" s="335">
        <f>IF(Umse!$C$24=0,0,IF(Umse!$B$11="1.1.",'B Tab'!H419,IF(Umse!$B$11="1.2.",'B Tab'!H442,IF(Umse!$B$11="1.3.",'B Tab'!H465,""))))</f>
        <v>3977.78</v>
      </c>
    </row>
    <row r="14" spans="1:9">
      <c r="B14" s="331" t="str">
        <f>'B Ist'!K13</f>
        <v>EG</v>
      </c>
      <c r="C14" s="363">
        <f>'B Ist'!L13</f>
        <v>8</v>
      </c>
      <c r="D14" s="335">
        <f>IF(Umse!$C$24=0,0,IF(Umse!$B$11="1.1.",'B Tab'!C420,IF(Umse!$B$11="1.2.",'B Tab'!C443,IF(Umse!$B$11="1.3.",'B Tab'!C466,""))))</f>
        <v>2858.91</v>
      </c>
      <c r="E14" s="335">
        <f>IF(Umse!$C$24=0,0,IF(Umse!$B$11="1.1.",'B Tab'!D420,IF(Umse!$B$11="1.2.",'B Tab'!D443,IF(Umse!$B$11="1.3.",'B Tab'!D466,""))))</f>
        <v>3049.92</v>
      </c>
      <c r="F14" s="335">
        <f>IF(Umse!$C$24=0,0,IF(Umse!$B$11="1.1.",'B Tab'!E420,IF(Umse!$B$11="1.2.",'B Tab'!E443,IF(Umse!$B$11="1.3.",'B Tab'!E466,""))))</f>
        <v>3182.23</v>
      </c>
      <c r="G14" s="335">
        <f>IF(Umse!$C$24=0,0,IF(Umse!$B$11="1.1.",'B Tab'!F420,IF(Umse!$B$11="1.2.",'B Tab'!F443,IF(Umse!$B$11="1.3.",'B Tab'!F466,""))))</f>
        <v>3314.31</v>
      </c>
      <c r="H14" s="335">
        <f>IF(Umse!$C$24=0,0,IF(Umse!$B$11="1.1.",'B Tab'!G420,IF(Umse!$B$11="1.2.",'B Tab'!G443,IF(Umse!$B$11="1.3.",'B Tab'!G466,""))))</f>
        <v>3455.98</v>
      </c>
      <c r="I14" s="335">
        <f>IF(Umse!$C$24=0,0,IF(Umse!$B$11="1.1.",'B Tab'!H420,IF(Umse!$B$11="1.2.",'B Tab'!H443,IF(Umse!$B$11="1.3.",'B Tab'!H466,""))))</f>
        <v>3524.11</v>
      </c>
    </row>
    <row r="15" spans="1:9">
      <c r="B15" s="331" t="str">
        <f>'B Ist'!K14</f>
        <v>EG</v>
      </c>
      <c r="C15" s="363">
        <f>'B Ist'!L14</f>
        <v>7</v>
      </c>
      <c r="D15" s="335">
        <f>IF(Umse!$C$24=0,0,IF(Umse!$B$11="1.1.",'B Tab'!C421,IF(Umse!$B$11="1.2.",'B Tab'!C444,IF(Umse!$B$11="1.3.",'B Tab'!C467,""))))</f>
        <v>2685.53</v>
      </c>
      <c r="E15" s="335">
        <f>IF(Umse!$C$24=0,0,IF(Umse!$B$11="1.1.",'B Tab'!D421,IF(Umse!$B$11="1.2.",'B Tab'!D444,IF(Umse!$B$11="1.3.",'B Tab'!D467,""))))</f>
        <v>2905.6</v>
      </c>
      <c r="F15" s="335">
        <f>IF(Umse!$C$24=0,0,IF(Umse!$B$11="1.1.",'B Tab'!E421,IF(Umse!$B$11="1.2.",'B Tab'!E444,IF(Umse!$B$11="1.3.",'B Tab'!E467,""))))</f>
        <v>3036.7</v>
      </c>
      <c r="G15" s="335">
        <f>IF(Umse!$C$24=0,0,IF(Umse!$B$11="1.1.",'B Tab'!F421,IF(Umse!$B$11="1.2.",'B Tab'!F444,IF(Umse!$B$11="1.3.",'B Tab'!F467,""))))</f>
        <v>3169</v>
      </c>
      <c r="H15" s="335">
        <f>IF(Umse!$C$24=0,0,IF(Umse!$B$11="1.1.",'B Tab'!G421,IF(Umse!$B$11="1.2.",'B Tab'!G444,IF(Umse!$B$11="1.3.",'B Tab'!G467,""))))</f>
        <v>3293.78</v>
      </c>
      <c r="I15" s="335">
        <f>IF(Umse!$C$24=0,0,IF(Umse!$B$11="1.1.",'B Tab'!H421,IF(Umse!$B$11="1.2.",'B Tab'!H444,IF(Umse!$B$11="1.3.",'B Tab'!H467,""))))</f>
        <v>3360.79</v>
      </c>
    </row>
    <row r="16" spans="1:9">
      <c r="B16" s="331" t="str">
        <f>'B Ist'!K15</f>
        <v>EG</v>
      </c>
      <c r="C16" s="363">
        <f>'B Ist'!L15</f>
        <v>6</v>
      </c>
      <c r="D16" s="335">
        <f>IF(Umse!$C$24=0,0,IF(Umse!$B$11="1.1.",'B Tab'!C422,IF(Umse!$B$11="1.2.",'B Tab'!C445,IF(Umse!$B$11="1.3.",'B Tab'!C468,""))))</f>
        <v>2636</v>
      </c>
      <c r="E16" s="335">
        <f>IF(Umse!$C$24=0,0,IF(Umse!$B$11="1.1.",'B Tab'!D422,IF(Umse!$B$11="1.2.",'B Tab'!D445,IF(Umse!$B$11="1.3.",'B Tab'!D468,""))))</f>
        <v>2817.11</v>
      </c>
      <c r="F16" s="335">
        <f>IF(Umse!$C$24=0,0,IF(Umse!$B$11="1.1.",'B Tab'!E422,IF(Umse!$B$11="1.2.",'B Tab'!E445,IF(Umse!$B$11="1.3.",'B Tab'!E468,""))))</f>
        <v>2944.11</v>
      </c>
      <c r="G16" s="335">
        <f>IF(Umse!$C$24=0,0,IF(Umse!$B$11="1.1.",'B Tab'!F422,IF(Umse!$B$11="1.2.",'B Tab'!F445,IF(Umse!$B$11="1.3.",'B Tab'!F468,""))))</f>
        <v>3069.78</v>
      </c>
      <c r="H16" s="335">
        <f>IF(Umse!$C$24=0,0,IF(Umse!$B$11="1.1.",'B Tab'!G422,IF(Umse!$B$11="1.2.",'B Tab'!G445,IF(Umse!$B$11="1.3.",'B Tab'!G468,""))))</f>
        <v>3193.22</v>
      </c>
      <c r="I16" s="335">
        <f>IF(Umse!$C$24=0,0,IF(Umse!$B$11="1.1.",'B Tab'!H422,IF(Umse!$B$11="1.2.",'B Tab'!H445,IF(Umse!$B$11="1.3.",'B Tab'!H468,""))))</f>
        <v>3256.1</v>
      </c>
    </row>
    <row r="17" spans="2:9">
      <c r="B17" s="331" t="str">
        <f>'B Ist'!K16</f>
        <v>EG</v>
      </c>
      <c r="C17" s="363">
        <f>'B Ist'!L16</f>
        <v>5</v>
      </c>
      <c r="D17" s="335">
        <f>IF(Umse!$C$24=0,0,IF(Umse!$B$11="1.1.",'B Tab'!C423,IF(Umse!$B$11="1.2.",'B Tab'!C446,IF(Umse!$B$11="1.3.",'B Tab'!C469,""))))</f>
        <v>2530.7399999999998</v>
      </c>
      <c r="E17" s="335">
        <f>IF(Umse!$C$24=0,0,IF(Umse!$B$11="1.1.",'B Tab'!D423,IF(Umse!$B$11="1.2.",'B Tab'!D446,IF(Umse!$B$11="1.3.",'B Tab'!D469,""))))</f>
        <v>2706.42</v>
      </c>
      <c r="F17" s="335">
        <f>IF(Umse!$C$24=0,0,IF(Umse!$B$11="1.1.",'B Tab'!E423,IF(Umse!$B$11="1.2.",'B Tab'!E446,IF(Umse!$B$11="1.3.",'B Tab'!E469,""))))</f>
        <v>2825.08</v>
      </c>
      <c r="G17" s="335">
        <f>IF(Umse!$C$24=0,0,IF(Umse!$B$11="1.1.",'B Tab'!F423,IF(Umse!$B$11="1.2.",'B Tab'!F446,IF(Umse!$B$11="1.3.",'B Tab'!F469,""))))</f>
        <v>2950.74</v>
      </c>
      <c r="H17" s="335">
        <f>IF(Umse!$C$24=0,0,IF(Umse!$B$11="1.1.",'B Tab'!G423,IF(Umse!$B$11="1.2.",'B Tab'!G446,IF(Umse!$B$11="1.3.",'B Tab'!G469,""))))</f>
        <v>3067.5</v>
      </c>
      <c r="I17" s="335">
        <f>IF(Umse!$C$24=0,0,IF(Umse!$B$11="1.1.",'B Tab'!H423,IF(Umse!$B$11="1.2.",'B Tab'!H446,IF(Umse!$B$11="1.3.",'B Tab'!H469,""))))</f>
        <v>3127.85</v>
      </c>
    </row>
    <row r="18" spans="2:9">
      <c r="B18" s="331" t="str">
        <f>'B Ist'!K17</f>
        <v>EG</v>
      </c>
      <c r="C18" s="363">
        <f>'B Ist'!L17</f>
        <v>4</v>
      </c>
      <c r="D18" s="335">
        <f>IF(Umse!$C$24=0,0,IF(Umse!$B$11="1.1.",'B Tab'!C424,IF(Umse!$B$11="1.2.",'B Tab'!C447,IF(Umse!$B$11="1.3.",'B Tab'!C470,""))))</f>
        <v>2413.0700000000002</v>
      </c>
      <c r="E18" s="335">
        <f>IF(Umse!$C$24=0,0,IF(Umse!$B$11="1.1.",'B Tab'!D424,IF(Umse!$B$11="1.2.",'B Tab'!D447,IF(Umse!$B$11="1.3.",'B Tab'!D470,""))))</f>
        <v>2590.85</v>
      </c>
      <c r="F18" s="335">
        <f>IF(Umse!$C$24=0,0,IF(Umse!$B$11="1.1.",'B Tab'!E424,IF(Umse!$B$11="1.2.",'B Tab'!E447,IF(Umse!$B$11="1.3.",'B Tab'!E470,""))))</f>
        <v>2740.02</v>
      </c>
      <c r="G18" s="335">
        <f>IF(Umse!$C$24=0,0,IF(Umse!$B$11="1.1.",'B Tab'!F424,IF(Umse!$B$11="1.2.",'B Tab'!F447,IF(Umse!$B$11="1.3.",'B Tab'!F470,""))))</f>
        <v>2832.88</v>
      </c>
      <c r="H18" s="335">
        <f>IF(Umse!$C$24=0,0,IF(Umse!$B$11="1.1.",'B Tab'!G424,IF(Umse!$B$11="1.2.",'B Tab'!G447,IF(Umse!$B$11="1.3.",'B Tab'!G470,""))))</f>
        <v>2925.73</v>
      </c>
      <c r="I18" s="335">
        <f>IF(Umse!$C$24=0,0,IF(Umse!$B$11="1.1.",'B Tab'!H424,IF(Umse!$B$11="1.2.",'B Tab'!H447,IF(Umse!$B$11="1.3.",'B Tab'!H470,""))))</f>
        <v>2980.1</v>
      </c>
    </row>
    <row r="19" spans="2:9">
      <c r="B19" s="331" t="str">
        <f>'B Ist'!K18</f>
        <v>EG</v>
      </c>
      <c r="C19" s="363">
        <f>'B Ist'!L18</f>
        <v>3</v>
      </c>
      <c r="D19" s="335">
        <f>IF(Umse!$C$24=0,0,IF(Umse!$B$11="1.1.",'B Tab'!C425,IF(Umse!$B$11="1.2.",'B Tab'!C448,IF(Umse!$B$11="1.3.",'B Tab'!C471,""))))</f>
        <v>2375.89</v>
      </c>
      <c r="E19" s="335">
        <f>IF(Umse!$C$24=0,0,IF(Umse!$B$11="1.1.",'B Tab'!D425,IF(Umse!$B$11="1.2.",'B Tab'!D448,IF(Umse!$B$11="1.3.",'B Tab'!D471,""))))</f>
        <v>2567.08</v>
      </c>
      <c r="F19" s="335">
        <f>IF(Umse!$C$24=0,0,IF(Umse!$B$11="1.1.",'B Tab'!E425,IF(Umse!$B$11="1.2.",'B Tab'!E448,IF(Umse!$B$11="1.3.",'B Tab'!E471,""))))</f>
        <v>2613.61</v>
      </c>
      <c r="G19" s="335">
        <f>IF(Umse!$C$24=0,0,IF(Umse!$B$11="1.1.",'B Tab'!F425,IF(Umse!$B$11="1.2.",'B Tab'!F448,IF(Umse!$B$11="1.3.",'B Tab'!F471,""))))</f>
        <v>2719.96</v>
      </c>
      <c r="H19" s="335">
        <f>IF(Umse!$C$24=0,0,IF(Umse!$B$11="1.1.",'B Tab'!G425,IF(Umse!$B$11="1.2.",'B Tab'!G448,IF(Umse!$B$11="1.3.",'B Tab'!G471,""))))</f>
        <v>2799.76</v>
      </c>
      <c r="I19" s="335">
        <f>IF(Umse!$C$24=0,0,IF(Umse!$B$11="1.1.",'B Tab'!H425,IF(Umse!$B$11="1.2.",'B Tab'!H448,IF(Umse!$B$11="1.3.",'B Tab'!H471,""))))</f>
        <v>2872.87</v>
      </c>
    </row>
    <row r="20" spans="2:9">
      <c r="B20" s="331" t="str">
        <f>'B Ist'!K19</f>
        <v>EG</v>
      </c>
      <c r="C20" s="363" t="str">
        <f>'B Ist'!L19</f>
        <v>2Ü</v>
      </c>
      <c r="D20" s="335">
        <f>IF(Umse!$C$24=0,0,IF(Umse!$B$11="1.1.",'B Tab'!C426,IF(Umse!$B$11="1.2.",'B Tab'!C449,IF(Umse!$B$11="1.3.",'B Tab'!C472,""))))</f>
        <v>2221.61</v>
      </c>
      <c r="E20" s="335">
        <f>IF(Umse!$C$24=0,0,IF(Umse!$B$11="1.1.",'B Tab'!D426,IF(Umse!$B$11="1.2.",'B Tab'!D449,IF(Umse!$B$11="1.3.",'B Tab'!D472,""))))</f>
        <v>2443.9899999999998</v>
      </c>
      <c r="F20" s="335">
        <f>IF(Umse!$C$24=0,0,IF(Umse!$B$11="1.1.",'B Tab'!E426,IF(Umse!$B$11="1.2.",'B Tab'!E449,IF(Umse!$B$11="1.3.",'B Tab'!E472,""))))</f>
        <v>2523.88</v>
      </c>
      <c r="G20" s="335">
        <f>IF(Umse!$C$24=0,0,IF(Umse!$B$11="1.1.",'B Tab'!F426,IF(Umse!$B$11="1.2.",'B Tab'!F449,IF(Umse!$B$11="1.3.",'B Tab'!F472,""))))</f>
        <v>2630.4</v>
      </c>
      <c r="H20" s="335">
        <f>IF(Umse!$C$24=0,0,IF(Umse!$B$11="1.1.",'B Tab'!G426,IF(Umse!$B$11="1.2.",'B Tab'!G449,IF(Umse!$B$11="1.3.",'B Tab'!G472,""))))</f>
        <v>2703.6</v>
      </c>
      <c r="I20" s="335">
        <f>IF(Umse!$C$24=0,0,IF(Umse!$B$11="1.1.",'B Tab'!H426,IF(Umse!$B$11="1.2.",'B Tab'!H449,IF(Umse!$B$11="1.3.",'B Tab'!H472,""))))</f>
        <v>2758.23</v>
      </c>
    </row>
    <row r="21" spans="2:9">
      <c r="B21" s="331" t="str">
        <f>'B Ist'!K20</f>
        <v>EG</v>
      </c>
      <c r="C21" s="363">
        <f>'B Ist'!L20</f>
        <v>2</v>
      </c>
      <c r="D21" s="335">
        <f>IF(Umse!$C$24=0,0,IF(Umse!$B$11="1.1.",'B Tab'!C427,IF(Umse!$B$11="1.2.",'B Tab'!C450,IF(Umse!$B$11="1.3.",'B Tab'!C473,""))))</f>
        <v>2202.5100000000002</v>
      </c>
      <c r="E21" s="335">
        <f>IF(Umse!$C$24=0,0,IF(Umse!$B$11="1.1.",'B Tab'!D427,IF(Umse!$B$11="1.2.",'B Tab'!D450,IF(Umse!$B$11="1.3.",'B Tab'!D473,""))))</f>
        <v>2396</v>
      </c>
      <c r="F21" s="335">
        <f>IF(Umse!$C$24=0,0,IF(Umse!$B$11="1.1.",'B Tab'!E427,IF(Umse!$B$11="1.2.",'B Tab'!E450,IF(Umse!$B$11="1.3.",'B Tab'!E473,""))))</f>
        <v>2442.92</v>
      </c>
      <c r="G21" s="335">
        <f>IF(Umse!$C$24=0,0,IF(Umse!$B$11="1.1.",'B Tab'!F427,IF(Umse!$B$11="1.2.",'B Tab'!F450,IF(Umse!$B$11="1.3.",'B Tab'!F473,""))))</f>
        <v>2509.87</v>
      </c>
      <c r="H21" s="335">
        <f>IF(Umse!$C$24=0,0,IF(Umse!$B$11="1.1.",'B Tab'!G427,IF(Umse!$B$11="1.2.",'B Tab'!G450,IF(Umse!$B$11="1.3.",'B Tab'!G473,""))))</f>
        <v>2657.03</v>
      </c>
      <c r="I21" s="335">
        <f>IF(Umse!$C$24=0,0,IF(Umse!$B$11="1.1.",'B Tab'!H427,IF(Umse!$B$11="1.2.",'B Tab'!H450,IF(Umse!$B$11="1.3.",'B Tab'!H473,""))))</f>
        <v>2810.98</v>
      </c>
    </row>
    <row r="22" spans="2:9">
      <c r="B22" s="331" t="str">
        <f>'B Ist'!K21</f>
        <v>EG</v>
      </c>
      <c r="C22" s="363">
        <f>'B Ist'!L21</f>
        <v>1</v>
      </c>
      <c r="D22" s="335" t="str">
        <f>IF(Umse!$C$24=0,0,IF(Umse!$B$11="1.1.",'B Tab'!C428,IF(Umse!$B$11="1.2.",'B Tab'!C451,IF(Umse!$B$11="1.3.",'B Tab'!C474,""))))</f>
        <v>-</v>
      </c>
      <c r="E22" s="335">
        <f>IF(Umse!$C$24=0,0,IF(Umse!$B$11="1.1.",'B Tab'!D428,IF(Umse!$B$11="1.2.",'B Tab'!D451,IF(Umse!$B$11="1.3.",'B Tab'!D474,""))))</f>
        <v>1979.88</v>
      </c>
      <c r="F22" s="335">
        <f>IF(Umse!$C$24=0,0,IF(Umse!$B$11="1.1.",'B Tab'!E428,IF(Umse!$B$11="1.2.",'B Tab'!E451,IF(Umse!$B$11="1.3.",'B Tab'!E474,""))))</f>
        <v>2012.63</v>
      </c>
      <c r="G22" s="335">
        <f>IF(Umse!$C$24=0,0,IF(Umse!$B$11="1.1.",'B Tab'!F428,IF(Umse!$B$11="1.2.",'B Tab'!F451,IF(Umse!$B$11="1.3.",'B Tab'!F474,""))))</f>
        <v>2053.59</v>
      </c>
      <c r="H22" s="335">
        <f>IF(Umse!$C$24=0,0,IF(Umse!$B$11="1.1.",'B Tab'!G428,IF(Umse!$B$11="1.2.",'B Tab'!G451,IF(Umse!$B$11="1.3.",'B Tab'!G474,""))))</f>
        <v>2091.77</v>
      </c>
      <c r="I22" s="335">
        <f>IF(Umse!$C$24=0,0,IF(Umse!$B$11="1.1.",'B Tab'!H428,IF(Umse!$B$11="1.2.",'B Tab'!H451,IF(Umse!$B$11="1.3.",'B Tab'!H474,""))))</f>
        <v>2190.0500000000002</v>
      </c>
    </row>
  </sheetData>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17</vt:i4>
      </vt:variant>
    </vt:vector>
  </HeadingPairs>
  <TitlesOfParts>
    <vt:vector size="48" baseType="lpstr">
      <vt:lpstr>Para</vt:lpstr>
      <vt:lpstr>Umse</vt:lpstr>
      <vt:lpstr>Kalk</vt:lpstr>
      <vt:lpstr>Maske</vt:lpstr>
      <vt:lpstr>Benutzerhinweise</vt:lpstr>
      <vt:lpstr>Bitte Seite ausdrucken</vt:lpstr>
      <vt:lpstr>B Mask</vt:lpstr>
      <vt:lpstr>B Ist</vt:lpstr>
      <vt:lpstr>B zwTab</vt:lpstr>
      <vt:lpstr>B Tab</vt:lpstr>
      <vt:lpstr>V Mask</vt:lpstr>
      <vt:lpstr>V Ist</vt:lpstr>
      <vt:lpstr>V zwTab</vt:lpstr>
      <vt:lpstr>V Tab</vt:lpstr>
      <vt:lpstr>VKr-AT Mask</vt:lpstr>
      <vt:lpstr>VKr-AT Ist</vt:lpstr>
      <vt:lpstr>Kr Mask</vt:lpstr>
      <vt:lpstr>VKr Mask</vt:lpstr>
      <vt:lpstr>VKr-K Ist</vt:lpstr>
      <vt:lpstr>VKr-B Ist</vt:lpstr>
      <vt:lpstr>LKr Mask</vt:lpstr>
      <vt:lpstr>LKr Ist</vt:lpstr>
      <vt:lpstr>KrBe Tab</vt:lpstr>
      <vt:lpstr>VKr Tab</vt:lpstr>
      <vt:lpstr>LKr Tab</vt:lpstr>
      <vt:lpstr>L Mask</vt:lpstr>
      <vt:lpstr>L Ist</vt:lpstr>
      <vt:lpstr>L Tab</vt:lpstr>
      <vt:lpstr>AVH Mask</vt:lpstr>
      <vt:lpstr>AVH Ist</vt:lpstr>
      <vt:lpstr>AVH Tab</vt:lpstr>
      <vt:lpstr>'LKr Tab'!_ftn1</vt:lpstr>
      <vt:lpstr>'LKr Tab'!_ftn2</vt:lpstr>
      <vt:lpstr>'LKr Tab'!_ftnref1</vt:lpstr>
      <vt:lpstr>'LKr Tab'!_ftnref2</vt:lpstr>
      <vt:lpstr>'AVH Mask'!Druckbereich</vt:lpstr>
      <vt:lpstr>'B Mask'!Druckbereich</vt:lpstr>
      <vt:lpstr>Benutzerhinweise!Druckbereich</vt:lpstr>
      <vt:lpstr>'Bitte Seite ausdrucken'!Druckbereich</vt:lpstr>
      <vt:lpstr>'Kr Mask'!Druckbereich</vt:lpstr>
      <vt:lpstr>'L Ist'!Druckbereich</vt:lpstr>
      <vt:lpstr>'L Mask'!Druckbereich</vt:lpstr>
      <vt:lpstr>'L Tab'!Druckbereich</vt:lpstr>
      <vt:lpstr>'LKr Mask'!Druckbereich</vt:lpstr>
      <vt:lpstr>Maske!Druckbereich</vt:lpstr>
      <vt:lpstr>'V Mask'!Druckbereich</vt:lpstr>
      <vt:lpstr>'VKr Mask'!Druckbereich</vt:lpstr>
      <vt:lpstr>'VKr-AT Mask'!Druckbereich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Entgelte TVöD TV-L TV-AVH TV-H</dc:title>
  <dc:subject>Stand 20.08.2018</dc:subject>
  <dc:creator>dbb GB 2 - Tarif</dc:creator>
  <cp:keywords>EK 2020</cp:keywords>
  <cp:lastModifiedBy>Winter, Andreas</cp:lastModifiedBy>
  <cp:revision>1</cp:revision>
  <cp:lastPrinted>2021-02-24T12:30:47Z</cp:lastPrinted>
  <dcterms:created xsi:type="dcterms:W3CDTF">2007-01-04T09:17:18Z</dcterms:created>
  <dcterms:modified xsi:type="dcterms:W3CDTF">2021-08-04T06:24:46Z</dcterms:modified>
</cp:coreProperties>
</file>